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server2019\ОУМИ\Отдел по имуществу\ПИСЬМА, ОТЧЕТЫ\2022\ОТЧЕТЫ\РАЗМЕЩЕНИЕ РЕЕСТРА об исп. п. 2Г, за год и полугодие (Крылова И.В.)\Размещение реестра на 01.01.2023\"/>
    </mc:Choice>
  </mc:AlternateContent>
  <bookViews>
    <workbookView xWindow="-15" yWindow="24900" windowWidth="28815" windowHeight="4335" tabRatio="615" firstSheet="13" activeTab="17"/>
  </bookViews>
  <sheets>
    <sheet name="Земельные участки 1.1" sheetId="14225" r:id="rId1"/>
    <sheet name="Адм, общ., произ.,иные зд. 1.2" sheetId="14226" r:id="rId2"/>
    <sheet name="Жилищный фонд 1.3" sheetId="14227" r:id="rId3"/>
    <sheet name="Нежилые помещения 1.4" sheetId="14228" r:id="rId4"/>
    <sheet name="Сооружения 1.5" sheetId="14230" r:id="rId5"/>
    <sheet name="Сети электрические 1.6 " sheetId="14231" r:id="rId6"/>
    <sheet name="Сети теплоснабжения 1.7" sheetId="14232" r:id="rId7"/>
    <sheet name="Сети водопроводные 1.8" sheetId="14233" r:id="rId8"/>
    <sheet name="Сети канализационные 1.9" sheetId="14234" r:id="rId9"/>
    <sheet name="Сети телекоммуникационные 1.11" sheetId="14235" r:id="rId10"/>
    <sheet name=" иное недвижимое имущество 1.12" sheetId="14236" r:id="rId11"/>
    <sheet name="Автомобильные дороги 1.13" sheetId="14237" r:id="rId12"/>
    <sheet name="Незавершенное кап.стр-во 1.14" sheetId="14238" r:id="rId13"/>
    <sheet name="Тр. средства 2.2" sheetId="1085" r:id="rId14"/>
    <sheet name="Машины и оборудование 2.4 " sheetId="1099" r:id="rId15"/>
    <sheet name="Иное движимое 2.5" sheetId="20" r:id="rId16"/>
    <sheet name="резерв.запас (уголь,мазут) 2.6 " sheetId="14219" r:id="rId17"/>
    <sheet name="аварийный запас (материалы) 2.7" sheetId="14220" r:id="rId18"/>
  </sheets>
  <definedNames>
    <definedName name="_xlnm._FilterDatabase" localSheetId="17" hidden="1">'аварийный запас (материалы) 2.7'!$A$7:$AM$30</definedName>
    <definedName name="_xlnm._FilterDatabase" localSheetId="15" hidden="1">'Иное движимое 2.5'!$A$5:$U$1613</definedName>
    <definedName name="_xlnm._FilterDatabase" localSheetId="14" hidden="1">'Машины и оборудование 2.4 '!$A$8:$V$2236</definedName>
    <definedName name="_xlnm._FilterDatabase" localSheetId="16" hidden="1">'резерв.запас (уголь,мазут) 2.6 '!$A$7:$AQ$43</definedName>
    <definedName name="_xlnm._FilterDatabase" localSheetId="13" hidden="1">'Тр. средства 2.2'!$A$7:$V$100</definedName>
    <definedName name="_xlnm.Print_Titles" localSheetId="17">'аварийный запас (материалы) 2.7'!$5:$7</definedName>
    <definedName name="_xlnm.Print_Titles" localSheetId="15">'Иное движимое 2.5'!$3:$5</definedName>
    <definedName name="_xlnm.Print_Titles" localSheetId="13">'Тр. средства 2.2'!$5:$7</definedName>
    <definedName name="_xlnm.Print_Area" localSheetId="17">'аварийный запас (материалы) 2.7'!$5:$7</definedName>
    <definedName name="_xlnm.Print_Area" localSheetId="15">'Иное движимое 2.5'!$A$3:$T$5</definedName>
  </definedNames>
  <calcPr calcId="162913"/>
</workbook>
</file>

<file path=xl/calcChain.xml><?xml version="1.0" encoding="utf-8"?>
<calcChain xmlns="http://schemas.openxmlformats.org/spreadsheetml/2006/main">
  <c r="AJ42" i="14219" l="1"/>
  <c r="AI42" i="14219"/>
  <c r="AJ41" i="14219"/>
  <c r="AI41" i="14219"/>
  <c r="AJ40" i="14219"/>
  <c r="AI40" i="14219"/>
  <c r="AJ39" i="14219"/>
  <c r="AI39" i="14219"/>
  <c r="AJ38" i="14219"/>
  <c r="AI38" i="14219"/>
  <c r="AJ37" i="14219"/>
  <c r="AI37" i="14219"/>
  <c r="AJ36" i="14219"/>
  <c r="AI36" i="14219"/>
  <c r="AJ35" i="14219"/>
  <c r="AI35" i="14219"/>
  <c r="AJ34" i="14219"/>
  <c r="AI34" i="14219"/>
  <c r="AJ33" i="14219"/>
  <c r="AI33" i="14219"/>
  <c r="AJ32" i="14219"/>
  <c r="AI32" i="14219"/>
  <c r="AJ31" i="14219"/>
  <c r="AI31" i="14219"/>
  <c r="AJ30" i="14219"/>
  <c r="AI30" i="14219"/>
  <c r="AJ29" i="14219"/>
  <c r="AI29" i="14219"/>
  <c r="AJ28" i="14219"/>
  <c r="AI28" i="14219"/>
  <c r="AJ27" i="14219"/>
  <c r="AJ26" i="14219"/>
  <c r="AI27" i="14219"/>
  <c r="M30" i="14220"/>
  <c r="M43" i="14219"/>
  <c r="K43" i="14219"/>
  <c r="S11" i="14238"/>
  <c r="Q78" i="14237"/>
  <c r="N96" i="14236"/>
  <c r="Q11" i="14235"/>
  <c r="O11" i="14235"/>
  <c r="P90" i="14227"/>
  <c r="O90" i="14227"/>
  <c r="P143" i="14226"/>
  <c r="U10" i="14238"/>
  <c r="U9" i="14238"/>
  <c r="U8" i="14238"/>
  <c r="N78" i="14237"/>
  <c r="R77" i="14237"/>
  <c r="Q77" i="14237"/>
  <c r="S77" i="14237" s="1"/>
  <c r="R76" i="14237"/>
  <c r="Q76" i="14237"/>
  <c r="S76" i="14237" s="1"/>
  <c r="R75" i="14237"/>
  <c r="Q75" i="14237"/>
  <c r="R74" i="14237"/>
  <c r="Q74" i="14237"/>
  <c r="S74" i="14237" s="1"/>
  <c r="R73" i="14237"/>
  <c r="R72" i="14237"/>
  <c r="S71" i="14237"/>
  <c r="S70" i="14237"/>
  <c r="S69" i="14237"/>
  <c r="S68" i="14237"/>
  <c r="S67" i="14237"/>
  <c r="S66" i="14237"/>
  <c r="S65" i="14237"/>
  <c r="S64" i="14237"/>
  <c r="S63" i="14237"/>
  <c r="S62" i="14237"/>
  <c r="S61" i="14237"/>
  <c r="S60" i="14237"/>
  <c r="S59" i="14237"/>
  <c r="S58" i="14237"/>
  <c r="S57" i="14237"/>
  <c r="S56" i="14237"/>
  <c r="S55" i="14237"/>
  <c r="S54" i="14237"/>
  <c r="S53" i="14237"/>
  <c r="S52" i="14237"/>
  <c r="S51" i="14237"/>
  <c r="S50" i="14237"/>
  <c r="S49" i="14237"/>
  <c r="S48" i="14237"/>
  <c r="S47" i="14237"/>
  <c r="S46" i="14237"/>
  <c r="S45" i="14237"/>
  <c r="S44" i="14237"/>
  <c r="S43" i="14237"/>
  <c r="S42" i="14237"/>
  <c r="S41" i="14237"/>
  <c r="S40" i="14237"/>
  <c r="S39" i="14237"/>
  <c r="S38" i="14237"/>
  <c r="S37" i="14237"/>
  <c r="S36" i="14237"/>
  <c r="S35" i="14237"/>
  <c r="S34" i="14237"/>
  <c r="S33" i="14237"/>
  <c r="S32" i="14237"/>
  <c r="S31" i="14237"/>
  <c r="S30" i="14237"/>
  <c r="S29" i="14237"/>
  <c r="S28" i="14237"/>
  <c r="S27" i="14237"/>
  <c r="S26" i="14237"/>
  <c r="S25" i="14237"/>
  <c r="S24" i="14237"/>
  <c r="S23" i="14237"/>
  <c r="S22" i="14237"/>
  <c r="S21" i="14237"/>
  <c r="S20" i="14237"/>
  <c r="S19" i="14237"/>
  <c r="S18" i="14237"/>
  <c r="S17" i="14237"/>
  <c r="S16" i="14237"/>
  <c r="S15" i="14237"/>
  <c r="S14" i="14237"/>
  <c r="S13" i="14237"/>
  <c r="S12" i="14237"/>
  <c r="S11" i="14237"/>
  <c r="S10" i="14237"/>
  <c r="S9" i="14237"/>
  <c r="S8" i="14237"/>
  <c r="S7" i="14237"/>
  <c r="S95" i="14236"/>
  <c r="S94" i="14236"/>
  <c r="S93" i="14236"/>
  <c r="S92" i="14236"/>
  <c r="S91" i="14236"/>
  <c r="S90" i="14236"/>
  <c r="S89" i="14236"/>
  <c r="S88" i="14236"/>
  <c r="S87" i="14236"/>
  <c r="S86" i="14236"/>
  <c r="S85" i="14236"/>
  <c r="S84" i="14236"/>
  <c r="S83" i="14236"/>
  <c r="S82" i="14236"/>
  <c r="S81" i="14236"/>
  <c r="Q80" i="14236"/>
  <c r="S80" i="14236" s="1"/>
  <c r="R79" i="14236"/>
  <c r="Q79" i="14236"/>
  <c r="S79" i="14236" s="1"/>
  <c r="O79" i="14236"/>
  <c r="S78" i="14236"/>
  <c r="S77" i="14236"/>
  <c r="S76" i="14236"/>
  <c r="S75" i="14236"/>
  <c r="S74" i="14236"/>
  <c r="S73" i="14236"/>
  <c r="S72" i="14236"/>
  <c r="S71" i="14236"/>
  <c r="S70" i="14236"/>
  <c r="S69" i="14236"/>
  <c r="S68" i="14236"/>
  <c r="S67" i="14236"/>
  <c r="S66" i="14236"/>
  <c r="S65" i="14236"/>
  <c r="S64" i="14236"/>
  <c r="S63" i="14236"/>
  <c r="S62" i="14236"/>
  <c r="S61" i="14236"/>
  <c r="R60" i="14236"/>
  <c r="R59" i="14236"/>
  <c r="R58" i="14236"/>
  <c r="R57" i="14236"/>
  <c r="R56" i="14236"/>
  <c r="R55" i="14236"/>
  <c r="R54" i="14236"/>
  <c r="R53" i="14236"/>
  <c r="R52" i="14236"/>
  <c r="R51" i="14236"/>
  <c r="R50" i="14236"/>
  <c r="R49" i="14236"/>
  <c r="R48" i="14236"/>
  <c r="R47" i="14236"/>
  <c r="S46" i="14236"/>
  <c r="R45" i="14236"/>
  <c r="R44" i="14236"/>
  <c r="S43" i="14236"/>
  <c r="S42" i="14236"/>
  <c r="S41" i="14236"/>
  <c r="R40" i="14236"/>
  <c r="R39" i="14236"/>
  <c r="S38" i="14236"/>
  <c r="R37" i="14236"/>
  <c r="R36" i="14236"/>
  <c r="R35" i="14236"/>
  <c r="R34" i="14236"/>
  <c r="R33" i="14236"/>
  <c r="R32" i="14236"/>
  <c r="R31" i="14236"/>
  <c r="R30" i="14236"/>
  <c r="R29" i="14236"/>
  <c r="S28" i="14236"/>
  <c r="S27" i="14236"/>
  <c r="S26" i="14236"/>
  <c r="R25" i="14236"/>
  <c r="R24" i="14236"/>
  <c r="R23" i="14236"/>
  <c r="R22" i="14236"/>
  <c r="R21" i="14236"/>
  <c r="S20" i="14236"/>
  <c r="R19" i="14236"/>
  <c r="S17" i="14236"/>
  <c r="S16" i="14236"/>
  <c r="S15" i="14236"/>
  <c r="S14" i="14236"/>
  <c r="S13" i="14236"/>
  <c r="S12" i="14236"/>
  <c r="S11" i="14236"/>
  <c r="S10" i="14236"/>
  <c r="S9" i="14236"/>
  <c r="Q8" i="14236"/>
  <c r="S8" i="14236" s="1"/>
  <c r="O8" i="14236"/>
  <c r="S7" i="14236"/>
  <c r="R10" i="14235"/>
  <c r="R9" i="14235"/>
  <c r="R8" i="14235"/>
  <c r="N66" i="14234"/>
  <c r="Q65" i="14234"/>
  <c r="R64" i="14234"/>
  <c r="Q63" i="14234"/>
  <c r="P63" i="14234"/>
  <c r="R63" i="14234" s="1"/>
  <c r="R61" i="14234"/>
  <c r="R60" i="14234"/>
  <c r="R59" i="14234"/>
  <c r="Q58" i="14234"/>
  <c r="P58" i="14234"/>
  <c r="Q57" i="14234"/>
  <c r="R57" i="14234" s="1"/>
  <c r="P57" i="14234"/>
  <c r="R49" i="14234"/>
  <c r="P49" i="14234"/>
  <c r="R33" i="14234"/>
  <c r="R28" i="14234"/>
  <c r="R27" i="14234"/>
  <c r="R26" i="14234"/>
  <c r="R25" i="14234"/>
  <c r="R24" i="14234"/>
  <c r="R23" i="14234"/>
  <c r="R22" i="14234"/>
  <c r="R21" i="14234"/>
  <c r="R20" i="14234"/>
  <c r="R19" i="14234"/>
  <c r="R18" i="14234"/>
  <c r="R17" i="14234"/>
  <c r="R16" i="14234"/>
  <c r="R15" i="14234"/>
  <c r="R14" i="14234"/>
  <c r="Q13" i="14234"/>
  <c r="R12" i="14234"/>
  <c r="Q11" i="14234"/>
  <c r="R10" i="14234"/>
  <c r="R9" i="14234"/>
  <c r="R8" i="14234"/>
  <c r="Q7" i="14234"/>
  <c r="R102" i="14233"/>
  <c r="R101" i="14233"/>
  <c r="R99" i="14233"/>
  <c r="R97" i="14233"/>
  <c r="R96" i="14233"/>
  <c r="Q95" i="14233"/>
  <c r="Q94" i="14233"/>
  <c r="R93" i="14233"/>
  <c r="R92" i="14233"/>
  <c r="R86" i="14233"/>
  <c r="R83" i="14233"/>
  <c r="R79" i="14233"/>
  <c r="R78" i="14233"/>
  <c r="R77" i="14233"/>
  <c r="R76" i="14233"/>
  <c r="R75" i="14233"/>
  <c r="Q74" i="14233"/>
  <c r="R73" i="14233"/>
  <c r="Q72" i="14233"/>
  <c r="N52" i="14233"/>
  <c r="N50" i="14233"/>
  <c r="P48" i="14233"/>
  <c r="R48" i="14233" s="1"/>
  <c r="N46" i="14233"/>
  <c r="N42" i="14233"/>
  <c r="N104" i="14233" s="1"/>
  <c r="R41" i="14233"/>
  <c r="P31" i="14233"/>
  <c r="R31" i="14233" s="1"/>
  <c r="R28" i="14233"/>
  <c r="R7" i="14233"/>
  <c r="N323" i="14232"/>
  <c r="Q322" i="14232"/>
  <c r="R321" i="14232"/>
  <c r="R320" i="14232"/>
  <c r="P178" i="14232"/>
  <c r="R178" i="14232" s="1"/>
  <c r="R169" i="14232"/>
  <c r="R168" i="14232"/>
  <c r="R136" i="14232"/>
  <c r="P136" i="14232"/>
  <c r="P119" i="14232"/>
  <c r="R119" i="14232" s="1"/>
  <c r="P78" i="14232"/>
  <c r="R78" i="14232" s="1"/>
  <c r="P44" i="14232"/>
  <c r="P323" i="14232" s="1"/>
  <c r="R30" i="14232"/>
  <c r="R23" i="14232"/>
  <c r="R22" i="14232"/>
  <c r="Q21" i="14232"/>
  <c r="Q20" i="14232"/>
  <c r="Q19" i="14232"/>
  <c r="R18" i="14232"/>
  <c r="R17" i="14232"/>
  <c r="Q16" i="14232"/>
  <c r="R15" i="14232"/>
  <c r="R14" i="14232"/>
  <c r="R13" i="14232"/>
  <c r="R12" i="14232"/>
  <c r="R11" i="14232"/>
  <c r="Q10" i="14232"/>
  <c r="Q9" i="14232"/>
  <c r="Q8" i="14232"/>
  <c r="Q7" i="14232"/>
  <c r="Q6" i="14232"/>
  <c r="N252" i="14231"/>
  <c r="R251" i="14231"/>
  <c r="R250" i="14231"/>
  <c r="R249" i="14231"/>
  <c r="R248" i="14231"/>
  <c r="R247" i="14231"/>
  <c r="R246" i="14231"/>
  <c r="R245" i="14231"/>
  <c r="R244" i="14231"/>
  <c r="R243" i="14231"/>
  <c r="R242" i="14231"/>
  <c r="R241" i="14231"/>
  <c r="R240" i="14231"/>
  <c r="R239" i="14231"/>
  <c r="R238" i="14231"/>
  <c r="R237" i="14231"/>
  <c r="R236" i="14231"/>
  <c r="R235" i="14231"/>
  <c r="R234" i="14231"/>
  <c r="R233" i="14231"/>
  <c r="R232" i="14231"/>
  <c r="Q231" i="14231"/>
  <c r="Q230" i="14231"/>
  <c r="Q229" i="14231"/>
  <c r="Q228" i="14231"/>
  <c r="Q227" i="14231"/>
  <c r="Q226" i="14231"/>
  <c r="Q225" i="14231"/>
  <c r="Q224" i="14231"/>
  <c r="Q223" i="14231"/>
  <c r="Q222" i="14231"/>
  <c r="Q221" i="14231"/>
  <c r="Q220" i="14231"/>
  <c r="Q219" i="14231"/>
  <c r="Q218" i="14231"/>
  <c r="Q217" i="14231"/>
  <c r="Q216" i="14231"/>
  <c r="R215" i="14231"/>
  <c r="Q214" i="14231"/>
  <c r="Q213" i="14231"/>
  <c r="Q212" i="14231"/>
  <c r="Q211" i="14231"/>
  <c r="Q210" i="14231"/>
  <c r="Q209" i="14231"/>
  <c r="Q208" i="14231"/>
  <c r="Q207" i="14231"/>
  <c r="Q206" i="14231"/>
  <c r="Q205" i="14231"/>
  <c r="Q204" i="14231"/>
  <c r="Q203" i="14231"/>
  <c r="Q202" i="14231"/>
  <c r="Q201" i="14231"/>
  <c r="Q200" i="14231"/>
  <c r="Q199" i="14231"/>
  <c r="Q198" i="14231"/>
  <c r="Q197" i="14231"/>
  <c r="Q196" i="14231"/>
  <c r="Q195" i="14231"/>
  <c r="Q194" i="14231"/>
  <c r="Q193" i="14231"/>
  <c r="Q192" i="14231"/>
  <c r="Q191" i="14231"/>
  <c r="Q190" i="14231"/>
  <c r="Q189" i="14231"/>
  <c r="Q188" i="14231"/>
  <c r="Q187" i="14231"/>
  <c r="R186" i="14231"/>
  <c r="R185" i="14231"/>
  <c r="R182" i="14231"/>
  <c r="R181" i="14231"/>
  <c r="R180" i="14231"/>
  <c r="R179" i="14231"/>
  <c r="Q178" i="14231"/>
  <c r="Q177" i="14231"/>
  <c r="Q176" i="14231"/>
  <c r="Q175" i="14231"/>
  <c r="R170" i="14231"/>
  <c r="R169" i="14231"/>
  <c r="R168" i="14231"/>
  <c r="R167" i="14231"/>
  <c r="R166" i="14231"/>
  <c r="R165" i="14231"/>
  <c r="R164" i="14231"/>
  <c r="R163" i="14231"/>
  <c r="R162" i="14231"/>
  <c r="R161" i="14231"/>
  <c r="R160" i="14231"/>
  <c r="R158" i="14231"/>
  <c r="R157" i="14231"/>
  <c r="R156" i="14231"/>
  <c r="R155" i="14231"/>
  <c r="R153" i="14231"/>
  <c r="R152" i="14231"/>
  <c r="R151" i="14231"/>
  <c r="R150" i="14231"/>
  <c r="R148" i="14231"/>
  <c r="R147" i="14231"/>
  <c r="R146" i="14231"/>
  <c r="R144" i="14231"/>
  <c r="R143" i="14231"/>
  <c r="R142" i="14231"/>
  <c r="R141" i="14231"/>
  <c r="R140" i="14231"/>
  <c r="R139" i="14231"/>
  <c r="R138" i="14231"/>
  <c r="R137" i="14231"/>
  <c r="R136" i="14231"/>
  <c r="R135" i="14231"/>
  <c r="R134" i="14231"/>
  <c r="R133" i="14231"/>
  <c r="R132" i="14231"/>
  <c r="R131" i="14231"/>
  <c r="R130" i="14231"/>
  <c r="R128" i="14231"/>
  <c r="R127" i="14231"/>
  <c r="R125" i="14231"/>
  <c r="R124" i="14231"/>
  <c r="Q123" i="14231"/>
  <c r="R121" i="14231"/>
  <c r="R113" i="14231"/>
  <c r="R49" i="14231"/>
  <c r="P49" i="14231"/>
  <c r="R41" i="14231"/>
  <c r="R40" i="14231"/>
  <c r="R39" i="14231"/>
  <c r="R38" i="14231"/>
  <c r="R37" i="14231"/>
  <c r="Q36" i="14231"/>
  <c r="Q35" i="14231"/>
  <c r="Q34" i="14231"/>
  <c r="Q33" i="14231"/>
  <c r="Q32" i="14231"/>
  <c r="Q31" i="14231"/>
  <c r="Q30" i="14231"/>
  <c r="Q29" i="14231"/>
  <c r="Q28" i="14231"/>
  <c r="Q27" i="14231"/>
  <c r="Q26" i="14231"/>
  <c r="Q25" i="14231"/>
  <c r="R24" i="14231"/>
  <c r="R23" i="14231"/>
  <c r="R22" i="14231"/>
  <c r="R21" i="14231"/>
  <c r="Q20" i="14231"/>
  <c r="Q19" i="14231"/>
  <c r="Q18" i="14231"/>
  <c r="R16" i="14231"/>
  <c r="Q13" i="14231"/>
  <c r="Q12" i="14231"/>
  <c r="Q11" i="14231"/>
  <c r="R10" i="14231"/>
  <c r="P8" i="14231"/>
  <c r="R8" i="14231" s="1"/>
  <c r="Q7" i="14231"/>
  <c r="Q145" i="14230"/>
  <c r="N145" i="14230"/>
  <c r="S144" i="14230"/>
  <c r="S143" i="14230"/>
  <c r="S142" i="14230"/>
  <c r="S141" i="14230"/>
  <c r="S140" i="14230"/>
  <c r="S139" i="14230"/>
  <c r="S138" i="14230"/>
  <c r="S136" i="14230"/>
  <c r="N136" i="14230"/>
  <c r="S135" i="14230"/>
  <c r="S134" i="14230"/>
  <c r="S133" i="14230"/>
  <c r="S132" i="14230"/>
  <c r="S131" i="14230"/>
  <c r="S130" i="14230"/>
  <c r="S129" i="14230"/>
  <c r="S128" i="14230"/>
  <c r="S127" i="14230"/>
  <c r="S126" i="14230"/>
  <c r="S125" i="14230"/>
  <c r="S124" i="14230"/>
  <c r="S123" i="14230"/>
  <c r="S122" i="14230"/>
  <c r="S121" i="14230"/>
  <c r="S120" i="14230"/>
  <c r="S119" i="14230"/>
  <c r="S118" i="14230"/>
  <c r="Q117" i="14230"/>
  <c r="S117" i="14230" s="1"/>
  <c r="Q116" i="14230"/>
  <c r="S116" i="14230" s="1"/>
  <c r="S115" i="14230"/>
  <c r="S114" i="14230"/>
  <c r="S113" i="14230"/>
  <c r="S112" i="14230"/>
  <c r="S111" i="14230"/>
  <c r="S110" i="14230"/>
  <c r="S108" i="14230"/>
  <c r="S107" i="14230"/>
  <c r="S106" i="14230"/>
  <c r="S105" i="14230"/>
  <c r="S104" i="14230"/>
  <c r="S103" i="14230"/>
  <c r="S102" i="14230"/>
  <c r="S101" i="14230"/>
  <c r="S100" i="14230"/>
  <c r="S52" i="14230"/>
  <c r="S51" i="14230"/>
  <c r="R50" i="14230"/>
  <c r="R49" i="14230"/>
  <c r="R48" i="14230"/>
  <c r="R47" i="14230"/>
  <c r="R46" i="14230"/>
  <c r="S45" i="14230"/>
  <c r="S44" i="14230"/>
  <c r="S43" i="14230"/>
  <c r="R42" i="14230"/>
  <c r="S41" i="14230"/>
  <c r="R40" i="14230"/>
  <c r="S39" i="14230"/>
  <c r="R38" i="14230"/>
  <c r="R37" i="14230"/>
  <c r="R36" i="14230"/>
  <c r="R35" i="14230"/>
  <c r="S34" i="14230"/>
  <c r="S33" i="14230"/>
  <c r="S32" i="14230"/>
  <c r="S31" i="14230"/>
  <c r="R30" i="14230"/>
  <c r="R29" i="14230"/>
  <c r="R28" i="14230"/>
  <c r="R27" i="14230"/>
  <c r="R26" i="14230"/>
  <c r="S25" i="14230"/>
  <c r="Q25" i="14230"/>
  <c r="R24" i="14230"/>
  <c r="R22" i="14230"/>
  <c r="R21" i="14230"/>
  <c r="R20" i="14230"/>
  <c r="R19" i="14230"/>
  <c r="S18" i="14230"/>
  <c r="R17" i="14230"/>
  <c r="S16" i="14230"/>
  <c r="R15" i="14230"/>
  <c r="R14" i="14230"/>
  <c r="R13" i="14230"/>
  <c r="R12" i="14230"/>
  <c r="R11" i="14230"/>
  <c r="R10" i="14230"/>
  <c r="S9" i="14230"/>
  <c r="R8" i="14230"/>
  <c r="R7" i="14230"/>
  <c r="P10" i="14228"/>
  <c r="N10" i="14228"/>
  <c r="Q9" i="14228"/>
  <c r="Q8" i="14228"/>
  <c r="P8" i="14228"/>
  <c r="Q7" i="14228"/>
  <c r="P89" i="14227"/>
  <c r="V89" i="14227" s="1"/>
  <c r="P87" i="14227"/>
  <c r="V87" i="14227" s="1"/>
  <c r="Q84" i="14227"/>
  <c r="W84" i="14227" s="1"/>
  <c r="P84" i="14227"/>
  <c r="V84" i="14227" s="1"/>
  <c r="R84" i="14227" s="1"/>
  <c r="U82" i="14227"/>
  <c r="Q86" i="14227" s="1"/>
  <c r="W86" i="14227" s="1"/>
  <c r="Q82" i="14227"/>
  <c r="W82" i="14227" s="1"/>
  <c r="P82" i="14227"/>
  <c r="V82" i="14227" s="1"/>
  <c r="W81" i="14227"/>
  <c r="V80" i="14227"/>
  <c r="Q80" i="14227"/>
  <c r="P80" i="14227"/>
  <c r="R80" i="14227" s="1"/>
  <c r="W79" i="14227"/>
  <c r="V79" i="14227"/>
  <c r="Q78" i="14227"/>
  <c r="P78" i="14227"/>
  <c r="R78" i="14227" s="1"/>
  <c r="W77" i="14227"/>
  <c r="V77" i="14227"/>
  <c r="Q77" i="14227"/>
  <c r="P77" i="14227"/>
  <c r="R77" i="14227" s="1"/>
  <c r="V76" i="14227"/>
  <c r="W75" i="14227"/>
  <c r="V75" i="14227"/>
  <c r="Q75" i="14227"/>
  <c r="P75" i="14227"/>
  <c r="R75" i="14227" s="1"/>
  <c r="W74" i="14227"/>
  <c r="V74" i="14227"/>
  <c r="Q74" i="14227"/>
  <c r="Q73" i="14227"/>
  <c r="P73" i="14227"/>
  <c r="R73" i="14227" s="1"/>
  <c r="W72" i="14227"/>
  <c r="V72" i="14227"/>
  <c r="Q72" i="14227"/>
  <c r="W71" i="14227"/>
  <c r="P71" i="14227"/>
  <c r="W70" i="14227"/>
  <c r="V70" i="14227"/>
  <c r="R70" i="14227"/>
  <c r="Q70" i="14227"/>
  <c r="P70" i="14227"/>
  <c r="W69" i="14227"/>
  <c r="V68" i="14227"/>
  <c r="Q68" i="14227"/>
  <c r="P68" i="14227"/>
  <c r="R68" i="14227" s="1"/>
  <c r="W67" i="14227"/>
  <c r="V67" i="14227"/>
  <c r="R67" i="14227"/>
  <c r="Q67" i="14227"/>
  <c r="P67" i="14227"/>
  <c r="U66" i="14227"/>
  <c r="V81" i="14227" s="1"/>
  <c r="Q66" i="14227"/>
  <c r="P66" i="14227"/>
  <c r="R66" i="14227" s="1"/>
  <c r="U65" i="14227"/>
  <c r="Q65" i="14227" s="1"/>
  <c r="W65" i="14227" s="1"/>
  <c r="U41" i="14227"/>
  <c r="W62" i="14227" s="1"/>
  <c r="Q62" i="14227" s="1"/>
  <c r="O41" i="14227"/>
  <c r="U40" i="14227"/>
  <c r="P40" i="14227" s="1"/>
  <c r="V40" i="14227" s="1"/>
  <c r="Q40" i="14227"/>
  <c r="W40" i="14227" s="1"/>
  <c r="V39" i="14227"/>
  <c r="U39" i="14227"/>
  <c r="Q39" i="14227" s="1"/>
  <c r="W39" i="14227" s="1"/>
  <c r="P39" i="14227"/>
  <c r="U38" i="14227"/>
  <c r="P38" i="14227" s="1"/>
  <c r="V38" i="14227" s="1"/>
  <c r="Q38" i="14227"/>
  <c r="W38" i="14227" s="1"/>
  <c r="V37" i="14227"/>
  <c r="R37" i="14227" s="1"/>
  <c r="U37" i="14227"/>
  <c r="Q37" i="14227" s="1"/>
  <c r="W37" i="14227" s="1"/>
  <c r="P37" i="14227"/>
  <c r="U36" i="14227"/>
  <c r="P36" i="14227" s="1"/>
  <c r="V36" i="14227" s="1"/>
  <c r="R36" i="14227" s="1"/>
  <c r="Q36" i="14227"/>
  <c r="W36" i="14227" s="1"/>
  <c r="AA35" i="14227"/>
  <c r="W35" i="14227"/>
  <c r="U35" i="14227"/>
  <c r="P35" i="14227" s="1"/>
  <c r="V35" i="14227" s="1"/>
  <c r="R35" i="14227" s="1"/>
  <c r="Q35" i="14227"/>
  <c r="U34" i="14227"/>
  <c r="Q34" i="14227" s="1"/>
  <c r="W34" i="14227" s="1"/>
  <c r="P34" i="14227"/>
  <c r="V34" i="14227" s="1"/>
  <c r="R34" i="14227" s="1"/>
  <c r="W33" i="14227"/>
  <c r="Q33" i="14227" s="1"/>
  <c r="U32" i="14227"/>
  <c r="V33" i="14227" s="1"/>
  <c r="P33" i="14227" s="1"/>
  <c r="R33" i="14227" s="1"/>
  <c r="V31" i="14227"/>
  <c r="U31" i="14227"/>
  <c r="Q31" i="14227" s="1"/>
  <c r="W31" i="14227" s="1"/>
  <c r="P31" i="14227"/>
  <c r="U30" i="14227"/>
  <c r="P30" i="14227" s="1"/>
  <c r="Q30" i="14227"/>
  <c r="W30" i="14227" s="1"/>
  <c r="V29" i="14227"/>
  <c r="U29" i="14227"/>
  <c r="Q29" i="14227" s="1"/>
  <c r="W29" i="14227" s="1"/>
  <c r="P29" i="14227"/>
  <c r="R29" i="14227" s="1"/>
  <c r="Q28" i="14227"/>
  <c r="W28" i="14227" s="1"/>
  <c r="P28" i="14227"/>
  <c r="V28" i="14227" s="1"/>
  <c r="V27" i="14227"/>
  <c r="R27" i="14227"/>
  <c r="Q27" i="14227"/>
  <c r="W27" i="14227" s="1"/>
  <c r="P27" i="14227"/>
  <c r="Q26" i="14227"/>
  <c r="W26" i="14227" s="1"/>
  <c r="P26" i="14227"/>
  <c r="V26" i="14227" s="1"/>
  <c r="Q25" i="14227"/>
  <c r="W25" i="14227" s="1"/>
  <c r="P25" i="14227"/>
  <c r="V25" i="14227" s="1"/>
  <c r="V24" i="14227"/>
  <c r="Q24" i="14227"/>
  <c r="W24" i="14227" s="1"/>
  <c r="P24" i="14227"/>
  <c r="R24" i="14227" s="1"/>
  <c r="V23" i="14227"/>
  <c r="Q23" i="14227"/>
  <c r="W23" i="14227" s="1"/>
  <c r="P23" i="14227"/>
  <c r="V22" i="14227"/>
  <c r="Q22" i="14227"/>
  <c r="R22" i="14227" s="1"/>
  <c r="P22" i="14227"/>
  <c r="Q21" i="14227"/>
  <c r="W21" i="14227" s="1"/>
  <c r="P21" i="14227"/>
  <c r="V21" i="14227" s="1"/>
  <c r="U20" i="14227"/>
  <c r="Q20" i="14227" s="1"/>
  <c r="W20" i="14227" s="1"/>
  <c r="V19" i="14227"/>
  <c r="U19" i="14227"/>
  <c r="Q19" i="14227"/>
  <c r="W19" i="14227" s="1"/>
  <c r="P19" i="14227"/>
  <c r="R19" i="14227" s="1"/>
  <c r="U18" i="14227"/>
  <c r="Q18" i="14227" s="1"/>
  <c r="W18" i="14227" s="1"/>
  <c r="V17" i="14227"/>
  <c r="U17" i="14227"/>
  <c r="Q17" i="14227"/>
  <c r="W17" i="14227" s="1"/>
  <c r="P17" i="14227"/>
  <c r="R17" i="14227" s="1"/>
  <c r="U16" i="14227"/>
  <c r="Q16" i="14227" s="1"/>
  <c r="W16" i="14227" s="1"/>
  <c r="V15" i="14227"/>
  <c r="R15" i="14227" s="1"/>
  <c r="U15" i="14227"/>
  <c r="Q15" i="14227"/>
  <c r="W15" i="14227" s="1"/>
  <c r="P15" i="14227"/>
  <c r="U13" i="14227"/>
  <c r="W13" i="14227" s="1"/>
  <c r="Q13" i="14227" s="1"/>
  <c r="V12" i="14227"/>
  <c r="U12" i="14227"/>
  <c r="Q12" i="14227"/>
  <c r="W12" i="14227" s="1"/>
  <c r="P12" i="14227"/>
  <c r="U11" i="14227"/>
  <c r="Q11" i="14227" s="1"/>
  <c r="W11" i="14227" s="1"/>
  <c r="W10" i="14227"/>
  <c r="V10" i="14227"/>
  <c r="Q10" i="14227"/>
  <c r="P10" i="14227"/>
  <c r="R10" i="14227" s="1"/>
  <c r="W9" i="14227"/>
  <c r="Q9" i="14227" s="1"/>
  <c r="V9" i="14227"/>
  <c r="P9" i="14227" s="1"/>
  <c r="R9" i="14227" s="1"/>
  <c r="U9" i="14227"/>
  <c r="U8" i="14227"/>
  <c r="Q8" i="14227"/>
  <c r="W8" i="14227" s="1"/>
  <c r="P8" i="14227"/>
  <c r="V8" i="14227" s="1"/>
  <c r="R8" i="14227" s="1"/>
  <c r="V7" i="14227"/>
  <c r="Q7" i="14227"/>
  <c r="W7" i="14227" s="1"/>
  <c r="P7" i="14227"/>
  <c r="R142" i="14226"/>
  <c r="R141" i="14226"/>
  <c r="R140" i="14226"/>
  <c r="R139" i="14226"/>
  <c r="R138" i="14226"/>
  <c r="R137" i="14226"/>
  <c r="R136" i="14226"/>
  <c r="R135" i="14226"/>
  <c r="R134" i="14226"/>
  <c r="R133" i="14226"/>
  <c r="R132" i="14226"/>
  <c r="R131" i="14226"/>
  <c r="R130" i="14226"/>
  <c r="R129" i="14226"/>
  <c r="R128" i="14226"/>
  <c r="R127" i="14226"/>
  <c r="R126" i="14226"/>
  <c r="R125" i="14226"/>
  <c r="R124" i="14226"/>
  <c r="R123" i="14226"/>
  <c r="R122" i="14226"/>
  <c r="R121" i="14226"/>
  <c r="R120" i="14226"/>
  <c r="R119" i="14226"/>
  <c r="R118" i="14226"/>
  <c r="R117" i="14226"/>
  <c r="R116" i="14226"/>
  <c r="R115" i="14226"/>
  <c r="R114" i="14226"/>
  <c r="R113" i="14226"/>
  <c r="R112" i="14226"/>
  <c r="R111" i="14226"/>
  <c r="R110" i="14226"/>
  <c r="R109" i="14226"/>
  <c r="R108" i="14226"/>
  <c r="R107" i="14226"/>
  <c r="R106" i="14226"/>
  <c r="R105" i="14226"/>
  <c r="R104" i="14226"/>
  <c r="R103" i="14226"/>
  <c r="R102" i="14226"/>
  <c r="R101" i="14226"/>
  <c r="R100" i="14226"/>
  <c r="R99" i="14226"/>
  <c r="R98" i="14226"/>
  <c r="R97" i="14226"/>
  <c r="R96" i="14226"/>
  <c r="R95" i="14226"/>
  <c r="R94" i="14226"/>
  <c r="R93" i="14226"/>
  <c r="R92" i="14226"/>
  <c r="R91" i="14226"/>
  <c r="R90" i="14226"/>
  <c r="R89" i="14226"/>
  <c r="R88" i="14226"/>
  <c r="R87" i="14226"/>
  <c r="R86" i="14226"/>
  <c r="R85" i="14226"/>
  <c r="R84" i="14226"/>
  <c r="P83" i="14226"/>
  <c r="Q82" i="14226"/>
  <c r="Q81" i="14226"/>
  <c r="R80" i="14226"/>
  <c r="R79" i="14226"/>
  <c r="R78" i="14226"/>
  <c r="Q77" i="14226"/>
  <c r="R76" i="14226"/>
  <c r="R75" i="14226"/>
  <c r="R74" i="14226"/>
  <c r="R73" i="14226"/>
  <c r="R70" i="14226"/>
  <c r="R69" i="14226"/>
  <c r="R68" i="14226"/>
  <c r="R67" i="14226"/>
  <c r="R66" i="14226"/>
  <c r="R65" i="14226"/>
  <c r="R64" i="14226"/>
  <c r="R63" i="14226"/>
  <c r="R62" i="14226"/>
  <c r="R61" i="14226"/>
  <c r="R60" i="14226"/>
  <c r="R56" i="14226"/>
  <c r="Q55" i="14226"/>
  <c r="P55" i="14226"/>
  <c r="R55" i="14226" s="1"/>
  <c r="N55" i="14226"/>
  <c r="R54" i="14226"/>
  <c r="R53" i="14226"/>
  <c r="N53" i="14226"/>
  <c r="R52" i="14226"/>
  <c r="R51" i="14226"/>
  <c r="R50" i="14226"/>
  <c r="R49" i="14226"/>
  <c r="Q48" i="14226"/>
  <c r="P48" i="14226"/>
  <c r="R48" i="14226" s="1"/>
  <c r="N48" i="14226"/>
  <c r="R47" i="14226"/>
  <c r="N47" i="14226"/>
  <c r="R46" i="14226"/>
  <c r="N44" i="14226"/>
  <c r="P43" i="14226"/>
  <c r="R43" i="14226" s="1"/>
  <c r="N43" i="14226"/>
  <c r="Q42" i="14226"/>
  <c r="P42" i="14226"/>
  <c r="R42" i="14226" s="1"/>
  <c r="N42" i="14226"/>
  <c r="R41" i="14226"/>
  <c r="P39" i="14226"/>
  <c r="R39" i="14226" s="1"/>
  <c r="P38" i="14226"/>
  <c r="R38" i="14226" s="1"/>
  <c r="R37" i="14226"/>
  <c r="R36" i="14226"/>
  <c r="R35" i="14226"/>
  <c r="Q34" i="14226"/>
  <c r="R33" i="14226"/>
  <c r="N33" i="14226"/>
  <c r="R32" i="14226"/>
  <c r="R31" i="14226"/>
  <c r="R30" i="14226"/>
  <c r="N30" i="14226"/>
  <c r="R29" i="14226"/>
  <c r="R27" i="14226"/>
  <c r="N27" i="14226"/>
  <c r="R26" i="14226"/>
  <c r="R25" i="14226"/>
  <c r="R24" i="14226"/>
  <c r="R23" i="14226"/>
  <c r="R22" i="14226"/>
  <c r="R21" i="14226"/>
  <c r="R19" i="14226"/>
  <c r="R18" i="14226"/>
  <c r="N18" i="14226"/>
  <c r="R17" i="14226"/>
  <c r="R16" i="14226"/>
  <c r="R15" i="14226"/>
  <c r="R14" i="14226"/>
  <c r="R13" i="14226"/>
  <c r="P12" i="14226"/>
  <c r="R12" i="14226" s="1"/>
  <c r="N12" i="14226"/>
  <c r="Q11" i="14226"/>
  <c r="Q10" i="14226"/>
  <c r="R9" i="14226"/>
  <c r="Q8" i="14226"/>
  <c r="Q7" i="14226"/>
  <c r="I115" i="14225"/>
  <c r="I111" i="14225"/>
  <c r="I110" i="14225"/>
  <c r="I109" i="14225"/>
  <c r="I108" i="14225"/>
  <c r="I107" i="14225"/>
  <c r="I106" i="14225"/>
  <c r="I105" i="14225"/>
  <c r="H104" i="14225"/>
  <c r="H103" i="14225"/>
  <c r="M102" i="14225"/>
  <c r="H102" i="14225" s="1"/>
  <c r="I102" i="14225"/>
  <c r="M101" i="14225"/>
  <c r="I101" i="14225" s="1"/>
  <c r="M100" i="14225"/>
  <c r="I100" i="14225"/>
  <c r="H100" i="14225"/>
  <c r="I99" i="14225"/>
  <c r="H99" i="14225"/>
  <c r="H98" i="14225"/>
  <c r="H97" i="14225"/>
  <c r="H96" i="14225"/>
  <c r="H95" i="14225"/>
  <c r="H94" i="14225"/>
  <c r="H93" i="14225"/>
  <c r="H92" i="14225"/>
  <c r="H91" i="14225"/>
  <c r="H90" i="14225"/>
  <c r="H89" i="14225"/>
  <c r="H88" i="14225"/>
  <c r="H87" i="14225"/>
  <c r="H86" i="14225"/>
  <c r="H85" i="14225"/>
  <c r="H84" i="14225"/>
  <c r="H83" i="14225"/>
  <c r="H82" i="14225"/>
  <c r="H81" i="14225"/>
  <c r="H80" i="14225"/>
  <c r="H79" i="14225"/>
  <c r="H78" i="14225"/>
  <c r="H77" i="14225"/>
  <c r="H76" i="14225"/>
  <c r="H75" i="14225"/>
  <c r="H74" i="14225"/>
  <c r="H73" i="14225"/>
  <c r="H72" i="14225"/>
  <c r="H71" i="14225"/>
  <c r="H70" i="14225"/>
  <c r="H69" i="14225"/>
  <c r="H68" i="14225"/>
  <c r="H67" i="14225"/>
  <c r="H66" i="14225"/>
  <c r="H65" i="14225"/>
  <c r="H64" i="14225"/>
  <c r="H63" i="14225"/>
  <c r="H62" i="14225"/>
  <c r="H61" i="14225"/>
  <c r="H60" i="14225"/>
  <c r="H59" i="14225"/>
  <c r="H58" i="14225"/>
  <c r="H57" i="14225"/>
  <c r="H56" i="14225"/>
  <c r="H55" i="14225"/>
  <c r="H53" i="14225"/>
  <c r="H52" i="14225"/>
  <c r="H51" i="14225"/>
  <c r="H50" i="14225"/>
  <c r="H49" i="14225"/>
  <c r="H48" i="14225"/>
  <c r="H47" i="14225"/>
  <c r="H46" i="14225"/>
  <c r="H45" i="14225"/>
  <c r="H44" i="14225"/>
  <c r="I43" i="14225"/>
  <c r="M42" i="14225"/>
  <c r="I42" i="14225"/>
  <c r="H42" i="14225"/>
  <c r="M41" i="14225"/>
  <c r="I41" i="14225"/>
  <c r="H41" i="14225"/>
  <c r="M40" i="14225"/>
  <c r="I40" i="14225" s="1"/>
  <c r="M39" i="14225"/>
  <c r="H39" i="14225" s="1"/>
  <c r="I39" i="14225"/>
  <c r="M38" i="14225"/>
  <c r="H38" i="14225" s="1"/>
  <c r="I38" i="14225"/>
  <c r="M37" i="14225"/>
  <c r="I37" i="14225"/>
  <c r="H37" i="14225"/>
  <c r="I36" i="14225"/>
  <c r="H36" i="14225"/>
  <c r="M35" i="14225"/>
  <c r="I35" i="14225"/>
  <c r="H35" i="14225"/>
  <c r="M34" i="14225"/>
  <c r="I34" i="14225"/>
  <c r="H34" i="14225"/>
  <c r="M33" i="14225"/>
  <c r="I33" i="14225" s="1"/>
  <c r="H33" i="14225"/>
  <c r="M32" i="14225"/>
  <c r="H32" i="14225" s="1"/>
  <c r="I32" i="14225"/>
  <c r="M31" i="14225"/>
  <c r="I31" i="14225"/>
  <c r="H31" i="14225"/>
  <c r="M30" i="14225"/>
  <c r="I30" i="14225" s="1"/>
  <c r="M29" i="14225"/>
  <c r="K29" i="14225"/>
  <c r="H29" i="14225" s="1"/>
  <c r="I29" i="14225"/>
  <c r="M28" i="14225"/>
  <c r="I28" i="14225" s="1"/>
  <c r="M27" i="14225"/>
  <c r="I27" i="14225"/>
  <c r="H27" i="14225"/>
  <c r="M26" i="14225"/>
  <c r="H26" i="14225" s="1"/>
  <c r="I26" i="14225"/>
  <c r="M25" i="14225"/>
  <c r="H25" i="14225" s="1"/>
  <c r="I25" i="14225"/>
  <c r="M24" i="14225"/>
  <c r="I24" i="14225" s="1"/>
  <c r="M23" i="14225"/>
  <c r="K23" i="14225"/>
  <c r="I23" i="14225" s="1"/>
  <c r="M22" i="14225"/>
  <c r="I22" i="14225"/>
  <c r="H22" i="14225"/>
  <c r="H21" i="14225"/>
  <c r="I20" i="14225"/>
  <c r="H20" i="14225"/>
  <c r="M19" i="14225"/>
  <c r="K19" i="14225"/>
  <c r="I19" i="14225"/>
  <c r="H19" i="14225"/>
  <c r="M18" i="14225"/>
  <c r="H18" i="14225"/>
  <c r="I18" i="14225" s="1"/>
  <c r="S75" i="14237" l="1"/>
  <c r="P66" i="14234"/>
  <c r="Q66" i="14234"/>
  <c r="R66" i="14234"/>
  <c r="Q96" i="14236"/>
  <c r="P104" i="14233"/>
  <c r="R44" i="14232"/>
  <c r="P252" i="14231"/>
  <c r="R8" i="14228"/>
  <c r="R39" i="14227"/>
  <c r="R40" i="14227"/>
  <c r="R82" i="14227"/>
  <c r="V30" i="14227"/>
  <c r="R30" i="14227"/>
  <c r="R7" i="14227"/>
  <c r="R31" i="14227"/>
  <c r="R87" i="14227"/>
  <c r="R89" i="14227"/>
  <c r="R71" i="14227"/>
  <c r="R38" i="14227"/>
  <c r="R12" i="14227"/>
  <c r="V41" i="14227"/>
  <c r="P41" i="14227" s="1"/>
  <c r="W48" i="14227"/>
  <c r="Q48" i="14227" s="1"/>
  <c r="V53" i="14227"/>
  <c r="P53" i="14227" s="1"/>
  <c r="W60" i="14227"/>
  <c r="Q60" i="14227" s="1"/>
  <c r="W22" i="14227"/>
  <c r="V14" i="14227"/>
  <c r="P14" i="14227" s="1"/>
  <c r="R25" i="14227"/>
  <c r="W41" i="14227"/>
  <c r="Q41" i="14227" s="1"/>
  <c r="V46" i="14227"/>
  <c r="P46" i="14227" s="1"/>
  <c r="R46" i="14227" s="1"/>
  <c r="W53" i="14227"/>
  <c r="Q53" i="14227" s="1"/>
  <c r="V58" i="14227"/>
  <c r="P58" i="14227" s="1"/>
  <c r="R58" i="14227" s="1"/>
  <c r="Q89" i="14227"/>
  <c r="W89" i="14227" s="1"/>
  <c r="W46" i="14227"/>
  <c r="Q46" i="14227" s="1"/>
  <c r="V51" i="14227"/>
  <c r="P51" i="14227" s="1"/>
  <c r="W58" i="14227"/>
  <c r="Q58" i="14227" s="1"/>
  <c r="V63" i="14227"/>
  <c r="P63" i="14227" s="1"/>
  <c r="V48" i="14227"/>
  <c r="P48" i="14227" s="1"/>
  <c r="R48" i="14227" s="1"/>
  <c r="W14" i="14227"/>
  <c r="Q14" i="14227" s="1"/>
  <c r="R23" i="14227"/>
  <c r="V44" i="14227"/>
  <c r="P44" i="14227" s="1"/>
  <c r="R44" i="14227" s="1"/>
  <c r="W51" i="14227"/>
  <c r="Q51" i="14227" s="1"/>
  <c r="V56" i="14227"/>
  <c r="P56" i="14227" s="1"/>
  <c r="R56" i="14227" s="1"/>
  <c r="W63" i="14227"/>
  <c r="Q63" i="14227" s="1"/>
  <c r="Q87" i="14227"/>
  <c r="W87" i="14227" s="1"/>
  <c r="R28" i="14227"/>
  <c r="W44" i="14227"/>
  <c r="Q44" i="14227" s="1"/>
  <c r="V49" i="14227"/>
  <c r="P49" i="14227" s="1"/>
  <c r="W56" i="14227"/>
  <c r="Q56" i="14227" s="1"/>
  <c r="V61" i="14227"/>
  <c r="P61" i="14227" s="1"/>
  <c r="P85" i="14227"/>
  <c r="V85" i="14227" s="1"/>
  <c r="W43" i="14227"/>
  <c r="Q43" i="14227" s="1"/>
  <c r="W55" i="14227"/>
  <c r="Q55" i="14227" s="1"/>
  <c r="V60" i="14227"/>
  <c r="P60" i="14227" s="1"/>
  <c r="R60" i="14227" s="1"/>
  <c r="P11" i="14227"/>
  <c r="V11" i="14227" s="1"/>
  <c r="R11" i="14227" s="1"/>
  <c r="R21" i="14227"/>
  <c r="V32" i="14227"/>
  <c r="P32" i="14227" s="1"/>
  <c r="V42" i="14227"/>
  <c r="P42" i="14227" s="1"/>
  <c r="W49" i="14227"/>
  <c r="Q49" i="14227" s="1"/>
  <c r="V54" i="14227"/>
  <c r="P54" i="14227" s="1"/>
  <c r="W61" i="14227"/>
  <c r="Q61" i="14227" s="1"/>
  <c r="Q85" i="14227"/>
  <c r="W85" i="14227" s="1"/>
  <c r="R26" i="14227"/>
  <c r="W32" i="14227"/>
  <c r="Q32" i="14227" s="1"/>
  <c r="W42" i="14227"/>
  <c r="Q42" i="14227" s="1"/>
  <c r="V47" i="14227"/>
  <c r="P47" i="14227" s="1"/>
  <c r="R47" i="14227" s="1"/>
  <c r="W54" i="14227"/>
  <c r="Q54" i="14227" s="1"/>
  <c r="V59" i="14227"/>
  <c r="P59" i="14227" s="1"/>
  <c r="R59" i="14227" s="1"/>
  <c r="W68" i="14227"/>
  <c r="Q71" i="14227"/>
  <c r="V73" i="14227"/>
  <c r="P76" i="14227"/>
  <c r="R76" i="14227" s="1"/>
  <c r="W80" i="14227"/>
  <c r="P83" i="14227"/>
  <c r="V83" i="14227" s="1"/>
  <c r="R83" i="14227" s="1"/>
  <c r="W47" i="14227"/>
  <c r="Q47" i="14227" s="1"/>
  <c r="V52" i="14227"/>
  <c r="P52" i="14227" s="1"/>
  <c r="W59" i="14227"/>
  <c r="Q59" i="14227" s="1"/>
  <c r="V64" i="14227"/>
  <c r="P64" i="14227" s="1"/>
  <c r="V66" i="14227"/>
  <c r="P69" i="14227"/>
  <c r="R69" i="14227" s="1"/>
  <c r="W73" i="14227"/>
  <c r="Q76" i="14227"/>
  <c r="V78" i="14227"/>
  <c r="P81" i="14227"/>
  <c r="Q83" i="14227"/>
  <c r="W83" i="14227" s="1"/>
  <c r="P88" i="14227"/>
  <c r="V88" i="14227" s="1"/>
  <c r="V13" i="14227"/>
  <c r="P13" i="14227" s="1"/>
  <c r="R13" i="14227" s="1"/>
  <c r="V45" i="14227"/>
  <c r="P45" i="14227" s="1"/>
  <c r="R45" i="14227" s="1"/>
  <c r="W52" i="14227"/>
  <c r="Q52" i="14227" s="1"/>
  <c r="V57" i="14227"/>
  <c r="P57" i="14227" s="1"/>
  <c r="W64" i="14227"/>
  <c r="Q64" i="14227" s="1"/>
  <c r="W66" i="14227"/>
  <c r="Q69" i="14227"/>
  <c r="V71" i="14227"/>
  <c r="P74" i="14227"/>
  <c r="R74" i="14227" s="1"/>
  <c r="W78" i="14227"/>
  <c r="Q81" i="14227"/>
  <c r="Q88" i="14227"/>
  <c r="W88" i="14227" s="1"/>
  <c r="W45" i="14227"/>
  <c r="Q45" i="14227" s="1"/>
  <c r="V50" i="14227"/>
  <c r="P50" i="14227" s="1"/>
  <c r="R50" i="14227" s="1"/>
  <c r="W57" i="14227"/>
  <c r="Q57" i="14227" s="1"/>
  <c r="V62" i="14227"/>
  <c r="P62" i="14227" s="1"/>
  <c r="R62" i="14227" s="1"/>
  <c r="P65" i="14227"/>
  <c r="V65" i="14227" s="1"/>
  <c r="R65" i="14227" s="1"/>
  <c r="P79" i="14227"/>
  <c r="P86" i="14227"/>
  <c r="V86" i="14227" s="1"/>
  <c r="R86" i="14227" s="1"/>
  <c r="P16" i="14227"/>
  <c r="V16" i="14227" s="1"/>
  <c r="R16" i="14227" s="1"/>
  <c r="P18" i="14227"/>
  <c r="P20" i="14227"/>
  <c r="V43" i="14227"/>
  <c r="P43" i="14227" s="1"/>
  <c r="R43" i="14227" s="1"/>
  <c r="W50" i="14227"/>
  <c r="Q50" i="14227" s="1"/>
  <c r="V55" i="14227"/>
  <c r="P55" i="14227" s="1"/>
  <c r="R55" i="14227" s="1"/>
  <c r="V69" i="14227"/>
  <c r="P72" i="14227"/>
  <c r="R72" i="14227" s="1"/>
  <c r="W76" i="14227"/>
  <c r="Q79" i="14227"/>
  <c r="N143" i="14226"/>
  <c r="R83" i="14226"/>
  <c r="H23" i="14225"/>
  <c r="H30" i="14225"/>
  <c r="H101" i="14225"/>
  <c r="H24" i="14225"/>
  <c r="H28" i="14225"/>
  <c r="H40" i="14225"/>
  <c r="R57" i="14227" l="1"/>
  <c r="R52" i="14227"/>
  <c r="R85" i="14227"/>
  <c r="R14" i="14227"/>
  <c r="R61" i="14227"/>
  <c r="R20" i="14227"/>
  <c r="V20" i="14227"/>
  <c r="R63" i="14227"/>
  <c r="R64" i="14227"/>
  <c r="R54" i="14227"/>
  <c r="R49" i="14227"/>
  <c r="R53" i="14227"/>
  <c r="R88" i="14227"/>
  <c r="R81" i="14227"/>
  <c r="R51" i="14227"/>
  <c r="R18" i="14227"/>
  <c r="V18" i="14227"/>
  <c r="R42" i="14227"/>
  <c r="R41" i="14227"/>
  <c r="R79" i="14227"/>
  <c r="R32" i="14227"/>
  <c r="K100" i="1085" l="1"/>
  <c r="O1614" i="20" l="1"/>
  <c r="N1614" i="20"/>
  <c r="O2237" i="1099"/>
  <c r="N2237" i="1099"/>
  <c r="Q1250" i="1099" l="1"/>
  <c r="Q1613" i="20" l="1"/>
  <c r="Q2236" i="1099" l="1"/>
  <c r="Q2235" i="1099"/>
  <c r="Q2174" i="1099" l="1"/>
  <c r="Q2234" i="1099" l="1"/>
  <c r="O276" i="20" l="1"/>
  <c r="O1607" i="20"/>
  <c r="N1607" i="20"/>
  <c r="N1009" i="20" l="1"/>
  <c r="Q1612" i="20" l="1"/>
  <c r="Q2233" i="1099" l="1"/>
  <c r="Q2232" i="1099" l="1"/>
  <c r="Q2231" i="1099" l="1"/>
  <c r="Q2230" i="1099" l="1"/>
  <c r="Q2229" i="1099"/>
  <c r="Q2228" i="1099" l="1"/>
  <c r="Q2227" i="1099" l="1"/>
  <c r="Q2226" i="1099"/>
  <c r="Q2225" i="1099"/>
  <c r="Q2224" i="1099"/>
  <c r="Q2223" i="1099"/>
  <c r="Q2221" i="1099"/>
  <c r="Q2222" i="1099"/>
  <c r="Q2220" i="1099"/>
  <c r="Q2219" i="1099"/>
  <c r="Q2218" i="1099"/>
  <c r="Q2217" i="1099"/>
  <c r="Q2216" i="1099"/>
  <c r="Q2215" i="1099"/>
  <c r="Q2214" i="1099"/>
  <c r="Q1611" i="20"/>
  <c r="Q2213" i="1099"/>
  <c r="Q2212" i="1099" l="1"/>
  <c r="Q2205" i="1099" l="1"/>
  <c r="P403" i="20"/>
  <c r="O403" i="20"/>
  <c r="N403" i="20"/>
  <c r="Q1610" i="20" l="1"/>
  <c r="Q1609" i="20"/>
  <c r="Q1608" i="20"/>
  <c r="Q1607" i="20"/>
  <c r="Q2211" i="1099" l="1"/>
  <c r="Q2210" i="1099" l="1"/>
  <c r="Q2209" i="1099" l="1"/>
  <c r="Q1606" i="20" l="1"/>
  <c r="Q1605" i="20"/>
  <c r="M99" i="1085" l="1"/>
  <c r="O2175" i="1099" l="1"/>
  <c r="P1485" i="1099" l="1"/>
  <c r="O1485" i="1099"/>
  <c r="Q1485" i="1099" s="1"/>
  <c r="N1485" i="1099"/>
  <c r="P1484" i="1099"/>
  <c r="O1484" i="1099"/>
  <c r="N1484" i="1099"/>
  <c r="Q1484" i="1099" l="1"/>
  <c r="Q1604" i="20"/>
  <c r="Q2208" i="1099"/>
  <c r="Q2207" i="1099"/>
  <c r="Q2206" i="1099" l="1"/>
  <c r="Q1603" i="20" l="1"/>
  <c r="Q1602" i="20"/>
  <c r="Q1601" i="20"/>
  <c r="O632" i="20" l="1"/>
  <c r="Q2204" i="1099" l="1"/>
  <c r="Q2203" i="1099"/>
  <c r="Q2202" i="1099"/>
  <c r="Q2201" i="1099"/>
  <c r="Q1600" i="20" l="1"/>
  <c r="P707" i="20" l="1"/>
  <c r="O707" i="20"/>
  <c r="N707" i="20"/>
  <c r="Q2200" i="1099" l="1"/>
  <c r="Q2199" i="1099" l="1"/>
  <c r="Q2198" i="1099"/>
  <c r="Q2197" i="1099"/>
  <c r="Q2196" i="1099" l="1"/>
  <c r="Q2195" i="1099"/>
  <c r="Q2194" i="1099"/>
  <c r="Q1599" i="20" l="1"/>
  <c r="Q1598" i="20" l="1"/>
  <c r="Q2193" i="1099" l="1"/>
  <c r="Q2192" i="1099" l="1"/>
  <c r="Q1595" i="20" l="1"/>
  <c r="Q2187" i="1099" l="1"/>
  <c r="Q2186" i="1099"/>
  <c r="Q2168" i="1099" l="1"/>
  <c r="Q2191" i="1099" l="1"/>
  <c r="Q2190" i="1099"/>
  <c r="Q2189" i="1099"/>
  <c r="Q2188" i="1099"/>
  <c r="Q2185" i="1099" l="1"/>
  <c r="Q2184" i="1099"/>
  <c r="Q2183" i="1099"/>
  <c r="Q2182" i="1099"/>
  <c r="Q1597" i="20"/>
  <c r="Q2181" i="1099"/>
  <c r="Q2180" i="1099"/>
  <c r="Q2179" i="1099" l="1"/>
  <c r="Q2178" i="1099"/>
  <c r="Q2177" i="1099"/>
  <c r="Q2176" i="1099"/>
  <c r="Q2175" i="1099" l="1"/>
  <c r="Q2173" i="1099" l="1"/>
  <c r="Q2172" i="1099" l="1"/>
  <c r="O742" i="20" l="1"/>
  <c r="O575" i="20" l="1"/>
  <c r="M98" i="1085"/>
  <c r="Q2171" i="1099" l="1"/>
  <c r="Q2170" i="1099"/>
  <c r="Q2169" i="1099"/>
  <c r="Q2167" i="1099" l="1"/>
  <c r="Q1594" i="20"/>
  <c r="Q1593" i="20"/>
  <c r="Q1592" i="20"/>
  <c r="Q1591" i="20" l="1"/>
  <c r="Q1590" i="20"/>
  <c r="Q1589" i="20"/>
  <c r="Q2163" i="1099" l="1"/>
  <c r="Q2162" i="1099"/>
  <c r="Q2161" i="1099"/>
  <c r="Q2160" i="1099"/>
  <c r="O696" i="20" l="1"/>
  <c r="Q2166" i="1099" l="1"/>
  <c r="Q2165" i="1099"/>
  <c r="Q2164" i="1099"/>
  <c r="Q1588" i="20" l="1"/>
  <c r="Q2159" i="1099"/>
  <c r="Q1587" i="20"/>
  <c r="Q1586" i="20"/>
  <c r="Q2158" i="1099" l="1"/>
  <c r="Q2157" i="1099"/>
  <c r="Q2156" i="1099"/>
  <c r="M94" i="1085" l="1"/>
  <c r="Q1585" i="20" l="1"/>
  <c r="Q1584" i="20"/>
  <c r="Q1575" i="20"/>
  <c r="Q1583" i="20"/>
  <c r="Q1582" i="20"/>
  <c r="Q1581" i="20"/>
  <c r="Q1580" i="20"/>
  <c r="Q1579" i="20"/>
  <c r="Q1578" i="20"/>
  <c r="Q1577" i="20"/>
  <c r="Q1576" i="20"/>
  <c r="Q1574" i="20"/>
  <c r="Q1573" i="20"/>
  <c r="Q1572" i="20"/>
  <c r="Q1571" i="20"/>
  <c r="Q1570" i="20"/>
  <c r="Q1569" i="20" l="1"/>
  <c r="Q1568" i="20"/>
  <c r="Q1567" i="20"/>
  <c r="Q1566" i="20"/>
  <c r="Q1565" i="20"/>
  <c r="Q1564" i="20" l="1"/>
  <c r="Q1563" i="20"/>
  <c r="Q1562" i="20"/>
  <c r="Q1561" i="20"/>
  <c r="Q1560" i="20"/>
  <c r="Q1559" i="20"/>
  <c r="Q1558" i="20"/>
  <c r="Q1557" i="20"/>
  <c r="Q1556" i="20"/>
  <c r="Q1555" i="20"/>
  <c r="Q1554" i="20"/>
  <c r="Q2155" i="1099" l="1"/>
  <c r="Q2154" i="1099" l="1"/>
  <c r="Q1553" i="20" l="1"/>
  <c r="Q2153" i="1099"/>
  <c r="P1515" i="20" l="1"/>
  <c r="Q1515" i="20" s="1"/>
  <c r="P2130" i="1099"/>
  <c r="P2127" i="1099"/>
  <c r="P2126" i="1099"/>
  <c r="P2124" i="1099"/>
  <c r="M77" i="1085"/>
  <c r="P1539" i="20"/>
  <c r="Q1539" i="20" s="1"/>
  <c r="P1538" i="20"/>
  <c r="Q1538" i="20" s="1"/>
  <c r="P1542" i="20"/>
  <c r="Q1542" i="20" s="1"/>
  <c r="Q415" i="1099"/>
  <c r="P2145" i="1099"/>
  <c r="P2128" i="1099"/>
  <c r="Q2128" i="1099" s="1"/>
  <c r="P2142" i="1099"/>
  <c r="P2078" i="1099"/>
  <c r="P2077" i="1099"/>
  <c r="P2076" i="1099"/>
  <c r="Q1490" i="20"/>
  <c r="P2119" i="1099"/>
  <c r="P2120" i="1099"/>
  <c r="P2114" i="1099"/>
  <c r="Q2114" i="1099" s="1"/>
  <c r="P2113" i="1099"/>
  <c r="Q86" i="1099" l="1"/>
  <c r="P2087" i="1099"/>
  <c r="P2086" i="1099"/>
  <c r="P2085" i="1099"/>
  <c r="P2084" i="1099"/>
  <c r="Q1552" i="20" l="1"/>
  <c r="Q1551" i="20"/>
  <c r="Q2152" i="1099"/>
  <c r="AF29" i="14220" l="1"/>
  <c r="AG28" i="14220"/>
  <c r="Z28" i="14220"/>
  <c r="AF27" i="14220"/>
  <c r="AF26" i="14220"/>
  <c r="AF25" i="14220"/>
  <c r="M25" i="14220"/>
  <c r="AF24" i="14220"/>
  <c r="M24" i="14220"/>
  <c r="AD23" i="14220"/>
  <c r="AC23" i="14220"/>
  <c r="AA23" i="14220"/>
  <c r="Z23" i="14220"/>
  <c r="W23" i="14220"/>
  <c r="V23" i="14220"/>
  <c r="T23" i="14220"/>
  <c r="S23" i="14220"/>
  <c r="Q23" i="14220"/>
  <c r="K23" i="14220"/>
  <c r="AG22" i="14220"/>
  <c r="K22" i="14220"/>
  <c r="AF21" i="14220"/>
  <c r="M21" i="14220"/>
  <c r="AF20" i="14220"/>
  <c r="M20" i="14220"/>
  <c r="AG19" i="14220"/>
  <c r="AF19" i="14220"/>
  <c r="AE19" i="14220"/>
  <c r="AD19" i="14220"/>
  <c r="AC19" i="14220"/>
  <c r="AA19" i="14220"/>
  <c r="Z19" i="14220"/>
  <c r="W19" i="14220"/>
  <c r="V19" i="14220"/>
  <c r="Q19" i="14220"/>
  <c r="M19" i="14220"/>
  <c r="AD18" i="14220"/>
  <c r="AF17" i="14220"/>
  <c r="K17" i="14220"/>
  <c r="AF16" i="14220"/>
  <c r="AD16" i="14220"/>
  <c r="AA16" i="14220"/>
  <c r="Z16" i="14220"/>
  <c r="W16" i="14220"/>
  <c r="V16" i="14220"/>
  <c r="T16" i="14220"/>
  <c r="S16" i="14220"/>
  <c r="K16" i="14220"/>
  <c r="AF15" i="14220"/>
  <c r="AD15" i="14220"/>
  <c r="AA15" i="14220"/>
  <c r="Z15" i="14220"/>
  <c r="W15" i="14220"/>
  <c r="V15" i="14220"/>
  <c r="T15" i="14220"/>
  <c r="S15" i="14220"/>
  <c r="R15" i="14220"/>
  <c r="K15" i="14220"/>
  <c r="AD14" i="14220"/>
  <c r="AC14" i="14220"/>
  <c r="K14" i="14220"/>
  <c r="AF13" i="14220"/>
  <c r="K13" i="14220"/>
  <c r="AD12" i="14220"/>
  <c r="AC12" i="14220"/>
  <c r="AB12" i="14220"/>
  <c r="AA12" i="14220"/>
  <c r="Z12" i="14220"/>
  <c r="Y12" i="14220"/>
  <c r="W12" i="14220"/>
  <c r="V12" i="14220"/>
  <c r="T12" i="14220"/>
  <c r="S12" i="14220"/>
  <c r="R12" i="14220"/>
  <c r="Q12" i="14220"/>
  <c r="K12" i="14220"/>
  <c r="AG11" i="14220"/>
  <c r="AF11" i="14220"/>
  <c r="AE11" i="14220"/>
  <c r="AD11" i="14220"/>
  <c r="AC11" i="14220"/>
  <c r="AA11" i="14220"/>
  <c r="Z11" i="14220"/>
  <c r="K11" i="14220"/>
  <c r="AF10" i="14220"/>
  <c r="W10" i="14220"/>
  <c r="V10" i="14220"/>
  <c r="Q10" i="14220"/>
  <c r="K10" i="14220"/>
  <c r="AF9" i="14220"/>
  <c r="AA9" i="14220"/>
  <c r="Z9" i="14220"/>
  <c r="K9" i="14220"/>
  <c r="AF8" i="14220"/>
  <c r="AD8" i="14220"/>
  <c r="AC8" i="14220"/>
  <c r="K8" i="14220"/>
  <c r="L42" i="14219"/>
  <c r="L41" i="14219"/>
  <c r="L40" i="14219"/>
  <c r="L39" i="14219"/>
  <c r="L38" i="14219"/>
  <c r="L37" i="14219"/>
  <c r="L36" i="14219"/>
  <c r="L35" i="14219"/>
  <c r="L34" i="14219"/>
  <c r="L33" i="14219"/>
  <c r="L32" i="14219"/>
  <c r="L31" i="14219"/>
  <c r="L30" i="14219"/>
  <c r="L29" i="14219"/>
  <c r="L28" i="14219"/>
  <c r="L27" i="14219"/>
  <c r="L26" i="14219"/>
  <c r="AJ25" i="14219"/>
  <c r="L25" i="14219"/>
  <c r="AJ24" i="14219"/>
  <c r="L24" i="14219"/>
  <c r="AJ23" i="14219"/>
  <c r="L23" i="14219"/>
  <c r="AJ22" i="14219"/>
  <c r="L22" i="14219"/>
  <c r="AH21" i="14219"/>
  <c r="AG21" i="14219"/>
  <c r="L21" i="14219"/>
  <c r="AH20" i="14219"/>
  <c r="AG20" i="14219"/>
  <c r="L20" i="14219"/>
  <c r="AH19" i="14219"/>
  <c r="AG19" i="14219"/>
  <c r="AE19" i="14219"/>
  <c r="AD19" i="14219"/>
  <c r="L19" i="14219"/>
  <c r="AD18" i="14219"/>
  <c r="L18" i="14219"/>
  <c r="AD17" i="14219"/>
  <c r="M17" i="14219"/>
  <c r="AB16" i="14219"/>
  <c r="AA16" i="14219"/>
  <c r="Y16" i="14219"/>
  <c r="X16" i="14219"/>
  <c r="M16" i="14219"/>
  <c r="U15" i="14219"/>
  <c r="S15" i="14219"/>
  <c r="L15" i="14219"/>
  <c r="S14" i="14219"/>
  <c r="L14" i="14219"/>
  <c r="S13" i="14219"/>
  <c r="L13" i="14219"/>
  <c r="S12" i="14219"/>
  <c r="L12" i="14219"/>
  <c r="S11" i="14219"/>
  <c r="M11" i="14219"/>
  <c r="S10" i="14219"/>
  <c r="M10" i="14219"/>
  <c r="S9" i="14219"/>
  <c r="M9" i="14219"/>
  <c r="AK8" i="14219"/>
  <c r="AJ8" i="14219"/>
  <c r="AG8" i="14219"/>
  <c r="M8" i="14219"/>
  <c r="Q1550" i="20"/>
  <c r="Q1549" i="20"/>
  <c r="Q1548" i="20"/>
  <c r="Q1547" i="20"/>
  <c r="Q1546" i="20"/>
  <c r="Q1545" i="20"/>
  <c r="Q1544" i="20"/>
  <c r="Q1543" i="20"/>
  <c r="Q1537" i="20"/>
  <c r="Q1536" i="20"/>
  <c r="Q1535" i="20"/>
  <c r="Q1534" i="20"/>
  <c r="Q1533" i="20"/>
  <c r="Q1532" i="20"/>
  <c r="Q1531" i="20"/>
  <c r="Q1530" i="20"/>
  <c r="Q1529" i="20"/>
  <c r="Q1528" i="20"/>
  <c r="Q1527" i="20"/>
  <c r="Q1526" i="20"/>
  <c r="Q1525" i="20"/>
  <c r="Q1524" i="20"/>
  <c r="Q1523" i="20"/>
  <c r="Q1522" i="20"/>
  <c r="Q1521" i="20"/>
  <c r="Q1520" i="20"/>
  <c r="Q1519" i="20"/>
  <c r="Q1518" i="20"/>
  <c r="Q1514" i="20"/>
  <c r="O1513" i="20"/>
  <c r="Q1513" i="20" s="1"/>
  <c r="Q1512" i="20"/>
  <c r="Q1511" i="20"/>
  <c r="Q1507" i="20"/>
  <c r="Q1506" i="20"/>
  <c r="Q1505" i="20"/>
  <c r="Q1504" i="20"/>
  <c r="Q1503" i="20"/>
  <c r="Q1502" i="20"/>
  <c r="Q1501" i="20"/>
  <c r="Q1500" i="20"/>
  <c r="Q1499" i="20"/>
  <c r="Q1498" i="20"/>
  <c r="Q1497" i="20"/>
  <c r="Q1496" i="20"/>
  <c r="Q1495" i="20"/>
  <c r="Q1494" i="20"/>
  <c r="Q1493" i="20"/>
  <c r="Q1492" i="20"/>
  <c r="Q1491" i="20"/>
  <c r="Q1489" i="20"/>
  <c r="Q1488" i="20"/>
  <c r="Q1487" i="20"/>
  <c r="Q1486" i="20"/>
  <c r="Q1485" i="20"/>
  <c r="Q1484" i="20"/>
  <c r="Q1483" i="20"/>
  <c r="Q1482" i="20"/>
  <c r="Q1481" i="20"/>
  <c r="Q1480" i="20"/>
  <c r="Q1479" i="20"/>
  <c r="Q1478" i="20"/>
  <c r="Q1477" i="20"/>
  <c r="Q1476" i="20"/>
  <c r="Q1474" i="20"/>
  <c r="Q1473" i="20"/>
  <c r="Q1472" i="20"/>
  <c r="Q1471" i="20"/>
  <c r="Q1470" i="20"/>
  <c r="Q1469" i="20"/>
  <c r="Q1468" i="20"/>
  <c r="Q1467" i="20"/>
  <c r="Q1466" i="20"/>
  <c r="Q1465" i="20"/>
  <c r="Q1464" i="20"/>
  <c r="Q1463" i="20"/>
  <c r="Q1462" i="20"/>
  <c r="Q1461" i="20"/>
  <c r="Q1460" i="20"/>
  <c r="Q1459" i="20"/>
  <c r="Q1458" i="20"/>
  <c r="Q1457" i="20"/>
  <c r="Q1456" i="20"/>
  <c r="Q1455" i="20"/>
  <c r="Q1454" i="20"/>
  <c r="Q1453" i="20"/>
  <c r="Q1452" i="20"/>
  <c r="Q1451" i="20"/>
  <c r="Q1450" i="20"/>
  <c r="Q1449" i="20"/>
  <c r="Q1448" i="20"/>
  <c r="Q1447" i="20"/>
  <c r="Q1446" i="20"/>
  <c r="Q1445" i="20"/>
  <c r="Q1444" i="20"/>
  <c r="Q1443" i="20"/>
  <c r="Q1442" i="20"/>
  <c r="Q1441" i="20"/>
  <c r="Q1440" i="20"/>
  <c r="Q1439" i="20"/>
  <c r="Q1438" i="20"/>
  <c r="Q1437" i="20"/>
  <c r="Q1436" i="20"/>
  <c r="Q1435" i="20"/>
  <c r="Q1434" i="20"/>
  <c r="Q1433" i="20"/>
  <c r="Q1432" i="20"/>
  <c r="Q1431" i="20"/>
  <c r="Q1430" i="20"/>
  <c r="Q1429" i="20"/>
  <c r="Q1428" i="20"/>
  <c r="Q1427" i="20"/>
  <c r="Q1426" i="20"/>
  <c r="Q1425" i="20"/>
  <c r="Q1424" i="20"/>
  <c r="Q1423" i="20"/>
  <c r="Q1422" i="20"/>
  <c r="Q1421" i="20"/>
  <c r="Q1420" i="20"/>
  <c r="Q1419" i="20"/>
  <c r="Q1418" i="20"/>
  <c r="Q1417" i="20"/>
  <c r="Q1415" i="20"/>
  <c r="Q1414" i="20"/>
  <c r="Q1413" i="20"/>
  <c r="Q1412" i="20"/>
  <c r="Q1411" i="20"/>
  <c r="Q1410" i="20"/>
  <c r="Q1409" i="20"/>
  <c r="Q1408" i="20"/>
  <c r="Q1407" i="20"/>
  <c r="Q1406" i="20"/>
  <c r="Q1405" i="20"/>
  <c r="Q1404" i="20"/>
  <c r="Q1403" i="20"/>
  <c r="Q1402" i="20"/>
  <c r="Q1401" i="20"/>
  <c r="Q1400" i="20"/>
  <c r="Q1399" i="20"/>
  <c r="Q1398" i="20"/>
  <c r="Q1397" i="20"/>
  <c r="Q1396" i="20"/>
  <c r="Q1395" i="20"/>
  <c r="Q1393" i="20"/>
  <c r="Q1392" i="20"/>
  <c r="Q1391" i="20"/>
  <c r="Q1390" i="20"/>
  <c r="Q1389" i="20"/>
  <c r="Q1388" i="20"/>
  <c r="Q1387" i="20"/>
  <c r="Q1386" i="20"/>
  <c r="Q1385" i="20"/>
  <c r="Q1384" i="20"/>
  <c r="Q1383" i="20"/>
  <c r="Q1382" i="20"/>
  <c r="Q1381" i="20"/>
  <c r="Q1380" i="20"/>
  <c r="Q1379" i="20"/>
  <c r="Q1378" i="20"/>
  <c r="Q1377" i="20"/>
  <c r="Q1376" i="20"/>
  <c r="Q1375" i="20"/>
  <c r="Q1374" i="20"/>
  <c r="Q1373" i="20"/>
  <c r="Q1372" i="20"/>
  <c r="Q1371" i="20"/>
  <c r="Q1370" i="20"/>
  <c r="Q1369" i="20"/>
  <c r="Q1368" i="20"/>
  <c r="Q1367" i="20"/>
  <c r="Q1366" i="20"/>
  <c r="Q1365" i="20"/>
  <c r="Q1364" i="20"/>
  <c r="Q1363" i="20"/>
  <c r="Q1362" i="20"/>
  <c r="Q1361" i="20"/>
  <c r="Q1360" i="20"/>
  <c r="Q1359" i="20"/>
  <c r="Q1358" i="20"/>
  <c r="Q1357" i="20"/>
  <c r="Q1356" i="20"/>
  <c r="Q1355" i="20"/>
  <c r="Q1354" i="20"/>
  <c r="Q1353" i="20"/>
  <c r="Q1352" i="20"/>
  <c r="Q1351" i="20"/>
  <c r="Q1350" i="20"/>
  <c r="O1349" i="20"/>
  <c r="N1349" i="20"/>
  <c r="Q1348" i="20"/>
  <c r="Q1347" i="20"/>
  <c r="Q1346" i="20"/>
  <c r="Q1345" i="20"/>
  <c r="Q1344" i="20"/>
  <c r="Q1343" i="20"/>
  <c r="Q1342" i="20"/>
  <c r="Q1341" i="20"/>
  <c r="Q1340" i="20"/>
  <c r="Q1339" i="20"/>
  <c r="Q1338" i="20"/>
  <c r="Q1337" i="20"/>
  <c r="Q1336" i="20"/>
  <c r="Q1335" i="20"/>
  <c r="Q1334" i="20"/>
  <c r="Q1333" i="20"/>
  <c r="Q1332" i="20"/>
  <c r="O1331" i="20"/>
  <c r="P1331" i="20" s="1"/>
  <c r="Q1331" i="20" s="1"/>
  <c r="N1331" i="20"/>
  <c r="Q1330" i="20"/>
  <c r="Q1329" i="20"/>
  <c r="Q1328" i="20"/>
  <c r="Q1327" i="20"/>
  <c r="Q1326" i="20"/>
  <c r="Q1325" i="20"/>
  <c r="Q1324" i="20"/>
  <c r="O1323" i="20"/>
  <c r="Q1323" i="20" s="1"/>
  <c r="N1323" i="20"/>
  <c r="Q1322" i="20"/>
  <c r="Q1321" i="20"/>
  <c r="O1320" i="20"/>
  <c r="Q1320" i="20" s="1"/>
  <c r="N1320" i="20"/>
  <c r="Q1319" i="20"/>
  <c r="Q1318" i="20"/>
  <c r="Q1317" i="20"/>
  <c r="O1316" i="20"/>
  <c r="Q1316" i="20" s="1"/>
  <c r="N1316" i="20"/>
  <c r="Q1315" i="20"/>
  <c r="Q1314" i="20"/>
  <c r="O1313" i="20"/>
  <c r="Q1313" i="20" s="1"/>
  <c r="N1313" i="20"/>
  <c r="Q1312" i="20"/>
  <c r="Q1311" i="20"/>
  <c r="O1310" i="20"/>
  <c r="Q1310" i="20" s="1"/>
  <c r="N1310" i="20"/>
  <c r="Q1309" i="20"/>
  <c r="Q1308" i="20"/>
  <c r="O1307" i="20"/>
  <c r="Q1307" i="20" s="1"/>
  <c r="N1307" i="20"/>
  <c r="Q1306" i="20"/>
  <c r="Q1305" i="20"/>
  <c r="O1304" i="20"/>
  <c r="Q1304" i="20" s="1"/>
  <c r="N1304" i="20"/>
  <c r="Q1303" i="20"/>
  <c r="Q1302" i="20"/>
  <c r="O1301" i="20"/>
  <c r="Q1301" i="20" s="1"/>
  <c r="N1301" i="20"/>
  <c r="Q1300" i="20"/>
  <c r="Q1299" i="20"/>
  <c r="O1298" i="20"/>
  <c r="Q1298" i="20" s="1"/>
  <c r="N1298" i="20"/>
  <c r="Q1297" i="20"/>
  <c r="Q1296" i="20"/>
  <c r="Q1295" i="20"/>
  <c r="Q1294" i="20"/>
  <c r="Q1293" i="20"/>
  <c r="Q1292" i="20"/>
  <c r="Q1291" i="20"/>
  <c r="Q1290" i="20"/>
  <c r="Q1289" i="20"/>
  <c r="Q1288" i="20"/>
  <c r="Q1287" i="20"/>
  <c r="Q1286" i="20"/>
  <c r="Q1285" i="20"/>
  <c r="Q1284" i="20"/>
  <c r="Q1283" i="20"/>
  <c r="Q1282" i="20"/>
  <c r="Q1281" i="20"/>
  <c r="Q1280" i="20"/>
  <c r="Q1279" i="20"/>
  <c r="Q1278" i="20"/>
  <c r="Q1277" i="20"/>
  <c r="Q1276" i="20"/>
  <c r="Q1275" i="20"/>
  <c r="O1274" i="20"/>
  <c r="Q1274" i="20" s="1"/>
  <c r="O1273" i="20"/>
  <c r="Q1273" i="20" s="1"/>
  <c r="N1273" i="20"/>
  <c r="O1272" i="20"/>
  <c r="Q1272" i="20" s="1"/>
  <c r="Q1271" i="20"/>
  <c r="O1270" i="20"/>
  <c r="Q1270" i="20" s="1"/>
  <c r="Q1269" i="20"/>
  <c r="Q1268" i="20"/>
  <c r="Q1267" i="20"/>
  <c r="Q1266" i="20"/>
  <c r="Q1265" i="20"/>
  <c r="Q1264" i="20"/>
  <c r="Q1263" i="20"/>
  <c r="Q1262" i="20"/>
  <c r="Q1261" i="20"/>
  <c r="Q1260" i="20"/>
  <c r="P1259" i="20"/>
  <c r="O1259" i="20"/>
  <c r="N1259" i="20"/>
  <c r="Q1258" i="20"/>
  <c r="Q1257" i="20"/>
  <c r="Q1256" i="20"/>
  <c r="Q1255" i="20"/>
  <c r="Q1254" i="20"/>
  <c r="Q1253" i="20"/>
  <c r="Q1252" i="20"/>
  <c r="Q1251" i="20"/>
  <c r="Q1250" i="20"/>
  <c r="Q1249" i="20"/>
  <c r="Q1248" i="20"/>
  <c r="Q1247" i="20"/>
  <c r="Q1246" i="20"/>
  <c r="Q1245" i="20"/>
  <c r="Q1244" i="20"/>
  <c r="Q1243" i="20"/>
  <c r="Q1242" i="20"/>
  <c r="Q1241" i="20"/>
  <c r="Q1240" i="20"/>
  <c r="Q1239" i="20"/>
  <c r="Q1238" i="20"/>
  <c r="Q1237" i="20"/>
  <c r="Q1236" i="20"/>
  <c r="Q1235" i="20"/>
  <c r="Q1234" i="20"/>
  <c r="Q1233" i="20"/>
  <c r="Q1232" i="20"/>
  <c r="Q1231" i="20"/>
  <c r="Q1230" i="20"/>
  <c r="Q1229" i="20"/>
  <c r="Q1228" i="20"/>
  <c r="Q1227" i="20"/>
  <c r="Q1226" i="20"/>
  <c r="Q1225" i="20"/>
  <c r="Q1224" i="20"/>
  <c r="Q1223" i="20"/>
  <c r="Q1222" i="20"/>
  <c r="P1220" i="20"/>
  <c r="O1220" i="20"/>
  <c r="Q1219" i="20"/>
  <c r="Q1218" i="20"/>
  <c r="Q1217" i="20"/>
  <c r="O1216" i="20"/>
  <c r="P1216" i="20" s="1"/>
  <c r="Q1216" i="20" s="1"/>
  <c r="Q1215" i="20"/>
  <c r="Q1214" i="20"/>
  <c r="Q1213" i="20"/>
  <c r="Q1212" i="20"/>
  <c r="Q1211" i="20"/>
  <c r="Q1210" i="20"/>
  <c r="Q1209" i="20"/>
  <c r="Q1208" i="20"/>
  <c r="Q1207" i="20"/>
  <c r="Q1206" i="20"/>
  <c r="Q1205" i="20"/>
  <c r="Q1204" i="20"/>
  <c r="Q1203" i="20"/>
  <c r="Q1202" i="20"/>
  <c r="Q1201" i="20"/>
  <c r="Q1200" i="20"/>
  <c r="Q1199" i="20"/>
  <c r="Q1198" i="20"/>
  <c r="Q1197" i="20"/>
  <c r="Q1196" i="20"/>
  <c r="Q1195" i="20"/>
  <c r="Q1194" i="20"/>
  <c r="Q1193" i="20"/>
  <c r="Q1192" i="20"/>
  <c r="Q1191" i="20"/>
  <c r="Q1190" i="20"/>
  <c r="Q1189" i="20"/>
  <c r="Q1188" i="20"/>
  <c r="Q1187" i="20"/>
  <c r="Q1186" i="20"/>
  <c r="Q1185" i="20"/>
  <c r="Q1184" i="20"/>
  <c r="O1183" i="20"/>
  <c r="Q1183" i="20" s="1"/>
  <c r="N1183" i="20"/>
  <c r="Q1182" i="20"/>
  <c r="Q1181" i="20"/>
  <c r="Q1170" i="20"/>
  <c r="Q1169" i="20"/>
  <c r="P1168" i="20"/>
  <c r="O1168" i="20"/>
  <c r="Q1167" i="20"/>
  <c r="Q1166" i="20"/>
  <c r="Q1165" i="20"/>
  <c r="Q1164" i="20"/>
  <c r="Q1163" i="20"/>
  <c r="Q1162" i="20"/>
  <c r="Q1161" i="20"/>
  <c r="Q1160" i="20"/>
  <c r="Q1159" i="20"/>
  <c r="Q1158" i="20"/>
  <c r="Q1157" i="20"/>
  <c r="Q1156" i="20"/>
  <c r="Q1155" i="20"/>
  <c r="Q1154" i="20"/>
  <c r="Q1153" i="20"/>
  <c r="Q1152" i="20"/>
  <c r="Q1151" i="20"/>
  <c r="P1150" i="20"/>
  <c r="O1150" i="20"/>
  <c r="Q1149" i="20"/>
  <c r="Q1148" i="20"/>
  <c r="Q1147" i="20"/>
  <c r="O1146" i="20"/>
  <c r="P1146" i="20" s="1"/>
  <c r="Q1146" i="20" s="1"/>
  <c r="Q1145" i="20"/>
  <c r="Q1144" i="20"/>
  <c r="Q1143" i="20"/>
  <c r="Q1142" i="20"/>
  <c r="Q1141" i="20"/>
  <c r="Q1140" i="20"/>
  <c r="Q1139" i="20"/>
  <c r="Q1138" i="20"/>
  <c r="Q1137" i="20"/>
  <c r="Q1136" i="20"/>
  <c r="P1135" i="20"/>
  <c r="O1135" i="20"/>
  <c r="N1135" i="20"/>
  <c r="Q1134" i="20"/>
  <c r="Q1133" i="20"/>
  <c r="Q1132" i="20"/>
  <c r="Q1131" i="20"/>
  <c r="Q1130" i="20"/>
  <c r="Q1129" i="20"/>
  <c r="O1128" i="20"/>
  <c r="Q1128" i="20" s="1"/>
  <c r="N1128" i="20"/>
  <c r="Q1127" i="20"/>
  <c r="Q1126" i="20"/>
  <c r="Q1125" i="20"/>
  <c r="Q1124" i="20"/>
  <c r="Q1123" i="20"/>
  <c r="Q1122" i="20"/>
  <c r="Q1121" i="20"/>
  <c r="Q1120" i="20"/>
  <c r="Q1119" i="20"/>
  <c r="Q1118" i="20"/>
  <c r="Q1117" i="20"/>
  <c r="Q1116" i="20"/>
  <c r="Q1115" i="20"/>
  <c r="Q1114" i="20"/>
  <c r="Q1113" i="20"/>
  <c r="Q1112" i="20"/>
  <c r="Q1111" i="20"/>
  <c r="Q1110" i="20"/>
  <c r="Q1109" i="20"/>
  <c r="Q1108" i="20"/>
  <c r="Q1107" i="20"/>
  <c r="Q1106" i="20"/>
  <c r="Q1105" i="20"/>
  <c r="Q1104" i="20"/>
  <c r="Q1103" i="20"/>
  <c r="Q1102" i="20"/>
  <c r="Q1101" i="20"/>
  <c r="Q1100" i="20"/>
  <c r="Q1099" i="20"/>
  <c r="Q1098" i="20"/>
  <c r="Q1097" i="20"/>
  <c r="Q1096" i="20"/>
  <c r="Q1095" i="20"/>
  <c r="Q1094" i="20"/>
  <c r="Q1093" i="20"/>
  <c r="Q1092" i="20"/>
  <c r="Q1091" i="20"/>
  <c r="Q1090" i="20"/>
  <c r="Q1089" i="20"/>
  <c r="Q1088" i="20"/>
  <c r="Q1087" i="20"/>
  <c r="Q1086" i="20"/>
  <c r="Q1085" i="20"/>
  <c r="Q1084" i="20"/>
  <c r="Q1083" i="20"/>
  <c r="Q1082" i="20"/>
  <c r="Q1081" i="20"/>
  <c r="Q1080" i="20"/>
  <c r="Q1079" i="20"/>
  <c r="Q1078" i="20"/>
  <c r="Q1077" i="20"/>
  <c r="Q1076" i="20"/>
  <c r="Q1075" i="20"/>
  <c r="Q1074" i="20"/>
  <c r="Q1073" i="20"/>
  <c r="Q1072" i="20"/>
  <c r="Q1071" i="20"/>
  <c r="Q1070" i="20"/>
  <c r="Q1069" i="20"/>
  <c r="Q1068" i="20"/>
  <c r="Q1067" i="20"/>
  <c r="Q1066" i="20"/>
  <c r="Q1065" i="20"/>
  <c r="Q1064" i="20"/>
  <c r="Q1063" i="20"/>
  <c r="Q1062" i="20"/>
  <c r="Q1061" i="20"/>
  <c r="Q1060" i="20"/>
  <c r="Q1059" i="20"/>
  <c r="Q1058" i="20"/>
  <c r="Q1057" i="20"/>
  <c r="Q1056" i="20"/>
  <c r="Q1055" i="20"/>
  <c r="Q1054" i="20"/>
  <c r="Q1053" i="20"/>
  <c r="Q1052" i="20"/>
  <c r="Q1051" i="20"/>
  <c r="Q1050" i="20"/>
  <c r="Q1049" i="20"/>
  <c r="Q1048" i="20"/>
  <c r="Q1047" i="20"/>
  <c r="Q1046" i="20"/>
  <c r="Q1045" i="20"/>
  <c r="Q1044" i="20"/>
  <c r="Q1043" i="20"/>
  <c r="Q1042" i="20"/>
  <c r="Q1041" i="20"/>
  <c r="Q1040" i="20"/>
  <c r="Q1039" i="20"/>
  <c r="Q1038" i="20"/>
  <c r="Q1037" i="20"/>
  <c r="Q1036" i="20"/>
  <c r="Q1035" i="20"/>
  <c r="Q1034" i="20"/>
  <c r="Q1033" i="20"/>
  <c r="Q1032" i="20"/>
  <c r="Q1031" i="20"/>
  <c r="Q1030" i="20"/>
  <c r="Q1029" i="20"/>
  <c r="Q1028" i="20"/>
  <c r="Q1027" i="20"/>
  <c r="Q1026" i="20"/>
  <c r="Q1025" i="20"/>
  <c r="Q1024" i="20"/>
  <c r="Q1023" i="20"/>
  <c r="Q1022" i="20"/>
  <c r="Q1021" i="20"/>
  <c r="Q1020" i="20"/>
  <c r="Q1019" i="20"/>
  <c r="Q1018" i="20"/>
  <c r="Q1017" i="20"/>
  <c r="P1016" i="20"/>
  <c r="P1015" i="20"/>
  <c r="P1014" i="20"/>
  <c r="O1013" i="20"/>
  <c r="Q1013" i="20" s="1"/>
  <c r="P1012" i="20"/>
  <c r="Q1011" i="20"/>
  <c r="O1010" i="20"/>
  <c r="Q1010" i="20" s="1"/>
  <c r="N1010" i="20"/>
  <c r="O1009" i="20"/>
  <c r="P1009" i="20" s="1"/>
  <c r="O1008" i="20"/>
  <c r="P1008" i="20" s="1"/>
  <c r="N1008" i="20"/>
  <c r="P1007" i="20"/>
  <c r="P1006" i="20"/>
  <c r="P1005" i="20"/>
  <c r="P1004" i="20"/>
  <c r="P1003" i="20"/>
  <c r="P1002" i="20"/>
  <c r="Q1001" i="20"/>
  <c r="P1000" i="20"/>
  <c r="O1000" i="20"/>
  <c r="Q999" i="20"/>
  <c r="Q998" i="20"/>
  <c r="P997" i="20"/>
  <c r="O997" i="20"/>
  <c r="P996" i="20"/>
  <c r="O996" i="20"/>
  <c r="N996" i="20"/>
  <c r="Q995" i="20"/>
  <c r="Q994" i="20"/>
  <c r="P993" i="20"/>
  <c r="O993" i="20"/>
  <c r="N993" i="20"/>
  <c r="P992" i="20"/>
  <c r="O992" i="20"/>
  <c r="N992" i="20"/>
  <c r="P991" i="20"/>
  <c r="O991" i="20"/>
  <c r="N991" i="20"/>
  <c r="P990" i="20"/>
  <c r="O990" i="20"/>
  <c r="N990" i="20"/>
  <c r="P989" i="20"/>
  <c r="O989" i="20"/>
  <c r="N989" i="20"/>
  <c r="P988" i="20"/>
  <c r="O988" i="20"/>
  <c r="N988" i="20"/>
  <c r="Q987" i="20"/>
  <c r="Q986" i="20"/>
  <c r="Q985" i="20"/>
  <c r="Q984" i="20"/>
  <c r="Q983" i="20"/>
  <c r="Q982" i="20"/>
  <c r="Q981" i="20"/>
  <c r="Q980" i="20"/>
  <c r="Q979" i="20"/>
  <c r="Q978" i="20"/>
  <c r="Q977" i="20"/>
  <c r="Q976" i="20"/>
  <c r="Q975" i="20"/>
  <c r="Q974" i="20"/>
  <c r="Q973" i="20"/>
  <c r="Q972" i="20"/>
  <c r="Q971" i="20"/>
  <c r="Q970" i="20"/>
  <c r="Q969" i="20"/>
  <c r="Q968" i="20"/>
  <c r="Q967" i="20"/>
  <c r="Q966" i="20"/>
  <c r="Q965" i="20"/>
  <c r="Q964" i="20"/>
  <c r="Q963" i="20"/>
  <c r="Q962" i="20"/>
  <c r="Q961" i="20"/>
  <c r="Q960" i="20"/>
  <c r="Q959" i="20"/>
  <c r="Q958" i="20"/>
  <c r="Q957" i="20"/>
  <c r="Q956" i="20"/>
  <c r="Q955" i="20"/>
  <c r="Q954" i="20"/>
  <c r="Q953" i="20"/>
  <c r="Q952" i="20"/>
  <c r="Q951" i="20"/>
  <c r="Q950" i="20"/>
  <c r="Q949" i="20"/>
  <c r="Q948" i="20"/>
  <c r="Q947" i="20"/>
  <c r="O946" i="20"/>
  <c r="Q946" i="20" s="1"/>
  <c r="N946" i="20"/>
  <c r="Q945" i="20"/>
  <c r="Q944" i="20"/>
  <c r="Q943" i="20"/>
  <c r="Q942" i="20"/>
  <c r="Q941" i="20"/>
  <c r="Q940" i="20"/>
  <c r="Q939" i="20"/>
  <c r="Q938" i="20"/>
  <c r="Q937" i="20"/>
  <c r="Q936" i="20"/>
  <c r="Q935" i="20"/>
  <c r="Q934" i="20"/>
  <c r="Q933" i="20"/>
  <c r="Q932" i="20"/>
  <c r="Q931" i="20"/>
  <c r="Q930" i="20"/>
  <c r="Q929" i="20"/>
  <c r="Q928" i="20"/>
  <c r="Q927" i="20"/>
  <c r="Q926" i="20"/>
  <c r="Q925" i="20"/>
  <c r="Q924" i="20"/>
  <c r="Q923" i="20"/>
  <c r="Q922" i="20"/>
  <c r="Q921" i="20"/>
  <c r="Q920" i="20"/>
  <c r="Q919" i="20"/>
  <c r="Q918" i="20"/>
  <c r="Q917" i="20"/>
  <c r="Q916" i="20"/>
  <c r="Q915" i="20"/>
  <c r="Q914" i="20"/>
  <c r="Q913" i="20"/>
  <c r="Q912" i="20"/>
  <c r="Q911" i="20"/>
  <c r="Q895" i="20"/>
  <c r="Q894" i="20"/>
  <c r="Q893" i="20"/>
  <c r="Q892" i="20"/>
  <c r="Q891" i="20"/>
  <c r="Q890" i="20"/>
  <c r="Q889" i="20"/>
  <c r="Q888" i="20"/>
  <c r="Q887" i="20"/>
  <c r="Q886" i="20"/>
  <c r="Q885" i="20"/>
  <c r="Q884" i="20"/>
  <c r="Q883" i="20"/>
  <c r="Q882" i="20"/>
  <c r="Q881" i="20"/>
  <c r="Q880" i="20"/>
  <c r="Q879" i="20"/>
  <c r="Q878" i="20"/>
  <c r="Q877" i="20"/>
  <c r="Q876" i="20"/>
  <c r="Q875" i="20"/>
  <c r="Q874" i="20"/>
  <c r="Q873" i="20"/>
  <c r="Q872" i="20"/>
  <c r="Q871" i="20"/>
  <c r="Q870" i="20"/>
  <c r="Q869" i="20"/>
  <c r="Q868" i="20"/>
  <c r="Q867" i="20"/>
  <c r="Q866" i="20"/>
  <c r="Q865" i="20"/>
  <c r="Q864" i="20"/>
  <c r="Q863" i="20"/>
  <c r="Q862" i="20"/>
  <c r="Q861" i="20"/>
  <c r="Q860" i="20"/>
  <c r="Q859" i="20"/>
  <c r="Q858" i="20"/>
  <c r="Q857" i="20"/>
  <c r="Q856" i="20"/>
  <c r="Q855" i="20"/>
  <c r="Q854" i="20"/>
  <c r="Q853" i="20"/>
  <c r="Q852" i="20"/>
  <c r="Q851" i="20"/>
  <c r="Q850" i="20"/>
  <c r="Q849" i="20"/>
  <c r="Q848" i="20"/>
  <c r="Q847" i="20"/>
  <c r="Q846" i="20"/>
  <c r="Q845" i="20"/>
  <c r="Q844" i="20"/>
  <c r="Q843" i="20"/>
  <c r="Q842" i="20"/>
  <c r="Q841" i="20"/>
  <c r="Q840" i="20"/>
  <c r="Q839" i="20"/>
  <c r="Q838" i="20"/>
  <c r="Q837" i="20"/>
  <c r="Q836" i="20"/>
  <c r="Q835" i="20"/>
  <c r="Q834" i="20"/>
  <c r="P833" i="20"/>
  <c r="O833" i="20"/>
  <c r="N833" i="20"/>
  <c r="Q832" i="20"/>
  <c r="Q831" i="20"/>
  <c r="Q830" i="20"/>
  <c r="Q829" i="20"/>
  <c r="Q828" i="20"/>
  <c r="Q827" i="20"/>
  <c r="Q826" i="20"/>
  <c r="Q825" i="20"/>
  <c r="Q824" i="20"/>
  <c r="Q823" i="20"/>
  <c r="Q822" i="20"/>
  <c r="Q821" i="20"/>
  <c r="Q820" i="20"/>
  <c r="Q819" i="20"/>
  <c r="Q818" i="20"/>
  <c r="Q817" i="20"/>
  <c r="Q816" i="20"/>
  <c r="Q815" i="20"/>
  <c r="Q814" i="20"/>
  <c r="Q813" i="20"/>
  <c r="Q812" i="20"/>
  <c r="Q811" i="20"/>
  <c r="Q810" i="20"/>
  <c r="Q809" i="20"/>
  <c r="Q808" i="20"/>
  <c r="Q807" i="20"/>
  <c r="Q806" i="20"/>
  <c r="Q805" i="20"/>
  <c r="Q804" i="20"/>
  <c r="Q803" i="20"/>
  <c r="Q802" i="20"/>
  <c r="Q801" i="20"/>
  <c r="Q800" i="20"/>
  <c r="Q799" i="20"/>
  <c r="Q798" i="20"/>
  <c r="Q797" i="20"/>
  <c r="Q796" i="20"/>
  <c r="Q795" i="20"/>
  <c r="Q794" i="20"/>
  <c r="Q793" i="20"/>
  <c r="Q792" i="20"/>
  <c r="Q791" i="20"/>
  <c r="Q790" i="20"/>
  <c r="Q789" i="20"/>
  <c r="Q788" i="20"/>
  <c r="Q787" i="20"/>
  <c r="Q786" i="20"/>
  <c r="Q785" i="20"/>
  <c r="Q784" i="20"/>
  <c r="Q783" i="20"/>
  <c r="Q782" i="20"/>
  <c r="Q781" i="20"/>
  <c r="Q780" i="20"/>
  <c r="Q779" i="20"/>
  <c r="Q778" i="20"/>
  <c r="Q777" i="20"/>
  <c r="Q776" i="20"/>
  <c r="Q775" i="20"/>
  <c r="Q774" i="20"/>
  <c r="Q773" i="20"/>
  <c r="Q772" i="20"/>
  <c r="Q771" i="20"/>
  <c r="Q770" i="20"/>
  <c r="Q769" i="20"/>
  <c r="Q768" i="20"/>
  <c r="Q767" i="20"/>
  <c r="Q766" i="20"/>
  <c r="Q765" i="20"/>
  <c r="Q764" i="20"/>
  <c r="Q763" i="20"/>
  <c r="Q762" i="20"/>
  <c r="Q761" i="20"/>
  <c r="Q760" i="20"/>
  <c r="Q759" i="20"/>
  <c r="Q758" i="20"/>
  <c r="Q757" i="20"/>
  <c r="Q756" i="20"/>
  <c r="Q755" i="20"/>
  <c r="Q754" i="20"/>
  <c r="Q753" i="20"/>
  <c r="Q752" i="20"/>
  <c r="Q751" i="20"/>
  <c r="Q750" i="20"/>
  <c r="Q749" i="20"/>
  <c r="Q748" i="20"/>
  <c r="Q747" i="20"/>
  <c r="Q746" i="20"/>
  <c r="Q745" i="20"/>
  <c r="Q744" i="20"/>
  <c r="Q743" i="20"/>
  <c r="P742" i="20"/>
  <c r="Q742" i="20" s="1"/>
  <c r="Q741" i="20"/>
  <c r="Q740" i="20"/>
  <c r="Q739" i="20"/>
  <c r="Q738" i="20"/>
  <c r="Q737" i="20"/>
  <c r="Q736" i="20"/>
  <c r="Q735" i="20"/>
  <c r="Q734" i="20"/>
  <c r="Q733" i="20"/>
  <c r="Q732" i="20"/>
  <c r="Q731" i="20"/>
  <c r="Q730" i="20"/>
  <c r="Q729" i="20"/>
  <c r="Q728" i="20"/>
  <c r="Q727" i="20"/>
  <c r="Q726" i="20"/>
  <c r="Q725" i="20"/>
  <c r="Q724" i="20"/>
  <c r="P723" i="20"/>
  <c r="O723" i="20"/>
  <c r="N723" i="20"/>
  <c r="Q722" i="20"/>
  <c r="Q721" i="20"/>
  <c r="P720" i="20"/>
  <c r="O720" i="20"/>
  <c r="N720" i="20"/>
  <c r="Q719" i="20"/>
  <c r="Q718" i="20"/>
  <c r="Q717" i="20"/>
  <c r="Q716" i="20"/>
  <c r="Q715" i="20"/>
  <c r="Q714" i="20"/>
  <c r="Q713" i="20"/>
  <c r="Q712" i="20"/>
  <c r="Q711" i="20"/>
  <c r="Q710" i="20"/>
  <c r="Q709" i="20"/>
  <c r="Q708" i="20"/>
  <c r="Q706" i="20"/>
  <c r="Q705" i="20"/>
  <c r="Q704" i="20"/>
  <c r="Q703" i="20"/>
  <c r="Q702" i="20"/>
  <c r="Q701" i="20"/>
  <c r="Q700" i="20"/>
  <c r="Q699" i="20"/>
  <c r="Q698" i="20"/>
  <c r="Q697" i="20"/>
  <c r="P696" i="20"/>
  <c r="Q696" i="20" s="1"/>
  <c r="Q695" i="20"/>
  <c r="Q694" i="20"/>
  <c r="Q693" i="20"/>
  <c r="Q692" i="20"/>
  <c r="Q691" i="20"/>
  <c r="P690" i="20"/>
  <c r="O690" i="20"/>
  <c r="Q689" i="20"/>
  <c r="Q688" i="20"/>
  <c r="Q687" i="20"/>
  <c r="Q686" i="20"/>
  <c r="Q685" i="20"/>
  <c r="Q684" i="20"/>
  <c r="Q683" i="20"/>
  <c r="P682" i="20"/>
  <c r="O682" i="20"/>
  <c r="Q681" i="20"/>
  <c r="Q680" i="20"/>
  <c r="Q679" i="20"/>
  <c r="Q678" i="20"/>
  <c r="Q677" i="20"/>
  <c r="Q676" i="20"/>
  <c r="P675" i="20"/>
  <c r="O675" i="20"/>
  <c r="Q674" i="20"/>
  <c r="Q673" i="20"/>
  <c r="Q672" i="20"/>
  <c r="Q671" i="20"/>
  <c r="P670" i="20"/>
  <c r="O670" i="20"/>
  <c r="Q669" i="20"/>
  <c r="P668" i="20"/>
  <c r="O668" i="20"/>
  <c r="N668" i="20"/>
  <c r="Q667" i="20"/>
  <c r="Q666" i="20"/>
  <c r="Q665" i="20"/>
  <c r="Q664" i="20"/>
  <c r="Q663" i="20"/>
  <c r="Q661" i="20"/>
  <c r="Q660" i="20"/>
  <c r="Q659" i="20"/>
  <c r="Q658" i="20"/>
  <c r="Q657" i="20"/>
  <c r="Q656" i="20"/>
  <c r="P655" i="20"/>
  <c r="O655" i="20"/>
  <c r="Q654" i="20"/>
  <c r="Q653" i="20"/>
  <c r="Q652" i="20"/>
  <c r="Q651" i="20"/>
  <c r="Q650" i="20"/>
  <c r="Q649" i="20"/>
  <c r="Q648" i="20"/>
  <c r="Q647" i="20"/>
  <c r="Q646" i="20"/>
  <c r="Q645" i="20"/>
  <c r="Q644" i="20"/>
  <c r="Q643" i="20"/>
  <c r="Q642" i="20"/>
  <c r="Q641" i="20"/>
  <c r="Q640" i="20"/>
  <c r="Q639" i="20"/>
  <c r="Q638" i="20"/>
  <c r="Q637" i="20"/>
  <c r="Q636" i="20"/>
  <c r="Q635" i="20"/>
  <c r="Q634" i="20"/>
  <c r="Q633" i="20"/>
  <c r="P632" i="20"/>
  <c r="Q632" i="20" s="1"/>
  <c r="Q631" i="20"/>
  <c r="Q630" i="20"/>
  <c r="Q629" i="20"/>
  <c r="Q628" i="20"/>
  <c r="Q627" i="20"/>
  <c r="Q626" i="20"/>
  <c r="Q625" i="20"/>
  <c r="Q624" i="20"/>
  <c r="Q623" i="20"/>
  <c r="Q622" i="20"/>
  <c r="Q621" i="20"/>
  <c r="Q620" i="20"/>
  <c r="Q619" i="20"/>
  <c r="Q618" i="20"/>
  <c r="Q617" i="20"/>
  <c r="Q616" i="20"/>
  <c r="Q615" i="20"/>
  <c r="Q614" i="20"/>
  <c r="Q613" i="20"/>
  <c r="Q612" i="20"/>
  <c r="Q611" i="20"/>
  <c r="Q610" i="20"/>
  <c r="Q609" i="20"/>
  <c r="Q608" i="20"/>
  <c r="Q607" i="20"/>
  <c r="Q606" i="20"/>
  <c r="Q605" i="20"/>
  <c r="Q604" i="20"/>
  <c r="Q603" i="20"/>
  <c r="Q602" i="20"/>
  <c r="Q601" i="20"/>
  <c r="Q600" i="20"/>
  <c r="Q599" i="20"/>
  <c r="Q598" i="20"/>
  <c r="Q597" i="20"/>
  <c r="Q596" i="20"/>
  <c r="Q595" i="20"/>
  <c r="Q594" i="20"/>
  <c r="Q593" i="20"/>
  <c r="Q592" i="20"/>
  <c r="Q591" i="20"/>
  <c r="Q590" i="20"/>
  <c r="Q589" i="20"/>
  <c r="Q588" i="20"/>
  <c r="Q587" i="20"/>
  <c r="Q586" i="20"/>
  <c r="Q585" i="20"/>
  <c r="Q584" i="20"/>
  <c r="Q583" i="20"/>
  <c r="Q582" i="20"/>
  <c r="Q581" i="20"/>
  <c r="Q580" i="20"/>
  <c r="Q579" i="20"/>
  <c r="Q578" i="20"/>
  <c r="Q577" i="20"/>
  <c r="Q576" i="20"/>
  <c r="P575" i="20"/>
  <c r="Q575" i="20" s="1"/>
  <c r="Q574" i="20"/>
  <c r="Q573" i="20"/>
  <c r="Q572" i="20"/>
  <c r="Q571" i="20"/>
  <c r="Q570" i="20"/>
  <c r="Q569" i="20"/>
  <c r="Q568" i="20"/>
  <c r="Q567" i="20"/>
  <c r="Q566" i="20"/>
  <c r="Q565" i="20"/>
  <c r="Q564" i="20"/>
  <c r="Q563" i="20"/>
  <c r="Q562" i="20"/>
  <c r="Q561" i="20"/>
  <c r="Q560" i="20"/>
  <c r="Q559" i="20"/>
  <c r="Q558" i="20"/>
  <c r="Q557" i="20"/>
  <c r="Q556" i="20"/>
  <c r="Q555" i="20"/>
  <c r="Q554" i="20"/>
  <c r="Q553" i="20"/>
  <c r="Q552" i="20"/>
  <c r="Q551" i="20"/>
  <c r="Q550" i="20"/>
  <c r="Q549" i="20"/>
  <c r="Q548" i="20"/>
  <c r="Q547" i="20"/>
  <c r="Q546" i="20"/>
  <c r="Q545" i="20"/>
  <c r="Q544" i="20"/>
  <c r="Q543" i="20"/>
  <c r="Q542" i="20"/>
  <c r="Q541" i="20"/>
  <c r="Q540" i="20"/>
  <c r="Q539" i="20"/>
  <c r="Q538" i="20"/>
  <c r="Q537" i="20"/>
  <c r="Q536" i="20"/>
  <c r="Q535" i="20"/>
  <c r="Q534" i="20"/>
  <c r="Q533" i="20"/>
  <c r="Q532" i="20"/>
  <c r="Q531" i="20"/>
  <c r="Q530" i="20"/>
  <c r="Q529" i="20"/>
  <c r="Q528" i="20"/>
  <c r="Q527" i="20"/>
  <c r="Q526" i="20"/>
  <c r="Q525" i="20"/>
  <c r="Q524" i="20"/>
  <c r="Q523" i="20"/>
  <c r="Q522" i="20"/>
  <c r="Q521" i="20"/>
  <c r="Q520" i="20"/>
  <c r="Q519" i="20"/>
  <c r="Q518" i="20"/>
  <c r="Q517" i="20"/>
  <c r="Q516" i="20"/>
  <c r="Q515" i="20"/>
  <c r="Q514" i="20"/>
  <c r="Q513" i="20"/>
  <c r="P512" i="20"/>
  <c r="O512" i="20"/>
  <c r="N512" i="20"/>
  <c r="O511" i="20"/>
  <c r="Q511" i="20" s="1"/>
  <c r="N511" i="20"/>
  <c r="O510" i="20"/>
  <c r="Q510" i="20" s="1"/>
  <c r="Q509" i="20"/>
  <c r="Q508" i="20"/>
  <c r="P507" i="20"/>
  <c r="O507" i="20"/>
  <c r="Q506" i="20"/>
  <c r="Q505" i="20"/>
  <c r="Q504" i="20"/>
  <c r="Q503" i="20"/>
  <c r="Q502" i="20"/>
  <c r="Q501" i="20"/>
  <c r="Q500" i="20"/>
  <c r="P499" i="20"/>
  <c r="O499" i="20"/>
  <c r="N499" i="20"/>
  <c r="P498" i="20"/>
  <c r="O498" i="20"/>
  <c r="N498" i="20"/>
  <c r="Q497" i="20"/>
  <c r="Q496" i="20"/>
  <c r="Q495" i="20"/>
  <c r="O494" i="20"/>
  <c r="Q494" i="20" s="1"/>
  <c r="Q493" i="20"/>
  <c r="Q492" i="20"/>
  <c r="Q491" i="20"/>
  <c r="Q490" i="20"/>
  <c r="O489" i="20"/>
  <c r="Q489" i="20" s="1"/>
  <c r="Q488" i="20"/>
  <c r="Q487" i="20"/>
  <c r="Q486" i="20"/>
  <c r="Q485" i="20"/>
  <c r="Q484" i="20"/>
  <c r="Q483" i="20"/>
  <c r="Q482" i="20"/>
  <c r="Q481" i="20"/>
  <c r="Q480" i="20"/>
  <c r="Q479" i="20"/>
  <c r="O478" i="20"/>
  <c r="Q478" i="20" s="1"/>
  <c r="Q477" i="20"/>
  <c r="Q476" i="20"/>
  <c r="Q475" i="20"/>
  <c r="Q474" i="20"/>
  <c r="Q473" i="20"/>
  <c r="Q472" i="20"/>
  <c r="Q471" i="20"/>
  <c r="Q470" i="20"/>
  <c r="Q469" i="20"/>
  <c r="Q468" i="20"/>
  <c r="Q467" i="20"/>
  <c r="Q466" i="20"/>
  <c r="Q465" i="20"/>
  <c r="Q464" i="20"/>
  <c r="Q463" i="20"/>
  <c r="Q462" i="20"/>
  <c r="Q461" i="20"/>
  <c r="Q460" i="20"/>
  <c r="Q459" i="20"/>
  <c r="Q458" i="20"/>
  <c r="Q457" i="20"/>
  <c r="Q456" i="20"/>
  <c r="Q455" i="20"/>
  <c r="Q454" i="20"/>
  <c r="Q453" i="20"/>
  <c r="Q452" i="20"/>
  <c r="P451" i="20"/>
  <c r="O451" i="20"/>
  <c r="Q450" i="20"/>
  <c r="Q449" i="20"/>
  <c r="Q448" i="20"/>
  <c r="Q447" i="20"/>
  <c r="Q446" i="20"/>
  <c r="Q445" i="20"/>
  <c r="Q444" i="20"/>
  <c r="Q443" i="20"/>
  <c r="Q442" i="20"/>
  <c r="Q441" i="20"/>
  <c r="Q440" i="20"/>
  <c r="Q439" i="20"/>
  <c r="Q438" i="20"/>
  <c r="Q437" i="20"/>
  <c r="Q436" i="20"/>
  <c r="Q435" i="20"/>
  <c r="Q434" i="20"/>
  <c r="Q433" i="20"/>
  <c r="Q432" i="20"/>
  <c r="Q431" i="20"/>
  <c r="Q430" i="20"/>
  <c r="O429" i="20"/>
  <c r="Q429" i="20" s="1"/>
  <c r="Q428" i="20"/>
  <c r="Q427" i="20"/>
  <c r="Q426" i="20"/>
  <c r="Q425" i="20"/>
  <c r="Q424" i="20"/>
  <c r="Q423" i="20"/>
  <c r="Q422" i="20"/>
  <c r="Q421" i="20"/>
  <c r="Q420" i="20"/>
  <c r="Q419" i="20"/>
  <c r="Q418" i="20"/>
  <c r="Q417" i="20"/>
  <c r="Q416" i="20"/>
  <c r="Q415" i="20"/>
  <c r="Q414" i="20"/>
  <c r="Q413" i="20"/>
  <c r="Q412" i="20"/>
  <c r="Q411" i="20"/>
  <c r="Q410" i="20"/>
  <c r="Q409" i="20"/>
  <c r="Q408" i="20"/>
  <c r="P407" i="20"/>
  <c r="O407" i="20"/>
  <c r="Q406" i="20"/>
  <c r="Q405" i="20"/>
  <c r="P404" i="20"/>
  <c r="O404" i="20"/>
  <c r="Q402" i="20"/>
  <c r="Q401" i="20"/>
  <c r="Q400" i="20"/>
  <c r="Q399" i="20"/>
  <c r="Q398" i="20"/>
  <c r="Q397" i="20"/>
  <c r="Q396" i="20"/>
  <c r="Q395" i="20"/>
  <c r="Q394" i="20"/>
  <c r="Q393" i="20"/>
  <c r="Q392" i="20"/>
  <c r="Q391" i="20"/>
  <c r="Q390" i="20"/>
  <c r="Q389" i="20"/>
  <c r="Q388" i="20"/>
  <c r="Q387" i="20"/>
  <c r="Q386" i="20"/>
  <c r="Q385" i="20"/>
  <c r="Q384" i="20"/>
  <c r="Q383" i="20"/>
  <c r="Q382" i="20"/>
  <c r="Q381" i="20"/>
  <c r="Q380" i="20"/>
  <c r="Q379" i="20"/>
  <c r="Q378" i="20"/>
  <c r="Q377" i="20"/>
  <c r="Q376" i="20"/>
  <c r="Q375" i="20"/>
  <c r="Q374" i="20"/>
  <c r="Q373" i="20"/>
  <c r="Q372" i="20"/>
  <c r="Q371" i="20"/>
  <c r="Q370" i="20"/>
  <c r="Q369" i="20"/>
  <c r="Q368" i="20"/>
  <c r="Q367" i="20"/>
  <c r="Q366" i="20"/>
  <c r="Q365" i="20"/>
  <c r="Q364" i="20"/>
  <c r="Q363" i="20"/>
  <c r="Q362"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P311" i="20"/>
  <c r="O311" i="20"/>
  <c r="N311" i="20"/>
  <c r="Q310" i="20"/>
  <c r="Q309" i="20"/>
  <c r="P308" i="20"/>
  <c r="O308" i="20"/>
  <c r="N308" i="20"/>
  <c r="P307" i="20"/>
  <c r="O307" i="20"/>
  <c r="N307" i="20"/>
  <c r="Q306" i="20"/>
  <c r="Q305" i="20"/>
  <c r="O304" i="20"/>
  <c r="Q304" i="20" s="1"/>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2" i="20"/>
  <c r="Q21" i="20"/>
  <c r="Q20" i="20"/>
  <c r="Q19" i="20"/>
  <c r="Q18" i="20"/>
  <c r="Q17" i="20"/>
  <c r="Q16" i="20"/>
  <c r="Q15" i="20"/>
  <c r="Q14" i="20"/>
  <c r="Q13" i="20"/>
  <c r="Q12" i="20"/>
  <c r="Q11" i="20"/>
  <c r="Q10" i="20"/>
  <c r="Q9" i="20"/>
  <c r="Q8" i="20"/>
  <c r="Q7" i="20"/>
  <c r="Q6" i="20"/>
  <c r="Q2151" i="1099"/>
  <c r="Q2150" i="1099"/>
  <c r="Q2149" i="1099"/>
  <c r="Q2148" i="1099"/>
  <c r="Q2147" i="1099"/>
  <c r="Q2146" i="1099"/>
  <c r="Q2145" i="1099"/>
  <c r="Q2144" i="1099"/>
  <c r="Q2143" i="1099"/>
  <c r="Q2142" i="1099"/>
  <c r="Q2141" i="1099"/>
  <c r="Q2140" i="1099"/>
  <c r="Q2139" i="1099"/>
  <c r="Q2138" i="1099"/>
  <c r="Q2137" i="1099"/>
  <c r="Q2136" i="1099"/>
  <c r="Q2130" i="1099"/>
  <c r="Q2129" i="1099"/>
  <c r="Q2127" i="1099"/>
  <c r="Q2126" i="1099"/>
  <c r="Q2125" i="1099"/>
  <c r="Q2124" i="1099"/>
  <c r="Q2123" i="1099"/>
  <c r="Q2122" i="1099"/>
  <c r="Q2121" i="1099"/>
  <c r="Q2120" i="1099"/>
  <c r="Q2119" i="1099"/>
  <c r="Q2118" i="1099"/>
  <c r="Q2116" i="1099"/>
  <c r="Q2115" i="1099"/>
  <c r="Q2113" i="1099"/>
  <c r="Q2112" i="1099"/>
  <c r="Q2110" i="1099"/>
  <c r="Q2109" i="1099"/>
  <c r="Q2108" i="1099"/>
  <c r="Q2107" i="1099"/>
  <c r="Q2106" i="1099"/>
  <c r="Q2105" i="1099"/>
  <c r="Q2104" i="1099"/>
  <c r="Q2103" i="1099"/>
  <c r="Q2102" i="1099"/>
  <c r="Q2101" i="1099"/>
  <c r="Q2100" i="1099"/>
  <c r="Q2099" i="1099"/>
  <c r="Q2098" i="1099"/>
  <c r="Q2097" i="1099"/>
  <c r="Q2096" i="1099"/>
  <c r="Q2095" i="1099"/>
  <c r="Q2094" i="1099"/>
  <c r="Q2093" i="1099"/>
  <c r="Q2092" i="1099"/>
  <c r="Q2091" i="1099"/>
  <c r="Q2090" i="1099"/>
  <c r="Q2089" i="1099"/>
  <c r="Q2088" i="1099"/>
  <c r="Q2087" i="1099"/>
  <c r="Q2086" i="1099"/>
  <c r="Q2085" i="1099"/>
  <c r="Q2084" i="1099"/>
  <c r="Q2083" i="1099"/>
  <c r="Q2078" i="1099"/>
  <c r="Q2077" i="1099"/>
  <c r="Q2076" i="1099"/>
  <c r="Q2075" i="1099"/>
  <c r="Q2074" i="1099"/>
  <c r="Q2073" i="1099"/>
  <c r="Q2072" i="1099"/>
  <c r="Q2071" i="1099"/>
  <c r="Q2070" i="1099"/>
  <c r="Q2069" i="1099"/>
  <c r="Q2068" i="1099"/>
  <c r="Q2067" i="1099"/>
  <c r="Q2066" i="1099"/>
  <c r="Q2065" i="1099"/>
  <c r="Q2064" i="1099"/>
  <c r="Q2063" i="1099"/>
  <c r="Q2062" i="1099"/>
  <c r="Q2061" i="1099"/>
  <c r="Q2060" i="1099"/>
  <c r="Q2059" i="1099"/>
  <c r="Q2058" i="1099"/>
  <c r="Q2057" i="1099"/>
  <c r="Q2056" i="1099"/>
  <c r="Q2055" i="1099"/>
  <c r="Q2054" i="1099"/>
  <c r="Q2053" i="1099"/>
  <c r="Q2052" i="1099"/>
  <c r="Q2051" i="1099"/>
  <c r="Q2050" i="1099"/>
  <c r="Q2049" i="1099"/>
  <c r="Q2048" i="1099"/>
  <c r="Q2046" i="1099"/>
  <c r="Q2045" i="1099"/>
  <c r="Q2044" i="1099"/>
  <c r="Q2042" i="1099"/>
  <c r="Q2041" i="1099"/>
  <c r="Q2040" i="1099"/>
  <c r="Q2039" i="1099"/>
  <c r="Q2038" i="1099"/>
  <c r="Q2037" i="1099"/>
  <c r="Q2036" i="1099"/>
  <c r="Q2035" i="1099"/>
  <c r="Q2034" i="1099"/>
  <c r="Q2033" i="1099"/>
  <c r="Q2032" i="1099"/>
  <c r="Q2031" i="1099"/>
  <c r="Q2030" i="1099"/>
  <c r="Q2029" i="1099"/>
  <c r="Q2028" i="1099"/>
  <c r="P2027" i="1099"/>
  <c r="Q2027" i="1099" s="1"/>
  <c r="P2026" i="1099"/>
  <c r="Q2026" i="1099" s="1"/>
  <c r="P2025" i="1099"/>
  <c r="Q2025" i="1099" s="1"/>
  <c r="P2024" i="1099"/>
  <c r="Q2024" i="1099" s="1"/>
  <c r="P2023" i="1099"/>
  <c r="Q2023" i="1099" s="1"/>
  <c r="P2022" i="1099"/>
  <c r="Q2022" i="1099" s="1"/>
  <c r="Q2019" i="1099"/>
  <c r="Q2018" i="1099"/>
  <c r="Q2016" i="1099"/>
  <c r="Q2015" i="1099"/>
  <c r="Q2014" i="1099"/>
  <c r="Q2013" i="1099"/>
  <c r="Q2012" i="1099"/>
  <c r="Q2011" i="1099"/>
  <c r="Q2010" i="1099"/>
  <c r="Q2009" i="1099"/>
  <c r="Q2008" i="1099"/>
  <c r="Q2007" i="1099"/>
  <c r="Q2006" i="1099"/>
  <c r="Q2005" i="1099"/>
  <c r="Q2004" i="1099"/>
  <c r="Q2003" i="1099"/>
  <c r="Q2002" i="1099"/>
  <c r="Q2001" i="1099"/>
  <c r="Q2000" i="1099"/>
  <c r="Q1999" i="1099"/>
  <c r="Q1998" i="1099"/>
  <c r="Q1997" i="1099"/>
  <c r="Q1996" i="1099"/>
  <c r="Q1995" i="1099"/>
  <c r="Q1994" i="1099"/>
  <c r="Q1993" i="1099"/>
  <c r="Q1992" i="1099"/>
  <c r="Q1991" i="1099"/>
  <c r="Q1990" i="1099"/>
  <c r="Q1989" i="1099"/>
  <c r="Q1988" i="1099"/>
  <c r="Q1987" i="1099"/>
  <c r="Q1986" i="1099"/>
  <c r="Q1985" i="1099"/>
  <c r="Q1984" i="1099"/>
  <c r="Q1983" i="1099"/>
  <c r="Q1982" i="1099"/>
  <c r="Q1981" i="1099"/>
  <c r="Q1980" i="1099"/>
  <c r="Q1979" i="1099"/>
  <c r="Q1978" i="1099"/>
  <c r="Q1977" i="1099"/>
  <c r="Q1976" i="1099"/>
  <c r="Q1975" i="1099"/>
  <c r="P1974" i="1099"/>
  <c r="O1974" i="1099"/>
  <c r="N1974" i="1099"/>
  <c r="Q1973" i="1099"/>
  <c r="Q1972" i="1099"/>
  <c r="Q1971" i="1099"/>
  <c r="Q1970" i="1099"/>
  <c r="Q1969" i="1099"/>
  <c r="Q1968" i="1099"/>
  <c r="Q1967" i="1099"/>
  <c r="Q1966" i="1099"/>
  <c r="Q1965" i="1099"/>
  <c r="Q1964" i="1099"/>
  <c r="Q1963" i="1099"/>
  <c r="Q1962" i="1099"/>
  <c r="Q1961" i="1099"/>
  <c r="Q1960" i="1099"/>
  <c r="Q1959" i="1099"/>
  <c r="Q1958" i="1099"/>
  <c r="Q1957" i="1099"/>
  <c r="Q1956" i="1099"/>
  <c r="Q1955" i="1099"/>
  <c r="Q1954" i="1099"/>
  <c r="Q1953" i="1099"/>
  <c r="Q1952" i="1099"/>
  <c r="Q1951" i="1099"/>
  <c r="Q1950" i="1099"/>
  <c r="Q1949" i="1099"/>
  <c r="Q1948" i="1099"/>
  <c r="Q1947" i="1099"/>
  <c r="Q1946" i="1099"/>
  <c r="Q1945" i="1099"/>
  <c r="Q1944" i="1099"/>
  <c r="Q1943" i="1099"/>
  <c r="Q1942" i="1099"/>
  <c r="Q1941" i="1099"/>
  <c r="Q1940" i="1099"/>
  <c r="Q1939" i="1099"/>
  <c r="Q1938" i="1099"/>
  <c r="Q1937" i="1099"/>
  <c r="Q1936" i="1099"/>
  <c r="Q1935" i="1099"/>
  <c r="Q1934" i="1099"/>
  <c r="Q1933" i="1099"/>
  <c r="Q1932" i="1099"/>
  <c r="Q1931" i="1099"/>
  <c r="Q1930" i="1099"/>
  <c r="Q1929" i="1099"/>
  <c r="Q1928" i="1099"/>
  <c r="Q1927" i="1099"/>
  <c r="Q1926" i="1099"/>
  <c r="Q1925" i="1099"/>
  <c r="Q1924" i="1099"/>
  <c r="Q1923" i="1099"/>
  <c r="Q1922" i="1099"/>
  <c r="Q1921" i="1099"/>
  <c r="Q1920" i="1099"/>
  <c r="Q1919" i="1099"/>
  <c r="Q1918" i="1099"/>
  <c r="Q1917" i="1099"/>
  <c r="Q1916" i="1099"/>
  <c r="Q1915" i="1099"/>
  <c r="Q1914" i="1099"/>
  <c r="Q1913" i="1099"/>
  <c r="Q1912" i="1099"/>
  <c r="Q1911" i="1099"/>
  <c r="Q1910" i="1099"/>
  <c r="Q1909" i="1099"/>
  <c r="Q1908" i="1099"/>
  <c r="Q1907" i="1099"/>
  <c r="Q1906" i="1099"/>
  <c r="Q1905" i="1099"/>
  <c r="Q1904" i="1099"/>
  <c r="Q1903" i="1099"/>
  <c r="Q1902" i="1099"/>
  <c r="Q1901" i="1099"/>
  <c r="Q1900" i="1099"/>
  <c r="Q1899" i="1099"/>
  <c r="Q1898" i="1099"/>
  <c r="Q1897" i="1099"/>
  <c r="Q1896" i="1099"/>
  <c r="Q1895" i="1099"/>
  <c r="Q1894" i="1099"/>
  <c r="Q1893" i="1099"/>
  <c r="Q1892" i="1099"/>
  <c r="Q1891" i="1099"/>
  <c r="Q1890" i="1099"/>
  <c r="Q1889" i="1099"/>
  <c r="Q1888" i="1099"/>
  <c r="Q1887" i="1099"/>
  <c r="Q1886" i="1099"/>
  <c r="Q1885" i="1099"/>
  <c r="Q1884" i="1099"/>
  <c r="Q1883" i="1099"/>
  <c r="Q1882" i="1099"/>
  <c r="Q1881" i="1099"/>
  <c r="Q1880" i="1099"/>
  <c r="Q1879" i="1099"/>
  <c r="Q1878" i="1099"/>
  <c r="Q1877" i="1099"/>
  <c r="Q1876" i="1099"/>
  <c r="Q1875" i="1099"/>
  <c r="Q1874" i="1099"/>
  <c r="Q1873" i="1099"/>
  <c r="Q1872" i="1099"/>
  <c r="Q1871" i="1099"/>
  <c r="Q1870" i="1099"/>
  <c r="Q1869" i="1099"/>
  <c r="Q1868" i="1099"/>
  <c r="Q1867" i="1099"/>
  <c r="Q1866" i="1099"/>
  <c r="Q1865" i="1099"/>
  <c r="Q1864" i="1099"/>
  <c r="Q1863" i="1099"/>
  <c r="Q1862" i="1099"/>
  <c r="Q1861" i="1099"/>
  <c r="Q1860" i="1099"/>
  <c r="Q1859" i="1099"/>
  <c r="Q1858" i="1099"/>
  <c r="Q1857" i="1099"/>
  <c r="Q1856" i="1099"/>
  <c r="Q1855" i="1099"/>
  <c r="Q1854" i="1099"/>
  <c r="Q1853" i="1099"/>
  <c r="Q1852" i="1099"/>
  <c r="Q1851" i="1099"/>
  <c r="Q1850" i="1099"/>
  <c r="Q1849" i="1099"/>
  <c r="Q1848" i="1099"/>
  <c r="Q1847" i="1099"/>
  <c r="Q1846" i="1099"/>
  <c r="Q1845" i="1099"/>
  <c r="Q1844" i="1099"/>
  <c r="Q1843" i="1099"/>
  <c r="Q1842" i="1099"/>
  <c r="Q1841" i="1099"/>
  <c r="Q1840" i="1099"/>
  <c r="Q1839" i="1099"/>
  <c r="Q1827" i="1099"/>
  <c r="Q1826" i="1099"/>
  <c r="Q1825" i="1099"/>
  <c r="Q1824" i="1099"/>
  <c r="Q1823" i="1099"/>
  <c r="Q1822" i="1099"/>
  <c r="Q1821" i="1099"/>
  <c r="Q1820" i="1099"/>
  <c r="Q1819" i="1099"/>
  <c r="Q1818" i="1099"/>
  <c r="Q1817" i="1099"/>
  <c r="Q1816" i="1099"/>
  <c r="Q1815" i="1099"/>
  <c r="Q1814" i="1099"/>
  <c r="Q1813" i="1099"/>
  <c r="Q1812" i="1099"/>
  <c r="Q1811" i="1099"/>
  <c r="Q1810" i="1099"/>
  <c r="Q1809" i="1099"/>
  <c r="Q1808" i="1099"/>
  <c r="Q1807" i="1099"/>
  <c r="Q1806" i="1099"/>
  <c r="Q1805" i="1099"/>
  <c r="Q1804" i="1099"/>
  <c r="Q1802" i="1099"/>
  <c r="Q1801" i="1099"/>
  <c r="Q1800" i="1099"/>
  <c r="Q1799" i="1099"/>
  <c r="Q1798" i="1099"/>
  <c r="Q1797" i="1099"/>
  <c r="Q1796" i="1099"/>
  <c r="Q1795" i="1099"/>
  <c r="Q1794" i="1099"/>
  <c r="Q1793" i="1099"/>
  <c r="Q1792" i="1099"/>
  <c r="Q1791" i="1099"/>
  <c r="Q1790" i="1099"/>
  <c r="Q1789" i="1099"/>
  <c r="O1788" i="1099"/>
  <c r="Q1788" i="1099" s="1"/>
  <c r="N1788" i="1099"/>
  <c r="O1787" i="1099"/>
  <c r="P1787" i="1099" s="1"/>
  <c r="Q1787" i="1099" s="1"/>
  <c r="Q1786" i="1099"/>
  <c r="P1785" i="1099"/>
  <c r="O1785" i="1099"/>
  <c r="N1785" i="1099"/>
  <c r="Q1784" i="1099"/>
  <c r="P1783" i="1099"/>
  <c r="O1783" i="1099"/>
  <c r="N1783" i="1099"/>
  <c r="Q1782" i="1099"/>
  <c r="O1781" i="1099"/>
  <c r="Q1781" i="1099" s="1"/>
  <c r="N1781" i="1099"/>
  <c r="Q1780" i="1099"/>
  <c r="O1779" i="1099"/>
  <c r="Q1779" i="1099" s="1"/>
  <c r="N1779" i="1099"/>
  <c r="Q1778" i="1099"/>
  <c r="Q1777" i="1099"/>
  <c r="Q1776" i="1099"/>
  <c r="Q1775" i="1099"/>
  <c r="Q1774" i="1099"/>
  <c r="Q1773" i="1099"/>
  <c r="Q1772" i="1099"/>
  <c r="Q1771" i="1099"/>
  <c r="Q1770" i="1099"/>
  <c r="Q1769" i="1099"/>
  <c r="Q1768" i="1099"/>
  <c r="Q1767" i="1099"/>
  <c r="Q1766" i="1099"/>
  <c r="Q1765" i="1099"/>
  <c r="Q1764" i="1099"/>
  <c r="Q1763" i="1099"/>
  <c r="Q1762" i="1099"/>
  <c r="Q1761" i="1099"/>
  <c r="Q1760" i="1099"/>
  <c r="Q1759" i="1099"/>
  <c r="Q1758" i="1099"/>
  <c r="Q1757" i="1099"/>
  <c r="Q1756" i="1099"/>
  <c r="Q1755" i="1099"/>
  <c r="Q1754" i="1099"/>
  <c r="Q1753" i="1099"/>
  <c r="Q1752" i="1099"/>
  <c r="Q1751" i="1099"/>
  <c r="Q1750" i="1099"/>
  <c r="Q1749" i="1099"/>
  <c r="Q1748" i="1099"/>
  <c r="Q1747" i="1099"/>
  <c r="Q1746" i="1099"/>
  <c r="Q1745" i="1099"/>
  <c r="Q1744" i="1099"/>
  <c r="Q1743" i="1099"/>
  <c r="Q1742" i="1099"/>
  <c r="Q1741" i="1099"/>
  <c r="Q1740" i="1099"/>
  <c r="Q1739" i="1099"/>
  <c r="Q1738" i="1099"/>
  <c r="Q1737" i="1099"/>
  <c r="Q1736" i="1099"/>
  <c r="Q1735" i="1099"/>
  <c r="Q1734" i="1099"/>
  <c r="Q1733" i="1099"/>
  <c r="Q1732" i="1099"/>
  <c r="Q1731" i="1099"/>
  <c r="Q1730" i="1099"/>
  <c r="Q1729" i="1099"/>
  <c r="Q1728" i="1099"/>
  <c r="Q1727" i="1099"/>
  <c r="Q1726" i="1099"/>
  <c r="Q1725" i="1099"/>
  <c r="Q1724" i="1099"/>
  <c r="Q1723" i="1099"/>
  <c r="Q1722" i="1099"/>
  <c r="Q1721" i="1099"/>
  <c r="Q1720" i="1099"/>
  <c r="Q1719" i="1099"/>
  <c r="Q1718" i="1099"/>
  <c r="Q1717" i="1099"/>
  <c r="Q1716" i="1099"/>
  <c r="Q1715" i="1099"/>
  <c r="Q1714" i="1099"/>
  <c r="Q1713" i="1099"/>
  <c r="Q1712" i="1099"/>
  <c r="Q1711" i="1099"/>
  <c r="Q1710" i="1099"/>
  <c r="Q1709" i="1099"/>
  <c r="Q1708" i="1099"/>
  <c r="Q1707" i="1099"/>
  <c r="Q1706" i="1099"/>
  <c r="Q1705" i="1099"/>
  <c r="Q1704" i="1099"/>
  <c r="Q1703" i="1099"/>
  <c r="Q1702" i="1099"/>
  <c r="Q1701" i="1099"/>
  <c r="Q1700" i="1099"/>
  <c r="Q1699" i="1099"/>
  <c r="Q1698" i="1099"/>
  <c r="Q1697" i="1099"/>
  <c r="Q1696" i="1099"/>
  <c r="Q1695" i="1099"/>
  <c r="Q1694" i="1099"/>
  <c r="Q1693" i="1099"/>
  <c r="Q1692" i="1099"/>
  <c r="Q1691" i="1099"/>
  <c r="Q1690" i="1099"/>
  <c r="Q1689" i="1099"/>
  <c r="Q1688" i="1099"/>
  <c r="Q1687" i="1099"/>
  <c r="Q1686" i="1099"/>
  <c r="Q1685" i="1099"/>
  <c r="Q1684" i="1099"/>
  <c r="Q1683" i="1099"/>
  <c r="O1682" i="1099"/>
  <c r="Q1682" i="1099" s="1"/>
  <c r="Q1681" i="1099"/>
  <c r="Q1680" i="1099"/>
  <c r="Q1679" i="1099"/>
  <c r="Q1678" i="1099"/>
  <c r="Q1677" i="1099"/>
  <c r="Q1676" i="1099"/>
  <c r="Q1675" i="1099"/>
  <c r="Q1674" i="1099"/>
  <c r="Q1673" i="1099"/>
  <c r="Q1672" i="1099"/>
  <c r="Q1671" i="1099"/>
  <c r="Q1670" i="1099"/>
  <c r="Q1669" i="1099"/>
  <c r="Q1668" i="1099"/>
  <c r="Q1667" i="1099"/>
  <c r="Q1666" i="1099"/>
  <c r="Q1665" i="1099"/>
  <c r="Q1664" i="1099"/>
  <c r="Q1663" i="1099"/>
  <c r="Q1662" i="1099"/>
  <c r="Q1661" i="1099"/>
  <c r="Q1660" i="1099"/>
  <c r="Q1659" i="1099"/>
  <c r="Q1658" i="1099"/>
  <c r="Q1657" i="1099"/>
  <c r="Q1656" i="1099"/>
  <c r="Q1655" i="1099"/>
  <c r="Q1654" i="1099"/>
  <c r="Q1653" i="1099"/>
  <c r="Q1652" i="1099"/>
  <c r="Q1651" i="1099"/>
  <c r="Q1650" i="1099"/>
  <c r="Q1649" i="1099"/>
  <c r="Q1648" i="1099"/>
  <c r="Q1647" i="1099"/>
  <c r="Q1646" i="1099"/>
  <c r="Q1645" i="1099"/>
  <c r="Q1644" i="1099"/>
  <c r="Q1643" i="1099"/>
  <c r="Q1642" i="1099"/>
  <c r="Q1641" i="1099"/>
  <c r="Q1640" i="1099"/>
  <c r="Q1639" i="1099"/>
  <c r="Q1638" i="1099"/>
  <c r="Q1637" i="1099"/>
  <c r="Q1636" i="1099"/>
  <c r="Q1635" i="1099"/>
  <c r="Q1634" i="1099"/>
  <c r="P1633" i="1099"/>
  <c r="O1633" i="1099"/>
  <c r="N1633" i="1099"/>
  <c r="Q1632" i="1099"/>
  <c r="Q1631" i="1099"/>
  <c r="Q1630" i="1099"/>
  <c r="Q1629" i="1099"/>
  <c r="Q1628" i="1099"/>
  <c r="Q1627" i="1099"/>
  <c r="Q1626" i="1099"/>
  <c r="Q1625" i="1099"/>
  <c r="Q1624" i="1099"/>
  <c r="Q1623" i="1099"/>
  <c r="Q1622" i="1099"/>
  <c r="Q1621" i="1099"/>
  <c r="Q1620" i="1099"/>
  <c r="Q1619" i="1099"/>
  <c r="O1618" i="1099"/>
  <c r="Q1618" i="1099" s="1"/>
  <c r="O1617" i="1099"/>
  <c r="Q1617" i="1099" s="1"/>
  <c r="Q1616" i="1099"/>
  <c r="Q1615" i="1099"/>
  <c r="Q1614" i="1099"/>
  <c r="Q1613" i="1099"/>
  <c r="Q1612" i="1099"/>
  <c r="Q1611" i="1099"/>
  <c r="Q1610" i="1099"/>
  <c r="Q1609" i="1099"/>
  <c r="Q1608" i="1099"/>
  <c r="Q1607" i="1099"/>
  <c r="Q1606" i="1099"/>
  <c r="Q1605" i="1099"/>
  <c r="Q1604" i="1099"/>
  <c r="Q1603" i="1099"/>
  <c r="Q1602" i="1099"/>
  <c r="Q1601" i="1099"/>
  <c r="Q1600" i="1099"/>
  <c r="Q1599" i="1099"/>
  <c r="Q1598" i="1099"/>
  <c r="Q1597" i="1099"/>
  <c r="Q1596" i="1099"/>
  <c r="Q1595" i="1099"/>
  <c r="Q1594" i="1099"/>
  <c r="Q1593" i="1099"/>
  <c r="Q1592" i="1099"/>
  <c r="Q1591" i="1099"/>
  <c r="Q1590" i="1099"/>
  <c r="Q1589" i="1099"/>
  <c r="Q1588" i="1099"/>
  <c r="Q1587" i="1099"/>
  <c r="Q1586" i="1099"/>
  <c r="Q1585" i="1099"/>
  <c r="Q1584" i="1099"/>
  <c r="Q1583" i="1099"/>
  <c r="Q1582" i="1099"/>
  <c r="Q1581" i="1099"/>
  <c r="Q1580" i="1099"/>
  <c r="Q1579" i="1099"/>
  <c r="Q1578" i="1099"/>
  <c r="Q1577" i="1099"/>
  <c r="Q1576" i="1099"/>
  <c r="Q1575" i="1099"/>
  <c r="Q1574" i="1099"/>
  <c r="Q1573" i="1099"/>
  <c r="Q1572" i="1099"/>
  <c r="Q1571" i="1099"/>
  <c r="Q1570" i="1099"/>
  <c r="Q1569" i="1099"/>
  <c r="Q1568" i="1099"/>
  <c r="Q1567" i="1099"/>
  <c r="Q1566" i="1099"/>
  <c r="Q1565" i="1099"/>
  <c r="Q1564" i="1099"/>
  <c r="Q1563" i="1099"/>
  <c r="Q1562" i="1099"/>
  <c r="Q1561" i="1099"/>
  <c r="Q1560" i="1099"/>
  <c r="Q1559" i="1099"/>
  <c r="Q1558" i="1099"/>
  <c r="Q1557" i="1099"/>
  <c r="Q1556" i="1099"/>
  <c r="Q1555" i="1099"/>
  <c r="Q1554" i="1099"/>
  <c r="Q1553" i="1099"/>
  <c r="Q1552" i="1099"/>
  <c r="Q1551" i="1099"/>
  <c r="Q1550" i="1099"/>
  <c r="Q1549" i="1099"/>
  <c r="Q1548" i="1099"/>
  <c r="Q1547" i="1099"/>
  <c r="Q1546" i="1099"/>
  <c r="Q1545" i="1099"/>
  <c r="Q1544" i="1099"/>
  <c r="Q1543" i="1099"/>
  <c r="Q1542" i="1099"/>
  <c r="Q1541" i="1099"/>
  <c r="Q1540" i="1099"/>
  <c r="Q1539" i="1099"/>
  <c r="P1538" i="1099"/>
  <c r="Q1538" i="1099" s="1"/>
  <c r="P1537" i="1099"/>
  <c r="O1537" i="1099"/>
  <c r="P1536" i="1099"/>
  <c r="O1536" i="1099"/>
  <c r="Q1535" i="1099"/>
  <c r="P1534" i="1099"/>
  <c r="Q1534" i="1099" s="1"/>
  <c r="P1533" i="1099"/>
  <c r="Q1533" i="1099" s="1"/>
  <c r="P1532" i="1099"/>
  <c r="O1532" i="1099"/>
  <c r="N1532" i="1099"/>
  <c r="Q1531" i="1099"/>
  <c r="Q1530" i="1099"/>
  <c r="Q1529" i="1099"/>
  <c r="Q1528" i="1099"/>
  <c r="Q1527" i="1099"/>
  <c r="Q1526" i="1099"/>
  <c r="Q1525" i="1099"/>
  <c r="Q1524" i="1099"/>
  <c r="Q1523" i="1099"/>
  <c r="Q1522" i="1099"/>
  <c r="O1521" i="1099"/>
  <c r="Q1521" i="1099" s="1"/>
  <c r="O1520" i="1099"/>
  <c r="Q1520" i="1099" s="1"/>
  <c r="Q1519" i="1099"/>
  <c r="Q1518" i="1099"/>
  <c r="Q1517" i="1099"/>
  <c r="Q1516" i="1099"/>
  <c r="Q1515" i="1099"/>
  <c r="Q1514" i="1099"/>
  <c r="Q1513" i="1099"/>
  <c r="Q1512" i="1099"/>
  <c r="Q1511" i="1099"/>
  <c r="Q1510" i="1099"/>
  <c r="Q1509" i="1099"/>
  <c r="Q1508" i="1099"/>
  <c r="Q1507" i="1099"/>
  <c r="Q1506" i="1099"/>
  <c r="Q1505" i="1099"/>
  <c r="Q1504" i="1099"/>
  <c r="Q1503" i="1099"/>
  <c r="Q1502" i="1099"/>
  <c r="Q1501" i="1099"/>
  <c r="Q1500" i="1099"/>
  <c r="Q1499" i="1099"/>
  <c r="Q1498" i="1099"/>
  <c r="Q1497" i="1099"/>
  <c r="Q1496" i="1099"/>
  <c r="Q1495" i="1099"/>
  <c r="Q1494" i="1099"/>
  <c r="Q1493" i="1099"/>
  <c r="Q1492" i="1099"/>
  <c r="Q1491" i="1099"/>
  <c r="Q1490" i="1099"/>
  <c r="Q1489" i="1099"/>
  <c r="Q1488" i="1099"/>
  <c r="Q1487" i="1099"/>
  <c r="Q1486" i="1099"/>
  <c r="Q1483" i="1099"/>
  <c r="Q1482" i="1099"/>
  <c r="Q1481" i="1099"/>
  <c r="Q1480" i="1099"/>
  <c r="Q1479" i="1099"/>
  <c r="Q1478" i="1099"/>
  <c r="Q1477" i="1099"/>
  <c r="Q1476" i="1099"/>
  <c r="Q1475" i="1099"/>
  <c r="Q1474" i="1099"/>
  <c r="Q1473" i="1099"/>
  <c r="Q1472" i="1099"/>
  <c r="Q1471" i="1099"/>
  <c r="Q1470" i="1099"/>
  <c r="Q1469" i="1099"/>
  <c r="Q1468" i="1099"/>
  <c r="Q1467" i="1099"/>
  <c r="Q1466" i="1099"/>
  <c r="Q1465" i="1099"/>
  <c r="Q1464" i="1099"/>
  <c r="Q1463" i="1099"/>
  <c r="Q1462" i="1099"/>
  <c r="Q1461" i="1099"/>
  <c r="Q1460" i="1099"/>
  <c r="Q1459" i="1099"/>
  <c r="Q1458" i="1099"/>
  <c r="Q1457" i="1099"/>
  <c r="Q1456" i="1099"/>
  <c r="Q1455" i="1099"/>
  <c r="P1454" i="1099"/>
  <c r="O1454" i="1099"/>
  <c r="N1454" i="1099"/>
  <c r="Q1453" i="1099"/>
  <c r="Q1452" i="1099"/>
  <c r="Q1451" i="1099"/>
  <c r="Q1450" i="1099"/>
  <c r="Q1449" i="1099"/>
  <c r="Q1448" i="1099"/>
  <c r="Q1447" i="1099"/>
  <c r="Q1446" i="1099"/>
  <c r="Q1445" i="1099"/>
  <c r="Q1444" i="1099"/>
  <c r="Q1443" i="1099"/>
  <c r="Q1442" i="1099"/>
  <c r="Q1441" i="1099"/>
  <c r="Q1440" i="1099"/>
  <c r="Q1439" i="1099"/>
  <c r="Q1438" i="1099"/>
  <c r="Q1437" i="1099"/>
  <c r="Q1436" i="1099"/>
  <c r="Q1435" i="1099"/>
  <c r="Q1434" i="1099"/>
  <c r="Q1433" i="1099"/>
  <c r="O1432" i="1099"/>
  <c r="Q1432" i="1099" s="1"/>
  <c r="N1432" i="1099"/>
  <c r="Q1431" i="1099"/>
  <c r="Q1430" i="1099"/>
  <c r="Q1429" i="1099"/>
  <c r="Q1428" i="1099"/>
  <c r="Q1427" i="1099"/>
  <c r="Q1426" i="1099"/>
  <c r="Q1425" i="1099"/>
  <c r="O1424" i="1099"/>
  <c r="Q1424" i="1099" s="1"/>
  <c r="Q1423" i="1099"/>
  <c r="Q1422" i="1099"/>
  <c r="Q1421" i="1099"/>
  <c r="Q1420" i="1099"/>
  <c r="O1419" i="1099"/>
  <c r="Q1419" i="1099" s="1"/>
  <c r="Q1418" i="1099"/>
  <c r="Q1417" i="1099"/>
  <c r="Q1416" i="1099"/>
  <c r="Q1415" i="1099"/>
  <c r="Q1414" i="1099"/>
  <c r="Q1413" i="1099"/>
  <c r="Q1412" i="1099"/>
  <c r="Q1411" i="1099"/>
  <c r="Q1410" i="1099"/>
  <c r="Q1409" i="1099"/>
  <c r="Q1408" i="1099"/>
  <c r="Q1407" i="1099"/>
  <c r="Q1406" i="1099"/>
  <c r="Q1405" i="1099"/>
  <c r="P1404" i="1099"/>
  <c r="O1404" i="1099"/>
  <c r="N1404" i="1099"/>
  <c r="Q1403" i="1099"/>
  <c r="Q1402" i="1099"/>
  <c r="P1401" i="1099"/>
  <c r="O1401" i="1099"/>
  <c r="N1401" i="1099"/>
  <c r="Q1400" i="1099"/>
  <c r="Q1399" i="1099"/>
  <c r="Q1398" i="1099"/>
  <c r="Q1397" i="1099"/>
  <c r="Q1396" i="1099"/>
  <c r="Q1395" i="1099"/>
  <c r="Q1394" i="1099"/>
  <c r="Q1393" i="1099"/>
  <c r="Q1392" i="1099"/>
  <c r="Q1391" i="1099"/>
  <c r="P1390" i="1099"/>
  <c r="O1390" i="1099"/>
  <c r="N1390" i="1099"/>
  <c r="Q1389" i="1099"/>
  <c r="Q1388" i="1099"/>
  <c r="Q1387" i="1099"/>
  <c r="Q1386" i="1099"/>
  <c r="Q1385" i="1099"/>
  <c r="Q1384" i="1099"/>
  <c r="Q1383" i="1099"/>
  <c r="Q1382" i="1099"/>
  <c r="Q1381" i="1099"/>
  <c r="Q1380" i="1099"/>
  <c r="Q1379" i="1099"/>
  <c r="Q1378" i="1099"/>
  <c r="Q1377" i="1099"/>
  <c r="Q1376" i="1099"/>
  <c r="Q1375" i="1099"/>
  <c r="Q1374" i="1099"/>
  <c r="Q1373" i="1099"/>
  <c r="Q1372" i="1099"/>
  <c r="Q1371" i="1099"/>
  <c r="Q1370" i="1099"/>
  <c r="Q1369" i="1099"/>
  <c r="Q1368" i="1099"/>
  <c r="Q1367" i="1099"/>
  <c r="Q1366" i="1099"/>
  <c r="Q1365" i="1099"/>
  <c r="Q1364" i="1099"/>
  <c r="Q1363" i="1099"/>
  <c r="Q1362" i="1099"/>
  <c r="Q1361" i="1099"/>
  <c r="Q1360" i="1099"/>
  <c r="Q1359" i="1099"/>
  <c r="Q1358" i="1099"/>
  <c r="Q1357" i="1099"/>
  <c r="Q1356" i="1099"/>
  <c r="Q1355" i="1099"/>
  <c r="Q1354" i="1099"/>
  <c r="Q1353" i="1099"/>
  <c r="Q1352" i="1099"/>
  <c r="Q1351" i="1099"/>
  <c r="Q1350" i="1099"/>
  <c r="Q1349" i="1099"/>
  <c r="Q1348" i="1099"/>
  <c r="Q1347" i="1099"/>
  <c r="Q1346" i="1099"/>
  <c r="Q1345" i="1099"/>
  <c r="Q1344" i="1099"/>
  <c r="Q1343" i="1099"/>
  <c r="Q1342" i="1099"/>
  <c r="Q1341" i="1099"/>
  <c r="Q1340" i="1099"/>
  <c r="Q1339" i="1099"/>
  <c r="Q1338" i="1099"/>
  <c r="Q1337" i="1099"/>
  <c r="Q1336" i="1099"/>
  <c r="Q1335" i="1099"/>
  <c r="Q1334" i="1099"/>
  <c r="Q1333" i="1099"/>
  <c r="Q1332" i="1099"/>
  <c r="Q1331" i="1099"/>
  <c r="Q1330" i="1099"/>
  <c r="Q1329" i="1099"/>
  <c r="Q1328" i="1099"/>
  <c r="Q1327" i="1099"/>
  <c r="Q1326" i="1099"/>
  <c r="Q1325" i="1099"/>
  <c r="Q1324" i="1099"/>
  <c r="Q1323" i="1099"/>
  <c r="Q1322" i="1099"/>
  <c r="Q1321" i="1099"/>
  <c r="Q1320" i="1099"/>
  <c r="Q1319" i="1099"/>
  <c r="Q1318" i="1099"/>
  <c r="Q1317" i="1099"/>
  <c r="Q1316" i="1099"/>
  <c r="Q1315" i="1099"/>
  <c r="Q1314" i="1099"/>
  <c r="Q1313" i="1099"/>
  <c r="P1312" i="1099"/>
  <c r="O1312" i="1099"/>
  <c r="N1312" i="1099"/>
  <c r="Q1311" i="1099"/>
  <c r="Q1310" i="1099"/>
  <c r="O1309" i="1099"/>
  <c r="Q1309" i="1099" s="1"/>
  <c r="N1309" i="1099"/>
  <c r="Q1308" i="1099"/>
  <c r="Q1307" i="1099"/>
  <c r="Q1306" i="1099"/>
  <c r="Q1305" i="1099"/>
  <c r="Q1304" i="1099"/>
  <c r="Q1303" i="1099"/>
  <c r="Q1302" i="1099"/>
  <c r="Q1301" i="1099"/>
  <c r="Q1300" i="1099"/>
  <c r="Q1299" i="1099"/>
  <c r="Q1298" i="1099"/>
  <c r="Q1297" i="1099"/>
  <c r="Q1296" i="1099"/>
  <c r="Q1295" i="1099"/>
  <c r="Q1294" i="1099"/>
  <c r="Q1293" i="1099"/>
  <c r="Q1292" i="1099"/>
  <c r="Q1291" i="1099"/>
  <c r="Q1290" i="1099"/>
  <c r="Q1289" i="1099"/>
  <c r="Q1288" i="1099"/>
  <c r="Q1287" i="1099"/>
  <c r="Q1286" i="1099"/>
  <c r="Q1285" i="1099"/>
  <c r="Q1284" i="1099"/>
  <c r="Q1283" i="1099"/>
  <c r="Q1282" i="1099"/>
  <c r="Q1281" i="1099"/>
  <c r="Q1280" i="1099"/>
  <c r="Q1279" i="1099"/>
  <c r="Q1278" i="1099"/>
  <c r="Q1277" i="1099"/>
  <c r="Q1276" i="1099"/>
  <c r="Q1275" i="1099"/>
  <c r="Q1274" i="1099"/>
  <c r="Q1273" i="1099"/>
  <c r="Q1272" i="1099"/>
  <c r="Q1271" i="1099"/>
  <c r="Q1270" i="1099"/>
  <c r="Q1269" i="1099"/>
  <c r="Q1268" i="1099"/>
  <c r="Q1267" i="1099"/>
  <c r="Q1266" i="1099"/>
  <c r="Q1265" i="1099"/>
  <c r="Q1264" i="1099"/>
  <c r="Q1263" i="1099"/>
  <c r="Q1262" i="1099"/>
  <c r="Q1261" i="1099"/>
  <c r="Q1260" i="1099"/>
  <c r="Q1259" i="1099"/>
  <c r="Q1258" i="1099"/>
  <c r="Q1257" i="1099"/>
  <c r="Q1256" i="1099"/>
  <c r="Q1255" i="1099"/>
  <c r="Q1254" i="1099"/>
  <c r="Q1253" i="1099"/>
  <c r="Q1252" i="1099"/>
  <c r="Q1251" i="1099"/>
  <c r="Q1249" i="1099"/>
  <c r="Q1248" i="1099"/>
  <c r="Q1247" i="1099"/>
  <c r="Q1246" i="1099"/>
  <c r="Q1245" i="1099"/>
  <c r="Q1244" i="1099"/>
  <c r="Q1243" i="1099"/>
  <c r="Q1242" i="1099"/>
  <c r="Q1241" i="1099"/>
  <c r="Q1240" i="1099"/>
  <c r="Q1239" i="1099"/>
  <c r="Q1238" i="1099"/>
  <c r="Q1237" i="1099"/>
  <c r="Q1236" i="1099"/>
  <c r="Q1235" i="1099"/>
  <c r="Q1234" i="1099"/>
  <c r="Q1233" i="1099"/>
  <c r="Q1232" i="1099"/>
  <c r="Q1231" i="1099"/>
  <c r="Q1230" i="1099"/>
  <c r="Q1229" i="1099"/>
  <c r="Q1228" i="1099"/>
  <c r="Q1227" i="1099"/>
  <c r="Q1226" i="1099"/>
  <c r="Q1225" i="1099"/>
  <c r="P1224" i="1099"/>
  <c r="O1224" i="1099"/>
  <c r="N1224" i="1099"/>
  <c r="Q1223" i="1099"/>
  <c r="Q1222" i="1099"/>
  <c r="Q1221" i="1099"/>
  <c r="Q1220" i="1099"/>
  <c r="Q1219" i="1099"/>
  <c r="Q1218" i="1099"/>
  <c r="Q1217" i="1099"/>
  <c r="Q1216" i="1099"/>
  <c r="Q1215" i="1099"/>
  <c r="Q1214" i="1099"/>
  <c r="Q1213" i="1099"/>
  <c r="Q1212" i="1099"/>
  <c r="Q1211" i="1099"/>
  <c r="Q1210" i="1099"/>
  <c r="Q1209" i="1099"/>
  <c r="Q1208" i="1099"/>
  <c r="Q1207" i="1099"/>
  <c r="Q1206" i="1099"/>
  <c r="Q1205" i="1099"/>
  <c r="Q1204" i="1099"/>
  <c r="Q1203" i="1099"/>
  <c r="Q1202" i="1099"/>
  <c r="Q1201" i="1099"/>
  <c r="Q1200" i="1099"/>
  <c r="Q1199" i="1099"/>
  <c r="Q1198" i="1099"/>
  <c r="Q1197" i="1099"/>
  <c r="Q1196" i="1099"/>
  <c r="Q1195" i="1099"/>
  <c r="Q1194" i="1099"/>
  <c r="Q1193" i="1099"/>
  <c r="Q1192" i="1099"/>
  <c r="Q1191" i="1099"/>
  <c r="Q1190" i="1099"/>
  <c r="Q1189" i="1099"/>
  <c r="Q1188" i="1099"/>
  <c r="Q1187" i="1099"/>
  <c r="Q1186" i="1099"/>
  <c r="Q1185" i="1099"/>
  <c r="Q1184" i="1099"/>
  <c r="Q1183" i="1099"/>
  <c r="Q1182" i="1099"/>
  <c r="Q1181" i="1099"/>
  <c r="Q1180" i="1099"/>
  <c r="Q1179" i="1099"/>
  <c r="Q1178" i="1099"/>
  <c r="Q1177" i="1099"/>
  <c r="Q1176" i="1099"/>
  <c r="Q1175" i="1099"/>
  <c r="Q1174" i="1099"/>
  <c r="Q1173" i="1099"/>
  <c r="Q1172" i="1099"/>
  <c r="Q1171" i="1099"/>
  <c r="Q1170" i="1099"/>
  <c r="Q1169" i="1099"/>
  <c r="Q1168" i="1099"/>
  <c r="Q1167" i="1099"/>
  <c r="Q1166" i="1099"/>
  <c r="Q1165" i="1099"/>
  <c r="Q1164" i="1099"/>
  <c r="Q1163" i="1099"/>
  <c r="Q1162" i="1099"/>
  <c r="Q1161" i="1099"/>
  <c r="Q1160" i="1099"/>
  <c r="Q1159" i="1099"/>
  <c r="Q1158" i="1099"/>
  <c r="Q1157" i="1099"/>
  <c r="Q1156" i="1099"/>
  <c r="Q1155" i="1099"/>
  <c r="Q1154" i="1099"/>
  <c r="Q1153" i="1099"/>
  <c r="Q1152" i="1099"/>
  <c r="Q1151" i="1099"/>
  <c r="Q1150" i="1099"/>
  <c r="Q1149" i="1099"/>
  <c r="Q1148" i="1099"/>
  <c r="Q1147" i="1099"/>
  <c r="Q1146" i="1099"/>
  <c r="Q1145" i="1099"/>
  <c r="Q1144" i="1099"/>
  <c r="Q1143" i="1099"/>
  <c r="Q1142" i="1099"/>
  <c r="Q1141" i="1099"/>
  <c r="Q1140" i="1099"/>
  <c r="Q1139" i="1099"/>
  <c r="Q1138" i="1099"/>
  <c r="Q1137" i="1099"/>
  <c r="Q1136" i="1099"/>
  <c r="Q1135" i="1099"/>
  <c r="Q1134" i="1099"/>
  <c r="Q1133" i="1099"/>
  <c r="Q1132" i="1099"/>
  <c r="Q1131" i="1099"/>
  <c r="Q1130" i="1099"/>
  <c r="Q1129" i="1099"/>
  <c r="Q1128" i="1099"/>
  <c r="Q1127" i="1099"/>
  <c r="Q1126" i="1099"/>
  <c r="Q1125" i="1099"/>
  <c r="Q1124" i="1099"/>
  <c r="Q1123" i="1099"/>
  <c r="Q1122" i="1099"/>
  <c r="Q1121" i="1099"/>
  <c r="Q1120" i="1099"/>
  <c r="Q1119" i="1099"/>
  <c r="Q1118" i="1099"/>
  <c r="Q1117" i="1099"/>
  <c r="Q1116" i="1099"/>
  <c r="Q1115" i="1099"/>
  <c r="Q1114" i="1099"/>
  <c r="Q1113" i="1099"/>
  <c r="Q1112" i="1099"/>
  <c r="Q1111" i="1099"/>
  <c r="Q1110" i="1099"/>
  <c r="Q1109" i="1099"/>
  <c r="Q1108" i="1099"/>
  <c r="Q1107" i="1099"/>
  <c r="Q1106" i="1099"/>
  <c r="Q1105" i="1099"/>
  <c r="Q1104" i="1099"/>
  <c r="Q1103" i="1099"/>
  <c r="Q1102" i="1099"/>
  <c r="Q1101" i="1099"/>
  <c r="Q1100" i="1099"/>
  <c r="Q1099" i="1099"/>
  <c r="Q1098" i="1099"/>
  <c r="Q1097" i="1099"/>
  <c r="Q1096" i="1099"/>
  <c r="Q1095" i="1099"/>
  <c r="Q1094" i="1099"/>
  <c r="Q1093" i="1099"/>
  <c r="Q1092" i="1099"/>
  <c r="Q1091" i="1099"/>
  <c r="Q1090" i="1099"/>
  <c r="Q1089" i="1099"/>
  <c r="Q1088" i="1099"/>
  <c r="Q1087" i="1099"/>
  <c r="Q1086" i="1099"/>
  <c r="Q1085" i="1099"/>
  <c r="Q1084" i="1099"/>
  <c r="Q1083" i="1099"/>
  <c r="Q1082" i="1099"/>
  <c r="Q1081" i="1099"/>
  <c r="Q1080" i="1099"/>
  <c r="Q1079" i="1099"/>
  <c r="Q1078" i="1099"/>
  <c r="Q1077" i="1099"/>
  <c r="Q1076" i="1099"/>
  <c r="Q1075" i="1099"/>
  <c r="Q1074" i="1099"/>
  <c r="Q1073" i="1099"/>
  <c r="Q1072" i="1099"/>
  <c r="Q1071" i="1099"/>
  <c r="Q1070" i="1099"/>
  <c r="Q1069" i="1099"/>
  <c r="Q1068" i="1099"/>
  <c r="Q1067" i="1099"/>
  <c r="Q1066" i="1099"/>
  <c r="Q1065" i="1099"/>
  <c r="Q1064" i="1099"/>
  <c r="Q1063" i="1099"/>
  <c r="Q1062" i="1099"/>
  <c r="Q1061" i="1099"/>
  <c r="Q1060" i="1099"/>
  <c r="Q1059" i="1099"/>
  <c r="Q1058" i="1099"/>
  <c r="Q1057" i="1099"/>
  <c r="Q1056" i="1099"/>
  <c r="Q1055" i="1099"/>
  <c r="Q1054" i="1099"/>
  <c r="Q1053" i="1099"/>
  <c r="Q1052" i="1099"/>
  <c r="Q1051" i="1099"/>
  <c r="Q1050" i="1099"/>
  <c r="Q1049" i="1099"/>
  <c r="Q1048" i="1099"/>
  <c r="Q1047" i="1099"/>
  <c r="Q1046" i="1099"/>
  <c r="Q1045" i="1099"/>
  <c r="Q1044" i="1099"/>
  <c r="Q1043" i="1099"/>
  <c r="Q1042" i="1099"/>
  <c r="Q1041" i="1099"/>
  <c r="Q1040" i="1099"/>
  <c r="Q1039" i="1099"/>
  <c r="Q1038" i="1099"/>
  <c r="Q1037" i="1099"/>
  <c r="Q1036" i="1099"/>
  <c r="Q1035" i="1099"/>
  <c r="Q1034" i="1099"/>
  <c r="Q1033" i="1099"/>
  <c r="Q1032" i="1099"/>
  <c r="Q1031" i="1099"/>
  <c r="Q1030" i="1099"/>
  <c r="Q1029" i="1099"/>
  <c r="Q1028" i="1099"/>
  <c r="Q1027" i="1099"/>
  <c r="Q1026" i="1099"/>
  <c r="Q1025" i="1099"/>
  <c r="Q1024" i="1099"/>
  <c r="Q1023" i="1099"/>
  <c r="Q1022" i="1099"/>
  <c r="Q1021" i="1099"/>
  <c r="Q1020" i="1099"/>
  <c r="Q1019" i="1099"/>
  <c r="Q1018" i="1099"/>
  <c r="Q1017" i="1099"/>
  <c r="Q1016" i="1099"/>
  <c r="Q1015" i="1099"/>
  <c r="Q1014" i="1099"/>
  <c r="Q1013" i="1099"/>
  <c r="Q1012" i="1099"/>
  <c r="Q1011" i="1099"/>
  <c r="Q1010" i="1099"/>
  <c r="Q1009" i="1099"/>
  <c r="Q1008" i="1099"/>
  <c r="Q1007" i="1099"/>
  <c r="Q1006" i="1099"/>
  <c r="Q1005" i="1099"/>
  <c r="Q1004" i="1099"/>
  <c r="Q1003" i="1099"/>
  <c r="Q1002" i="1099"/>
  <c r="Q1001" i="1099"/>
  <c r="Q1000" i="1099"/>
  <c r="Q999" i="1099"/>
  <c r="Q998" i="1099"/>
  <c r="Q997" i="1099"/>
  <c r="Q996" i="1099"/>
  <c r="Q995" i="1099"/>
  <c r="Q994" i="1099"/>
  <c r="Q993" i="1099"/>
  <c r="Q992" i="1099"/>
  <c r="Q991" i="1099"/>
  <c r="Q990" i="1099"/>
  <c r="Q989" i="1099"/>
  <c r="Q988" i="1099"/>
  <c r="Q987" i="1099"/>
  <c r="Q986" i="1099"/>
  <c r="Q985" i="1099"/>
  <c r="Q984" i="1099"/>
  <c r="Q983" i="1099"/>
  <c r="Q982" i="1099"/>
  <c r="Q981" i="1099"/>
  <c r="Q980" i="1099"/>
  <c r="Q979" i="1099"/>
  <c r="Q978" i="1099"/>
  <c r="Q977" i="1099"/>
  <c r="Q976" i="1099"/>
  <c r="Q975" i="1099"/>
  <c r="Q974" i="1099"/>
  <c r="Q973" i="1099"/>
  <c r="Q972" i="1099"/>
  <c r="Q971" i="1099"/>
  <c r="Q970" i="1099"/>
  <c r="Q969" i="1099"/>
  <c r="Q968" i="1099"/>
  <c r="Q967" i="1099"/>
  <c r="Q966" i="1099"/>
  <c r="Q965" i="1099"/>
  <c r="Q964" i="1099"/>
  <c r="Q963" i="1099"/>
  <c r="Q962" i="1099"/>
  <c r="Q961" i="1099"/>
  <c r="Q960" i="1099"/>
  <c r="Q959" i="1099"/>
  <c r="Q958" i="1099"/>
  <c r="Q957" i="1099"/>
  <c r="Q956" i="1099"/>
  <c r="Q955" i="1099"/>
  <c r="Q954" i="1099"/>
  <c r="Q953" i="1099"/>
  <c r="Q952" i="1099"/>
  <c r="Q951" i="1099"/>
  <c r="Q950" i="1099"/>
  <c r="Q949" i="1099"/>
  <c r="Q948" i="1099"/>
  <c r="Q947" i="1099"/>
  <c r="Q946" i="1099"/>
  <c r="Q945" i="1099"/>
  <c r="Q944" i="1099"/>
  <c r="Q943" i="1099"/>
  <c r="Q942" i="1099"/>
  <c r="Q941" i="1099"/>
  <c r="Q940" i="1099"/>
  <c r="Q939" i="1099"/>
  <c r="Q938" i="1099"/>
  <c r="Q937" i="1099"/>
  <c r="Q936" i="1099"/>
  <c r="Q935" i="1099"/>
  <c r="Q934" i="1099"/>
  <c r="Q933" i="1099"/>
  <c r="Q932" i="1099"/>
  <c r="Q931" i="1099"/>
  <c r="Q930" i="1099"/>
  <c r="Q929" i="1099"/>
  <c r="Q928" i="1099"/>
  <c r="Q927" i="1099"/>
  <c r="Q926" i="1099"/>
  <c r="Q925" i="1099"/>
  <c r="Q924" i="1099"/>
  <c r="Q923" i="1099"/>
  <c r="Q922" i="1099"/>
  <c r="Q921" i="1099"/>
  <c r="Q920" i="1099"/>
  <c r="Q919" i="1099"/>
  <c r="Q918" i="1099"/>
  <c r="Q917" i="1099"/>
  <c r="Q916" i="1099"/>
  <c r="Q915" i="1099"/>
  <c r="Q914" i="1099"/>
  <c r="Q913" i="1099"/>
  <c r="Q912" i="1099"/>
  <c r="Q911" i="1099"/>
  <c r="Q910" i="1099"/>
  <c r="Q909" i="1099"/>
  <c r="Q908" i="1099"/>
  <c r="Q907" i="1099"/>
  <c r="Q906" i="1099"/>
  <c r="Q905" i="1099"/>
  <c r="Q904" i="1099"/>
  <c r="Q903" i="1099"/>
  <c r="Q902" i="1099"/>
  <c r="Q901" i="1099"/>
  <c r="Q900" i="1099"/>
  <c r="Q899" i="1099"/>
  <c r="Q898" i="1099"/>
  <c r="Q897" i="1099"/>
  <c r="Q896" i="1099"/>
  <c r="Q895" i="1099"/>
  <c r="Q894" i="1099"/>
  <c r="Q893" i="1099"/>
  <c r="Q892" i="1099"/>
  <c r="Q891" i="1099"/>
  <c r="Q890" i="1099"/>
  <c r="Q889" i="1099"/>
  <c r="Q888" i="1099"/>
  <c r="Q887" i="1099"/>
  <c r="Q886" i="1099"/>
  <c r="Q885" i="1099"/>
  <c r="Q884" i="1099"/>
  <c r="Q883" i="1099"/>
  <c r="Q882" i="1099"/>
  <c r="Q881" i="1099"/>
  <c r="Q880" i="1099"/>
  <c r="Q879" i="1099"/>
  <c r="Q878" i="1099"/>
  <c r="Q877" i="1099"/>
  <c r="Q876" i="1099"/>
  <c r="Q875" i="1099"/>
  <c r="Q874" i="1099"/>
  <c r="Q873" i="1099"/>
  <c r="Q872" i="1099"/>
  <c r="Q871" i="1099"/>
  <c r="Q870" i="1099"/>
  <c r="Q869" i="1099"/>
  <c r="Q868" i="1099"/>
  <c r="Q867" i="1099"/>
  <c r="Q866" i="1099"/>
  <c r="Q865" i="1099"/>
  <c r="Q864" i="1099"/>
  <c r="Q863" i="1099"/>
  <c r="Q862" i="1099"/>
  <c r="Q861" i="1099"/>
  <c r="Q860" i="1099"/>
  <c r="Q859" i="1099"/>
  <c r="Q858" i="1099"/>
  <c r="Q857" i="1099"/>
  <c r="Q856" i="1099"/>
  <c r="Q855" i="1099"/>
  <c r="Q854" i="1099"/>
  <c r="Q853" i="1099"/>
  <c r="Q852" i="1099"/>
  <c r="Q851" i="1099"/>
  <c r="Q850" i="1099"/>
  <c r="Q849" i="1099"/>
  <c r="Q848" i="1099"/>
  <c r="Q847" i="1099"/>
  <c r="Q846" i="1099"/>
  <c r="Q845" i="1099"/>
  <c r="Q844" i="1099"/>
  <c r="Q843" i="1099"/>
  <c r="Q842" i="1099"/>
  <c r="Q841" i="1099"/>
  <c r="Q840" i="1099"/>
  <c r="Q839" i="1099"/>
  <c r="Q838" i="1099"/>
  <c r="Q837" i="1099"/>
  <c r="Q836" i="1099"/>
  <c r="Q835" i="1099"/>
  <c r="Q834" i="1099"/>
  <c r="Q833" i="1099"/>
  <c r="Q832" i="1099"/>
  <c r="Q831" i="1099"/>
  <c r="Q830" i="1099"/>
  <c r="Q829" i="1099"/>
  <c r="Q828" i="1099"/>
  <c r="Q827" i="1099"/>
  <c r="Q826" i="1099"/>
  <c r="Q825" i="1099"/>
  <c r="Q824" i="1099"/>
  <c r="Q823" i="1099"/>
  <c r="Q822" i="1099"/>
  <c r="Q821" i="1099"/>
  <c r="Q820" i="1099"/>
  <c r="Q819" i="1099"/>
  <c r="Q818" i="1099"/>
  <c r="Q817" i="1099"/>
  <c r="Q816" i="1099"/>
  <c r="Q815" i="1099"/>
  <c r="Q814" i="1099"/>
  <c r="Q813" i="1099"/>
  <c r="Q812" i="1099"/>
  <c r="Q811" i="1099"/>
  <c r="Q810" i="1099"/>
  <c r="Q809" i="1099"/>
  <c r="Q808" i="1099"/>
  <c r="Q807" i="1099"/>
  <c r="Q806" i="1099"/>
  <c r="Q805" i="1099"/>
  <c r="Q804" i="1099"/>
  <c r="Q803" i="1099"/>
  <c r="O802" i="1099"/>
  <c r="Q802" i="1099" s="1"/>
  <c r="N802" i="1099"/>
  <c r="O801" i="1099"/>
  <c r="Q801" i="1099" s="1"/>
  <c r="N801" i="1099"/>
  <c r="Q800" i="1099"/>
  <c r="Q799" i="1099"/>
  <c r="Q798" i="1099"/>
  <c r="Q797" i="1099"/>
  <c r="Q796" i="1099"/>
  <c r="Q795" i="1099"/>
  <c r="Q794" i="1099"/>
  <c r="Q793" i="1099"/>
  <c r="Q792" i="1099"/>
  <c r="Q791" i="1099"/>
  <c r="Q790" i="1099"/>
  <c r="Q789" i="1099"/>
  <c r="Q788" i="1099"/>
  <c r="Q787" i="1099"/>
  <c r="Q786" i="1099"/>
  <c r="Q785" i="1099"/>
  <c r="Q784" i="1099"/>
  <c r="O783" i="1099"/>
  <c r="P783" i="1099" s="1"/>
  <c r="Q783" i="1099" s="1"/>
  <c r="N783" i="1099"/>
  <c r="Q782" i="1099"/>
  <c r="Q781" i="1099"/>
  <c r="Q780" i="1099"/>
  <c r="Q779" i="1099"/>
  <c r="Q778" i="1099"/>
  <c r="Q777" i="1099"/>
  <c r="Q776" i="1099"/>
  <c r="Q775" i="1099"/>
  <c r="Q774" i="1099"/>
  <c r="Q773" i="1099"/>
  <c r="Q772" i="1099"/>
  <c r="Q771" i="1099"/>
  <c r="Q770" i="1099"/>
  <c r="Q769" i="1099"/>
  <c r="Q768" i="1099"/>
  <c r="Q767" i="1099"/>
  <c r="Q766" i="1099"/>
  <c r="Q765" i="1099"/>
  <c r="Q764" i="1099"/>
  <c r="Q763" i="1099"/>
  <c r="Q762" i="1099"/>
  <c r="Q761" i="1099"/>
  <c r="Q760" i="1099"/>
  <c r="Q759" i="1099"/>
  <c r="Q758" i="1099"/>
  <c r="Q757" i="1099"/>
  <c r="Q756" i="1099"/>
  <c r="Q755" i="1099"/>
  <c r="Q754" i="1099"/>
  <c r="Q753" i="1099"/>
  <c r="Q752" i="1099"/>
  <c r="Q751" i="1099"/>
  <c r="P750" i="1099"/>
  <c r="O750" i="1099"/>
  <c r="Q749" i="1099"/>
  <c r="Q748" i="1099"/>
  <c r="Q747" i="1099"/>
  <c r="Q746" i="1099"/>
  <c r="Q745" i="1099"/>
  <c r="Q744" i="1099"/>
  <c r="Q743" i="1099"/>
  <c r="Q742" i="1099"/>
  <c r="Q741" i="1099"/>
  <c r="Q740" i="1099"/>
  <c r="Q739" i="1099"/>
  <c r="Q738" i="1099"/>
  <c r="Q737" i="1099"/>
  <c r="Q736" i="1099"/>
  <c r="Q735" i="1099"/>
  <c r="Q734" i="1099"/>
  <c r="Q733" i="1099"/>
  <c r="Q732" i="1099"/>
  <c r="Q731" i="1099"/>
  <c r="Q730" i="1099"/>
  <c r="Q729" i="1099"/>
  <c r="Q728" i="1099"/>
  <c r="Q727" i="1099"/>
  <c r="Q726" i="1099"/>
  <c r="Q725" i="1099"/>
  <c r="Q724" i="1099"/>
  <c r="Q723" i="1099"/>
  <c r="Q722" i="1099"/>
  <c r="Q721" i="1099"/>
  <c r="Q720" i="1099"/>
  <c r="Q719" i="1099"/>
  <c r="Q718" i="1099"/>
  <c r="Q717" i="1099"/>
  <c r="Q716" i="1099"/>
  <c r="Q715" i="1099"/>
  <c r="Q714" i="1099"/>
  <c r="Q713" i="1099"/>
  <c r="Q712" i="1099"/>
  <c r="Q711" i="1099"/>
  <c r="Q710" i="1099"/>
  <c r="Q709" i="1099"/>
  <c r="Q708" i="1099"/>
  <c r="Q707" i="1099"/>
  <c r="Q706" i="1099"/>
  <c r="Q705" i="1099"/>
  <c r="Q704" i="1099"/>
  <c r="O703" i="1099"/>
  <c r="Q703" i="1099" s="1"/>
  <c r="Q702" i="1099"/>
  <c r="Q701" i="1099"/>
  <c r="Q700" i="1099"/>
  <c r="Q699" i="1099"/>
  <c r="Q698" i="1099"/>
  <c r="Q697" i="1099"/>
  <c r="Q696" i="1099"/>
  <c r="Q695" i="1099"/>
  <c r="Q694" i="1099"/>
  <c r="Q693" i="1099"/>
  <c r="Q692" i="1099"/>
  <c r="Q691" i="1099"/>
  <c r="Q690" i="1099"/>
  <c r="Q689" i="1099"/>
  <c r="Q688" i="1099"/>
  <c r="Q687" i="1099"/>
  <c r="Q686" i="1099"/>
  <c r="Q685" i="1099"/>
  <c r="Q684" i="1099"/>
  <c r="Q683" i="1099"/>
  <c r="Q682" i="1099"/>
  <c r="Q681" i="1099"/>
  <c r="Q680" i="1099"/>
  <c r="Q679" i="1099"/>
  <c r="Q678" i="1099"/>
  <c r="Q677" i="1099"/>
  <c r="Q676" i="1099"/>
  <c r="Q675" i="1099"/>
  <c r="Q674" i="1099"/>
  <c r="Q673" i="1099"/>
  <c r="Q672" i="1099"/>
  <c r="Q671" i="1099"/>
  <c r="Q670" i="1099"/>
  <c r="Q669" i="1099"/>
  <c r="Q668" i="1099"/>
  <c r="Q667" i="1099"/>
  <c r="Q666" i="1099"/>
  <c r="Q665" i="1099"/>
  <c r="Q664" i="1099"/>
  <c r="Q663" i="1099"/>
  <c r="Q662" i="1099"/>
  <c r="Q661" i="1099"/>
  <c r="Q660" i="1099"/>
  <c r="P659" i="1099"/>
  <c r="O659" i="1099"/>
  <c r="N659" i="1099"/>
  <c r="Q658" i="1099"/>
  <c r="Q657" i="1099"/>
  <c r="Q656" i="1099"/>
  <c r="Q655" i="1099"/>
  <c r="Q654" i="1099"/>
  <c r="P653" i="1099"/>
  <c r="O653" i="1099"/>
  <c r="N653" i="1099"/>
  <c r="Q652" i="1099"/>
  <c r="Q651" i="1099"/>
  <c r="Q650" i="1099"/>
  <c r="Q649" i="1099"/>
  <c r="Q648" i="1099"/>
  <c r="Q647" i="1099"/>
  <c r="Q646" i="1099"/>
  <c r="Q645" i="1099"/>
  <c r="Q644" i="1099"/>
  <c r="Q643" i="1099"/>
  <c r="Q642" i="1099"/>
  <c r="Q641" i="1099"/>
  <c r="Q640" i="1099"/>
  <c r="Q639" i="1099"/>
  <c r="Q638" i="1099"/>
  <c r="Q637" i="1099"/>
  <c r="Q636" i="1099"/>
  <c r="Q635" i="1099"/>
  <c r="Q634" i="1099"/>
  <c r="Q633" i="1099"/>
  <c r="Q632" i="1099"/>
  <c r="Q631" i="1099"/>
  <c r="Q630" i="1099"/>
  <c r="P629" i="1099"/>
  <c r="O629" i="1099"/>
  <c r="N629" i="1099"/>
  <c r="Q628" i="1099"/>
  <c r="Q627" i="1099"/>
  <c r="Q626" i="1099"/>
  <c r="Q625" i="1099"/>
  <c r="Q624" i="1099"/>
  <c r="Q623" i="1099"/>
  <c r="Q622" i="1099"/>
  <c r="Q621" i="1099"/>
  <c r="Q620" i="1099"/>
  <c r="Q619" i="1099"/>
  <c r="Q618" i="1099"/>
  <c r="Q617" i="1099"/>
  <c r="Q616" i="1099"/>
  <c r="Q615" i="1099"/>
  <c r="Q614" i="1099"/>
  <c r="P613" i="1099"/>
  <c r="O613" i="1099"/>
  <c r="N613" i="1099"/>
  <c r="Q612" i="1099"/>
  <c r="O611" i="1099"/>
  <c r="Q611" i="1099" s="1"/>
  <c r="N611" i="1099"/>
  <c r="Q610" i="1099"/>
  <c r="Q609" i="1099"/>
  <c r="Q608" i="1099"/>
  <c r="Q607" i="1099"/>
  <c r="Q606" i="1099"/>
  <c r="Q605" i="1099"/>
  <c r="Q604" i="1099"/>
  <c r="Q603" i="1099"/>
  <c r="Q602" i="1099"/>
  <c r="Q601" i="1099"/>
  <c r="Q600" i="1099"/>
  <c r="Q599" i="1099"/>
  <c r="Q598" i="1099"/>
  <c r="Q597" i="1099"/>
  <c r="Q596" i="1099"/>
  <c r="Q595" i="1099"/>
  <c r="Q594" i="1099"/>
  <c r="Q593" i="1099"/>
  <c r="Q592" i="1099"/>
  <c r="Q591" i="1099"/>
  <c r="Q590" i="1099"/>
  <c r="Q589" i="1099"/>
  <c r="Q588" i="1099"/>
  <c r="Q587" i="1099"/>
  <c r="Q586" i="1099"/>
  <c r="Q585" i="1099"/>
  <c r="Q584" i="1099"/>
  <c r="Q583" i="1099"/>
  <c r="Q582" i="1099"/>
  <c r="Q581" i="1099"/>
  <c r="Q580" i="1099"/>
  <c r="Q579" i="1099"/>
  <c r="Q578" i="1099"/>
  <c r="Q577" i="1099"/>
  <c r="Q576" i="1099"/>
  <c r="Q575" i="1099"/>
  <c r="Q574" i="1099"/>
  <c r="Q573" i="1099"/>
  <c r="Q572" i="1099"/>
  <c r="Q571" i="1099"/>
  <c r="Q570" i="1099"/>
  <c r="Q569" i="1099"/>
  <c r="Q568" i="1099"/>
  <c r="Q567" i="1099"/>
  <c r="Q566" i="1099"/>
  <c r="Q565" i="1099"/>
  <c r="Q564" i="1099"/>
  <c r="Q563" i="1099"/>
  <c r="Q562" i="1099"/>
  <c r="Q561" i="1099"/>
  <c r="Q560" i="1099"/>
  <c r="Q559" i="1099"/>
  <c r="Q558" i="1099"/>
  <c r="Q557" i="1099"/>
  <c r="Q556" i="1099"/>
  <c r="Q555" i="1099"/>
  <c r="Q554" i="1099"/>
  <c r="Q553" i="1099"/>
  <c r="Q552" i="1099"/>
  <c r="Q551" i="1099"/>
  <c r="Q550" i="1099"/>
  <c r="Q549" i="1099"/>
  <c r="Q548" i="1099"/>
  <c r="Q547" i="1099"/>
  <c r="Q546" i="1099"/>
  <c r="Q545" i="1099"/>
  <c r="Q544" i="1099"/>
  <c r="Q543" i="1099"/>
  <c r="P542" i="1099"/>
  <c r="O542" i="1099"/>
  <c r="Q541" i="1099"/>
  <c r="Q540" i="1099"/>
  <c r="Q539" i="1099"/>
  <c r="Q538" i="1099"/>
  <c r="Q537" i="1099"/>
  <c r="Q536" i="1099"/>
  <c r="Q535" i="1099"/>
  <c r="Q534" i="1099"/>
  <c r="Q533" i="1099"/>
  <c r="Q532" i="1099"/>
  <c r="Q531" i="1099"/>
  <c r="Q530" i="1099"/>
  <c r="Q529" i="1099"/>
  <c r="Q528" i="1099"/>
  <c r="Q527" i="1099"/>
  <c r="Q526" i="1099"/>
  <c r="Q525" i="1099"/>
  <c r="Q524" i="1099"/>
  <c r="Q523" i="1099"/>
  <c r="Q522" i="1099"/>
  <c r="Q521" i="1099"/>
  <c r="Q520" i="1099"/>
  <c r="Q519" i="1099"/>
  <c r="Q518" i="1099"/>
  <c r="Q517" i="1099"/>
  <c r="Q516" i="1099"/>
  <c r="Q515" i="1099"/>
  <c r="Q514" i="1099"/>
  <c r="Q513" i="1099"/>
  <c r="Q512" i="1099"/>
  <c r="Q511" i="1099"/>
  <c r="Q510" i="1099"/>
  <c r="Q509" i="1099"/>
  <c r="Q508" i="1099"/>
  <c r="Q507" i="1099"/>
  <c r="Q506" i="1099"/>
  <c r="Q505" i="1099"/>
  <c r="Q504" i="1099"/>
  <c r="Q503" i="1099"/>
  <c r="Q502" i="1099"/>
  <c r="Q501" i="1099"/>
  <c r="Q500" i="1099"/>
  <c r="Q499" i="1099"/>
  <c r="Q498" i="1099"/>
  <c r="Q497" i="1099"/>
  <c r="Q496" i="1099"/>
  <c r="Q495" i="1099"/>
  <c r="Q494" i="1099"/>
  <c r="Q493" i="1099"/>
  <c r="Q492" i="1099"/>
  <c r="Q491" i="1099"/>
  <c r="Q490" i="1099"/>
  <c r="Q489" i="1099"/>
  <c r="Q488" i="1099"/>
  <c r="Q487" i="1099"/>
  <c r="Q486" i="1099"/>
  <c r="Q485" i="1099"/>
  <c r="Q484" i="1099"/>
  <c r="Q483" i="1099"/>
  <c r="Q482" i="1099"/>
  <c r="Q481" i="1099"/>
  <c r="Q480" i="1099"/>
  <c r="Q479" i="1099"/>
  <c r="Q478" i="1099"/>
  <c r="Q477" i="1099"/>
  <c r="Q476" i="1099"/>
  <c r="Q475" i="1099"/>
  <c r="Q474" i="1099"/>
  <c r="Q473" i="1099"/>
  <c r="Q472" i="1099"/>
  <c r="Q471" i="1099"/>
  <c r="Q470" i="1099"/>
  <c r="Q469" i="1099"/>
  <c r="Q468" i="1099"/>
  <c r="Q467" i="1099"/>
  <c r="Q466" i="1099"/>
  <c r="P465" i="1099"/>
  <c r="O465" i="1099"/>
  <c r="N465" i="1099"/>
  <c r="Q464" i="1099"/>
  <c r="Q463" i="1099"/>
  <c r="Q462" i="1099"/>
  <c r="Q461" i="1099"/>
  <c r="Q460" i="1099"/>
  <c r="Q459" i="1099"/>
  <c r="Q458" i="1099"/>
  <c r="Q457" i="1099"/>
  <c r="Q456" i="1099"/>
  <c r="Q455" i="1099"/>
  <c r="Q454" i="1099"/>
  <c r="Q453" i="1099"/>
  <c r="Q452" i="1099"/>
  <c r="Q451" i="1099"/>
  <c r="Q450" i="1099"/>
  <c r="Q449" i="1099"/>
  <c r="Q448" i="1099"/>
  <c r="Q447" i="1099"/>
  <c r="Q446" i="1099"/>
  <c r="Q445" i="1099"/>
  <c r="Q444" i="1099"/>
  <c r="Q443" i="1099"/>
  <c r="Q442" i="1099"/>
  <c r="Q441" i="1099"/>
  <c r="O440" i="1099"/>
  <c r="Q440" i="1099" s="1"/>
  <c r="Q439" i="1099"/>
  <c r="Q438" i="1099"/>
  <c r="Q437" i="1099"/>
  <c r="Q436" i="1099"/>
  <c r="Q435" i="1099"/>
  <c r="Q434" i="1099"/>
  <c r="Q433" i="1099"/>
  <c r="Q432" i="1099"/>
  <c r="Q431" i="1099"/>
  <c r="Q430" i="1099"/>
  <c r="Q429" i="1099"/>
  <c r="Q428" i="1099"/>
  <c r="Q427" i="1099"/>
  <c r="Q426" i="1099"/>
  <c r="Q425" i="1099"/>
  <c r="Q424" i="1099"/>
  <c r="Q423" i="1099"/>
  <c r="Q422" i="1099"/>
  <c r="Q421" i="1099"/>
  <c r="Q420" i="1099"/>
  <c r="Q419" i="1099"/>
  <c r="Q418" i="1099"/>
  <c r="Q417" i="1099"/>
  <c r="Q416" i="1099"/>
  <c r="Q414" i="1099"/>
  <c r="Q413" i="1099"/>
  <c r="Q412" i="1099"/>
  <c r="Q411" i="1099"/>
  <c r="Q410" i="1099"/>
  <c r="Q409" i="1099"/>
  <c r="Q408" i="1099"/>
  <c r="Q407" i="1099"/>
  <c r="Q406" i="1099"/>
  <c r="Q405" i="1099"/>
  <c r="Q404" i="1099"/>
  <c r="Q403" i="1099"/>
  <c r="Q402" i="1099"/>
  <c r="Q401" i="1099"/>
  <c r="Q400" i="1099"/>
  <c r="Q399" i="1099"/>
  <c r="Q398" i="1099"/>
  <c r="Q397" i="1099"/>
  <c r="Q396" i="1099"/>
  <c r="Q395" i="1099"/>
  <c r="Q394" i="1099"/>
  <c r="Q393" i="1099"/>
  <c r="Q392" i="1099"/>
  <c r="Q391" i="1099"/>
  <c r="Q390" i="1099"/>
  <c r="Q389" i="1099"/>
  <c r="Q388" i="1099"/>
  <c r="Q387" i="1099"/>
  <c r="Q386" i="1099"/>
  <c r="Q385" i="1099"/>
  <c r="Q384" i="1099"/>
  <c r="Q383" i="1099"/>
  <c r="Q382" i="1099"/>
  <c r="Q381" i="1099"/>
  <c r="Q380" i="1099"/>
  <c r="Q379" i="1099"/>
  <c r="Q378" i="1099"/>
  <c r="Q377" i="1099"/>
  <c r="Q376" i="1099"/>
  <c r="Q375" i="1099"/>
  <c r="Q374" i="1099"/>
  <c r="Q373" i="1099"/>
  <c r="Q372" i="1099"/>
  <c r="Q371" i="1099"/>
  <c r="Q370" i="1099"/>
  <c r="Q369" i="1099"/>
  <c r="Q368" i="1099"/>
  <c r="Q367" i="1099"/>
  <c r="Q366" i="1099"/>
  <c r="Q365" i="1099"/>
  <c r="Q364" i="1099"/>
  <c r="Q363" i="1099"/>
  <c r="Q362" i="1099"/>
  <c r="Q361" i="1099"/>
  <c r="Q360" i="1099"/>
  <c r="Q359" i="1099"/>
  <c r="Q358" i="1099"/>
  <c r="Q357" i="1099"/>
  <c r="Q356" i="1099"/>
  <c r="Q355" i="1099"/>
  <c r="Q354" i="1099"/>
  <c r="Q353" i="1099"/>
  <c r="Q352" i="1099"/>
  <c r="Q351" i="1099"/>
  <c r="Q350" i="1099"/>
  <c r="Q349" i="1099"/>
  <c r="Q348" i="1099"/>
  <c r="Q347" i="1099"/>
  <c r="Q346" i="1099"/>
  <c r="Q345" i="1099"/>
  <c r="Q344" i="1099"/>
  <c r="Q343" i="1099"/>
  <c r="Q342" i="1099"/>
  <c r="Q341" i="1099"/>
  <c r="Q340" i="1099"/>
  <c r="Q339" i="1099"/>
  <c r="Q338" i="1099"/>
  <c r="Q337" i="1099"/>
  <c r="Q336" i="1099"/>
  <c r="Q335" i="1099"/>
  <c r="Q334" i="1099"/>
  <c r="Q333" i="1099"/>
  <c r="Q332" i="1099"/>
  <c r="Q331" i="1099"/>
  <c r="Q330" i="1099"/>
  <c r="Q329" i="1099"/>
  <c r="Q328" i="1099"/>
  <c r="Q327" i="1099"/>
  <c r="Q326" i="1099"/>
  <c r="Q325" i="1099"/>
  <c r="Q324" i="1099"/>
  <c r="Q323" i="1099"/>
  <c r="Q322" i="1099"/>
  <c r="Q321" i="1099"/>
  <c r="Q320" i="1099"/>
  <c r="Q319" i="1099"/>
  <c r="Q318" i="1099"/>
  <c r="Q317" i="1099"/>
  <c r="Q316" i="1099"/>
  <c r="Q315" i="1099"/>
  <c r="Q314" i="1099"/>
  <c r="Q313" i="1099"/>
  <c r="Q312" i="1099"/>
  <c r="Q311" i="1099"/>
  <c r="Q310" i="1099"/>
  <c r="Q309" i="1099"/>
  <c r="Q308" i="1099"/>
  <c r="Q307" i="1099"/>
  <c r="Q306" i="1099"/>
  <c r="Q305" i="1099"/>
  <c r="Q304" i="1099"/>
  <c r="Q303" i="1099"/>
  <c r="Q302" i="1099"/>
  <c r="Q301" i="1099"/>
  <c r="Q300" i="1099"/>
  <c r="Q299" i="1099"/>
  <c r="Q298" i="1099"/>
  <c r="Q297" i="1099"/>
  <c r="Q296" i="1099"/>
  <c r="Q295" i="1099"/>
  <c r="Q294" i="1099"/>
  <c r="O293" i="1099"/>
  <c r="Q293" i="1099" s="1"/>
  <c r="Q292" i="1099"/>
  <c r="Q291" i="1099"/>
  <c r="Q290" i="1099"/>
  <c r="Q289" i="1099"/>
  <c r="Q288" i="1099"/>
  <c r="Q287" i="1099"/>
  <c r="Q286" i="1099"/>
  <c r="Q285" i="1099"/>
  <c r="Q284" i="1099"/>
  <c r="Q283" i="1099"/>
  <c r="Q282" i="1099"/>
  <c r="Q281" i="1099"/>
  <c r="Q280" i="1099"/>
  <c r="Q279" i="1099"/>
  <c r="Q278" i="1099"/>
  <c r="Q277" i="1099"/>
  <c r="Q276" i="1099"/>
  <c r="Q275" i="1099"/>
  <c r="Q274" i="1099"/>
  <c r="Q273" i="1099"/>
  <c r="Q272" i="1099"/>
  <c r="Q271" i="1099"/>
  <c r="Q270" i="1099"/>
  <c r="Q269" i="1099"/>
  <c r="Q268" i="1099"/>
  <c r="Q267" i="1099"/>
  <c r="Q266" i="1099"/>
  <c r="Q265" i="1099"/>
  <c r="Q264" i="1099"/>
  <c r="Q263" i="1099"/>
  <c r="Q262" i="1099"/>
  <c r="Q261" i="1099"/>
  <c r="Q260" i="1099"/>
  <c r="Q259" i="1099"/>
  <c r="Q258" i="1099"/>
  <c r="Q257" i="1099"/>
  <c r="Q256" i="1099"/>
  <c r="Q255" i="1099"/>
  <c r="Q254" i="1099"/>
  <c r="Q253" i="1099"/>
  <c r="Q252" i="1099"/>
  <c r="Q251" i="1099"/>
  <c r="Q250" i="1099"/>
  <c r="Q249" i="1099"/>
  <c r="Q248" i="1099"/>
  <c r="Q247" i="1099"/>
  <c r="Q246" i="1099"/>
  <c r="Q245" i="1099"/>
  <c r="Q244" i="1099"/>
  <c r="Q243" i="1099"/>
  <c r="Q242" i="1099"/>
  <c r="Q241" i="1099"/>
  <c r="Q240" i="1099"/>
  <c r="Q239" i="1099"/>
  <c r="Q238" i="1099"/>
  <c r="Q237" i="1099"/>
  <c r="P236" i="1099"/>
  <c r="O236" i="1099"/>
  <c r="N236" i="1099"/>
  <c r="Q235" i="1099"/>
  <c r="Q234" i="1099"/>
  <c r="Q233" i="1099"/>
  <c r="Q232" i="1099"/>
  <c r="Q231" i="1099"/>
  <c r="Q230" i="1099"/>
  <c r="Q229" i="1099"/>
  <c r="Q228" i="1099"/>
  <c r="Q227" i="1099"/>
  <c r="Q226" i="1099"/>
  <c r="Q225" i="1099"/>
  <c r="Q224" i="1099"/>
  <c r="Q223" i="1099"/>
  <c r="Q222" i="1099"/>
  <c r="Q221" i="1099"/>
  <c r="Q220" i="1099"/>
  <c r="Q219" i="1099"/>
  <c r="Q218" i="1099"/>
  <c r="Q217" i="1099"/>
  <c r="Q216" i="1099"/>
  <c r="Q215" i="1099"/>
  <c r="Q214" i="1099"/>
  <c r="Q213" i="1099"/>
  <c r="Q212" i="1099"/>
  <c r="Q211" i="1099"/>
  <c r="Q210" i="1099"/>
  <c r="Q209" i="1099"/>
  <c r="Q208" i="1099"/>
  <c r="Q207" i="1099"/>
  <c r="Q206" i="1099"/>
  <c r="Q205" i="1099"/>
  <c r="Q204" i="1099"/>
  <c r="Q203" i="1099"/>
  <c r="Q202" i="1099"/>
  <c r="Q201" i="1099"/>
  <c r="Q200" i="1099"/>
  <c r="Q199" i="1099"/>
  <c r="Q198" i="1099"/>
  <c r="Q197" i="1099"/>
  <c r="Q196" i="1099"/>
  <c r="Q195" i="1099"/>
  <c r="Q194" i="1099"/>
  <c r="Q193" i="1099"/>
  <c r="Q192" i="1099"/>
  <c r="Q191" i="1099"/>
  <c r="Q190" i="1099"/>
  <c r="Q189" i="1099"/>
  <c r="Q188" i="1099"/>
  <c r="Q187" i="1099"/>
  <c r="Q186" i="1099"/>
  <c r="Q185" i="1099"/>
  <c r="Q184" i="1099"/>
  <c r="Q183" i="1099"/>
  <c r="Q182" i="1099"/>
  <c r="Q181" i="1099"/>
  <c r="Q180" i="1099"/>
  <c r="Q179" i="1099"/>
  <c r="O178" i="1099"/>
  <c r="Q178" i="1099" s="1"/>
  <c r="N178" i="1099"/>
  <c r="Q177" i="1099"/>
  <c r="Q176" i="1099"/>
  <c r="Q175" i="1099"/>
  <c r="Q174" i="1099"/>
  <c r="Q173" i="1099"/>
  <c r="Q172" i="1099"/>
  <c r="Q171" i="1099"/>
  <c r="Q170" i="1099"/>
  <c r="Q169" i="1099"/>
  <c r="Q168" i="1099"/>
  <c r="Q167" i="1099"/>
  <c r="Q166" i="1099"/>
  <c r="Q165" i="1099"/>
  <c r="Q164" i="1099"/>
  <c r="Q163" i="1099"/>
  <c r="Q162" i="1099"/>
  <c r="Q161" i="1099"/>
  <c r="Q160" i="1099"/>
  <c r="Q159" i="1099"/>
  <c r="Q158" i="1099"/>
  <c r="Q157" i="1099"/>
  <c r="Q156" i="1099"/>
  <c r="Q155" i="1099"/>
  <c r="Q154" i="1099"/>
  <c r="Q153" i="1099"/>
  <c r="Q152" i="1099"/>
  <c r="Q151" i="1099"/>
  <c r="Q150" i="1099"/>
  <c r="Q149" i="1099"/>
  <c r="Q148" i="1099"/>
  <c r="Q147" i="1099"/>
  <c r="Q146" i="1099"/>
  <c r="Q145" i="1099"/>
  <c r="Q144" i="1099"/>
  <c r="Q143" i="1099"/>
  <c r="Q142" i="1099"/>
  <c r="Q141" i="1099"/>
  <c r="Q140" i="1099"/>
  <c r="Q139" i="1099"/>
  <c r="Q138" i="1099"/>
  <c r="Q137" i="1099"/>
  <c r="Q136" i="1099"/>
  <c r="Q135" i="1099"/>
  <c r="Q134" i="1099"/>
  <c r="Q133" i="1099"/>
  <c r="Q132" i="1099"/>
  <c r="Q131" i="1099"/>
  <c r="Q130" i="1099"/>
  <c r="Q129" i="1099"/>
  <c r="Q128" i="1099"/>
  <c r="Q127" i="1099"/>
  <c r="Q126" i="1099"/>
  <c r="Q125" i="1099"/>
  <c r="Q124" i="1099"/>
  <c r="Q123" i="1099"/>
  <c r="Q122" i="1099"/>
  <c r="Q121" i="1099"/>
  <c r="Q120" i="1099"/>
  <c r="Q119" i="1099"/>
  <c r="Q118" i="1099"/>
  <c r="Q117" i="1099"/>
  <c r="Q116" i="1099"/>
  <c r="Q115" i="1099"/>
  <c r="Q114" i="1099"/>
  <c r="Q113" i="1099"/>
  <c r="Q112" i="1099"/>
  <c r="Q111" i="1099"/>
  <c r="Q110" i="1099"/>
  <c r="Q109" i="1099"/>
  <c r="Q108" i="1099"/>
  <c r="P107" i="1099"/>
  <c r="O107" i="1099"/>
  <c r="N107" i="1099"/>
  <c r="Q106" i="1099"/>
  <c r="Q105" i="1099"/>
  <c r="Q104" i="1099"/>
  <c r="Q103" i="1099"/>
  <c r="Q102" i="1099"/>
  <c r="Q101" i="1099"/>
  <c r="Q100" i="1099"/>
  <c r="Q99" i="1099"/>
  <c r="Q98" i="1099"/>
  <c r="Q97" i="1099"/>
  <c r="Q96" i="1099"/>
  <c r="Q95" i="1099"/>
  <c r="Q94" i="1099"/>
  <c r="Q93" i="1099"/>
  <c r="Q92" i="1099"/>
  <c r="Q91" i="1099"/>
  <c r="Q90" i="1099"/>
  <c r="Q89" i="1099"/>
  <c r="Q88" i="1099"/>
  <c r="Q87" i="1099"/>
  <c r="Q85" i="1099"/>
  <c r="Q84" i="1099"/>
  <c r="Q83" i="1099"/>
  <c r="Q82" i="1099"/>
  <c r="Q81" i="1099"/>
  <c r="Q80" i="1099"/>
  <c r="Q79" i="1099"/>
  <c r="Q78" i="1099"/>
  <c r="Q77" i="1099"/>
  <c r="Q76" i="1099"/>
  <c r="Q75" i="1099"/>
  <c r="Q74" i="1099"/>
  <c r="Q73" i="1099"/>
  <c r="Q72" i="1099"/>
  <c r="Q71" i="1099"/>
  <c r="Q70" i="1099"/>
  <c r="Q69" i="1099"/>
  <c r="Q68" i="1099"/>
  <c r="Q67" i="1099"/>
  <c r="Q66" i="1099"/>
  <c r="Q65" i="1099"/>
  <c r="Q64" i="1099"/>
  <c r="Q63" i="1099"/>
  <c r="Q62" i="1099"/>
  <c r="Q61" i="1099"/>
  <c r="Q60" i="1099"/>
  <c r="Q59" i="1099"/>
  <c r="Q58" i="1099"/>
  <c r="Q57" i="1099"/>
  <c r="Q56" i="1099"/>
  <c r="Q55" i="1099"/>
  <c r="Q54" i="1099"/>
  <c r="Q53" i="1099"/>
  <c r="Q52" i="1099"/>
  <c r="Q51" i="1099"/>
  <c r="Q50" i="1099"/>
  <c r="Q49" i="1099"/>
  <c r="Q48" i="1099"/>
  <c r="Q47" i="1099"/>
  <c r="Q46" i="1099"/>
  <c r="Q45" i="1099"/>
  <c r="Q44" i="1099"/>
  <c r="Q43" i="1099"/>
  <c r="Q42" i="1099"/>
  <c r="Q41" i="1099"/>
  <c r="Q40" i="1099"/>
  <c r="Q39" i="1099"/>
  <c r="Q38" i="1099"/>
  <c r="Q37" i="1099"/>
  <c r="Q36" i="1099"/>
  <c r="Q35" i="1099"/>
  <c r="Q34" i="1099"/>
  <c r="Q33" i="1099"/>
  <c r="Q32" i="1099"/>
  <c r="Q31" i="1099"/>
  <c r="Q30" i="1099"/>
  <c r="Q29" i="1099"/>
  <c r="Q28" i="1099"/>
  <c r="Q27" i="1099"/>
  <c r="Q26" i="1099"/>
  <c r="Q25" i="1099"/>
  <c r="Q24" i="1099"/>
  <c r="Q23" i="1099"/>
  <c r="Q22" i="1099"/>
  <c r="Q21" i="1099"/>
  <c r="Q20" i="1099"/>
  <c r="Q19" i="1099"/>
  <c r="Q18" i="1099"/>
  <c r="Q17" i="1099"/>
  <c r="Q16" i="1099"/>
  <c r="Q15" i="1099"/>
  <c r="Q14" i="1099"/>
  <c r="Q13" i="1099"/>
  <c r="Q12" i="1099"/>
  <c r="Q11" i="1099"/>
  <c r="Q10" i="1099"/>
  <c r="Q9" i="1099"/>
  <c r="Q8" i="1099"/>
  <c r="M97" i="1085"/>
  <c r="M96" i="1085"/>
  <c r="M95" i="1085"/>
  <c r="M93" i="1085"/>
  <c r="M92" i="1085"/>
  <c r="M91" i="1085"/>
  <c r="M90" i="1085"/>
  <c r="M89" i="1085"/>
  <c r="M88" i="1085"/>
  <c r="M87" i="1085"/>
  <c r="M86" i="1085"/>
  <c r="M85" i="1085"/>
  <c r="M84" i="1085"/>
  <c r="M83" i="1085"/>
  <c r="M82" i="1085"/>
  <c r="M81" i="1085"/>
  <c r="M80" i="1085"/>
  <c r="M79" i="1085"/>
  <c r="M78" i="1085"/>
  <c r="M76" i="1085"/>
  <c r="M75" i="1085"/>
  <c r="M74" i="1085"/>
  <c r="M73" i="1085"/>
  <c r="M72" i="1085"/>
  <c r="M71" i="1085"/>
  <c r="M70" i="1085"/>
  <c r="M69" i="1085"/>
  <c r="L68" i="1085"/>
  <c r="M67" i="1085"/>
  <c r="M66" i="1085"/>
  <c r="M65" i="1085"/>
  <c r="M64" i="1085"/>
  <c r="M63" i="1085"/>
  <c r="M62" i="1085"/>
  <c r="M61" i="1085"/>
  <c r="M60" i="1085"/>
  <c r="M59" i="1085"/>
  <c r="M58" i="1085"/>
  <c r="M57" i="1085"/>
  <c r="M56" i="1085"/>
  <c r="M55" i="1085"/>
  <c r="M54" i="1085"/>
  <c r="M53" i="1085"/>
  <c r="M52" i="1085"/>
  <c r="M51" i="1085"/>
  <c r="M50" i="1085"/>
  <c r="M49" i="1085"/>
  <c r="M48" i="1085"/>
  <c r="M47" i="1085"/>
  <c r="M46" i="1085"/>
  <c r="M45" i="1085"/>
  <c r="M44" i="1085"/>
  <c r="M43" i="1085"/>
  <c r="L42" i="1085"/>
  <c r="L40" i="1085"/>
  <c r="L39" i="1085"/>
  <c r="L38" i="1085"/>
  <c r="L37" i="1085"/>
  <c r="L36" i="1085"/>
  <c r="L35" i="1085"/>
  <c r="L34" i="1085"/>
  <c r="L33" i="1085"/>
  <c r="L32" i="1085"/>
  <c r="L31" i="1085"/>
  <c r="M30" i="1085"/>
  <c r="L29" i="1085"/>
  <c r="L28" i="1085"/>
  <c r="L27" i="1085"/>
  <c r="L26" i="1085"/>
  <c r="L25" i="1085"/>
  <c r="L24" i="1085"/>
  <c r="L23" i="1085"/>
  <c r="L22" i="1085"/>
  <c r="L21" i="1085"/>
  <c r="L20" i="1085"/>
  <c r="L19" i="1085"/>
  <c r="L18" i="1085"/>
  <c r="M17" i="1085"/>
  <c r="L16" i="1085"/>
  <c r="L15" i="1085"/>
  <c r="L14" i="1085"/>
  <c r="L13" i="1085"/>
  <c r="L12" i="1085"/>
  <c r="L11" i="1085"/>
  <c r="L10" i="1085"/>
  <c r="L9" i="1085"/>
  <c r="L8" i="1085"/>
  <c r="Q236" i="1099" l="1"/>
  <c r="Q1312" i="1099"/>
  <c r="Q1390" i="1099"/>
  <c r="Q1404" i="1099"/>
  <c r="Q1532" i="1099"/>
  <c r="Q1783" i="1099"/>
  <c r="Q1785" i="1099"/>
  <c r="Q107" i="1099"/>
  <c r="Q465" i="1099"/>
  <c r="Q542" i="1099"/>
  <c r="Q629" i="1099"/>
  <c r="Q653" i="1099"/>
  <c r="Q659" i="1099"/>
  <c r="Q750" i="1099"/>
  <c r="Q1224" i="1099"/>
  <c r="Q1401" i="1099"/>
  <c r="Q1454" i="1099"/>
  <c r="Q1536" i="1099"/>
  <c r="Q1537" i="1099"/>
  <c r="Q1633" i="1099"/>
  <c r="Q1974" i="1099"/>
  <c r="Q1135" i="20"/>
  <c r="Q1150" i="20"/>
  <c r="Q307" i="20"/>
  <c r="Q311" i="20"/>
  <c r="Q403" i="20"/>
  <c r="Q404" i="20"/>
  <c r="Q407" i="20"/>
  <c r="Q499" i="20"/>
  <c r="Q512" i="20"/>
  <c r="Q655" i="20"/>
  <c r="Q668" i="20"/>
  <c r="Q690" i="20"/>
  <c r="Q720" i="20"/>
  <c r="Q833" i="20"/>
  <c r="Q988" i="20"/>
  <c r="Q990" i="20"/>
  <c r="Q992" i="20"/>
  <c r="Q996" i="20"/>
  <c r="Q997" i="20"/>
  <c r="Q1000" i="20"/>
  <c r="Q308" i="20"/>
  <c r="Q451" i="20"/>
  <c r="Q507" i="20"/>
  <c r="Q670" i="20"/>
  <c r="Q675" i="20"/>
  <c r="Q682" i="20"/>
  <c r="Q707" i="20"/>
  <c r="Q723" i="20"/>
  <c r="Q989" i="20"/>
  <c r="Q991" i="20"/>
  <c r="Q993" i="20"/>
  <c r="Q1168" i="20"/>
  <c r="Q1220" i="20"/>
  <c r="Q1259" i="20"/>
  <c r="P1349" i="20"/>
  <c r="Q1349" i="20" s="1"/>
  <c r="P276" i="20"/>
  <c r="Q276" i="20" l="1"/>
</calcChain>
</file>

<file path=xl/comments1.xml><?xml version="1.0" encoding="utf-8"?>
<comments xmlns="http://schemas.openxmlformats.org/spreadsheetml/2006/main">
  <authors>
    <author>jna</author>
  </authors>
  <commentList>
    <comment ref="N24" authorId="0" shapeId="0">
      <text>
        <r>
          <rPr>
            <b/>
            <sz val="8"/>
            <color indexed="81"/>
            <rFont val="Tahoma"/>
            <family val="2"/>
            <charset val="204"/>
          </rPr>
          <t>jna:</t>
        </r>
        <r>
          <rPr>
            <sz val="8"/>
            <color indexed="81"/>
            <rFont val="Tahoma"/>
            <family val="2"/>
            <charset val="204"/>
          </rPr>
          <t xml:space="preserve">
до 24.12.10 S-515,0, с/но нового т/п-см</t>
        </r>
      </text>
    </comment>
    <comment ref="N26" authorId="0" shapeId="0">
      <text>
        <r>
          <rPr>
            <b/>
            <sz val="8"/>
            <color indexed="81"/>
            <rFont val="Tahoma"/>
            <family val="2"/>
            <charset val="204"/>
          </rPr>
          <t>jna:</t>
        </r>
        <r>
          <rPr>
            <sz val="8"/>
            <color indexed="81"/>
            <rFont val="Tahoma"/>
            <family val="2"/>
            <charset val="204"/>
          </rPr>
          <t xml:space="preserve">
в т/п итог стоит б/з подвалов, нужно плюсовать, будет как в кад.паспорте, в пост.гсд ошибка, подвал правильно читать973,9кв.м., как в т/п</t>
        </r>
      </text>
    </comment>
    <comment ref="N27" authorId="0" shapeId="0">
      <text>
        <r>
          <rPr>
            <b/>
            <sz val="8"/>
            <color indexed="81"/>
            <rFont val="Tahoma"/>
            <family val="2"/>
            <charset val="204"/>
          </rPr>
          <t>jna:</t>
        </r>
        <r>
          <rPr>
            <sz val="8"/>
            <color indexed="81"/>
            <rFont val="Tahoma"/>
            <family val="2"/>
            <charset val="204"/>
          </rPr>
          <t xml:space="preserve">
согласно т/п без подвала</t>
        </r>
      </text>
    </comment>
    <comment ref="N30" authorId="0" shapeId="0">
      <text>
        <r>
          <rPr>
            <b/>
            <sz val="8"/>
            <color indexed="81"/>
            <rFont val="Tahoma"/>
            <family val="2"/>
            <charset val="204"/>
          </rPr>
          <t>jna:</t>
        </r>
        <r>
          <rPr>
            <sz val="8"/>
            <color indexed="81"/>
            <rFont val="Tahoma"/>
            <family val="2"/>
            <charset val="204"/>
          </rPr>
          <t xml:space="preserve">
в соотвествии с кад.паспортом,с подвалом, в т/п итог стоит б/з подвалов, в тех.пасп.3696,2</t>
        </r>
      </text>
    </comment>
    <comment ref="N31" authorId="0" shapeId="0">
      <text>
        <r>
          <rPr>
            <b/>
            <sz val="8"/>
            <color indexed="81"/>
            <rFont val="Tahoma"/>
            <family val="2"/>
            <charset val="204"/>
          </rPr>
          <t>jna:</t>
        </r>
        <r>
          <rPr>
            <sz val="8"/>
            <color indexed="81"/>
            <rFont val="Tahoma"/>
            <family val="2"/>
            <charset val="204"/>
          </rPr>
          <t xml:space="preserve">
в т/паспорте отдельно не выделено</t>
        </r>
      </text>
    </comment>
    <comment ref="N32" authorId="0" shapeId="0">
      <text>
        <r>
          <rPr>
            <b/>
            <sz val="8"/>
            <color indexed="81"/>
            <rFont val="Tahoma"/>
            <family val="2"/>
            <charset val="204"/>
          </rPr>
          <t>jna:</t>
        </r>
        <r>
          <rPr>
            <sz val="8"/>
            <color indexed="81"/>
            <rFont val="Tahoma"/>
            <family val="2"/>
            <charset val="204"/>
          </rPr>
          <t xml:space="preserve">
т/паспорта нет отдельного, в основном паспорте на само здание бассейн на 1 этаже-55м.кв.</t>
        </r>
      </text>
    </comment>
    <comment ref="N33" authorId="0" shapeId="0">
      <text>
        <r>
          <rPr>
            <b/>
            <sz val="8"/>
            <color indexed="81"/>
            <rFont val="Tahoma"/>
            <family val="2"/>
            <charset val="204"/>
          </rPr>
          <t>jna:</t>
        </r>
        <r>
          <rPr>
            <sz val="8"/>
            <color indexed="81"/>
            <rFont val="Tahoma"/>
            <family val="2"/>
            <charset val="204"/>
          </rPr>
          <t xml:space="preserve">
согласно т/паспорта</t>
        </r>
      </text>
    </comment>
  </commentList>
</comments>
</file>

<file path=xl/comments2.xml><?xml version="1.0" encoding="utf-8"?>
<comments xmlns="http://schemas.openxmlformats.org/spreadsheetml/2006/main">
  <authors>
    <author>jna</author>
  </authors>
  <commentList>
    <comment ref="P20" authorId="0" shapeId="0">
      <text>
        <r>
          <rPr>
            <b/>
            <sz val="8"/>
            <color indexed="81"/>
            <rFont val="Tahoma"/>
            <family val="2"/>
            <charset val="204"/>
          </rPr>
          <t>jna:</t>
        </r>
        <r>
          <rPr>
            <sz val="8"/>
            <color indexed="81"/>
            <rFont val="Tahoma"/>
            <family val="2"/>
            <charset val="204"/>
          </rPr>
          <t xml:space="preserve">
см.пост.957 от 15.10.12 измен.S, б. и ост.ст-ти (1 этаж Б 22/3) перенесли в жилой дом</t>
        </r>
      </text>
    </comment>
    <comment ref="P27" authorId="0" shapeId="0">
      <text>
        <r>
          <rPr>
            <b/>
            <sz val="8"/>
            <color indexed="81"/>
            <rFont val="Tahoma"/>
            <family val="2"/>
            <charset val="204"/>
          </rPr>
          <t>jna:</t>
        </r>
        <r>
          <rPr>
            <sz val="8"/>
            <color indexed="81"/>
            <rFont val="Tahoma"/>
            <family val="2"/>
            <charset val="204"/>
          </rPr>
          <t xml:space="preserve">
см.пост.957 от 15.10.12 измен.S, б. и ост.ст-ти (1 этаж Б 22/3) перенесли в жилой дом</t>
        </r>
      </text>
    </comment>
    <comment ref="P41"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1"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2"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2"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5"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5"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6"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6"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7"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7"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8"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8"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49"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49"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0"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0"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1"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1"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2"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2"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5"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5"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6"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6"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7"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7"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8"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8"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59"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59"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0"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0"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1"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1"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2"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2"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3"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3"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P64" authorId="0" shapeId="0">
      <text>
        <r>
          <rPr>
            <b/>
            <sz val="8"/>
            <color indexed="81"/>
            <rFont val="Tahoma"/>
            <family val="2"/>
            <charset val="204"/>
          </rPr>
          <t>jna:</t>
        </r>
        <r>
          <rPr>
            <sz val="8"/>
            <color indexed="81"/>
            <rFont val="Tahoma"/>
            <family val="2"/>
            <charset val="204"/>
          </rPr>
          <t xml:space="preserve">
увеличилась б.с. На 18974 работы по устройству кровли над входом, документы в папке Казны</t>
        </r>
      </text>
    </comment>
    <comment ref="R64" authorId="0" shapeId="0">
      <text>
        <r>
          <rPr>
            <b/>
            <sz val="8"/>
            <color indexed="81"/>
            <rFont val="Tahoma"/>
            <family val="2"/>
            <charset val="204"/>
          </rPr>
          <t>jna:</t>
        </r>
        <r>
          <rPr>
            <sz val="8"/>
            <color indexed="81"/>
            <rFont val="Tahoma"/>
            <family val="2"/>
            <charset val="204"/>
          </rPr>
          <t xml:space="preserve">
увеличилась остат.ст-ть на 18974, производились работы по устройству кровли над входом </t>
        </r>
      </text>
    </comment>
    <comment ref="R66" authorId="0" shapeId="0">
      <text>
        <r>
          <rPr>
            <b/>
            <sz val="8"/>
            <color indexed="81"/>
            <rFont val="Tahoma"/>
            <family val="2"/>
            <charset val="204"/>
          </rPr>
          <t>jna:</t>
        </r>
        <r>
          <rPr>
            <sz val="8"/>
            <color indexed="81"/>
            <rFont val="Tahoma"/>
            <family val="2"/>
            <charset val="204"/>
          </rPr>
          <t xml:space="preserve">
бал. и ост.ст-ти изменены на 01.01.13, искл. Приват.кв-ры </t>
        </r>
      </text>
    </comment>
    <comment ref="D81" authorId="0" shapeId="0">
      <text>
        <r>
          <rPr>
            <b/>
            <sz val="8"/>
            <color indexed="81"/>
            <rFont val="Tahoma"/>
            <family val="2"/>
            <charset val="204"/>
          </rPr>
          <t>jna:</t>
        </r>
        <r>
          <rPr>
            <sz val="8"/>
            <color indexed="81"/>
            <rFont val="Tahoma"/>
            <family val="2"/>
            <charset val="204"/>
          </rPr>
          <t xml:space="preserve">
все кв-ры кроме №1 отнесены к ж/ф социального найма</t>
        </r>
      </text>
    </comment>
    <comment ref="R81" authorId="0" shapeId="0">
      <text>
        <r>
          <rPr>
            <b/>
            <sz val="8"/>
            <color indexed="81"/>
            <rFont val="Tahoma"/>
            <family val="2"/>
            <charset val="204"/>
          </rPr>
          <t>jna:</t>
        </r>
        <r>
          <rPr>
            <sz val="8"/>
            <color indexed="81"/>
            <rFont val="Tahoma"/>
            <family val="2"/>
            <charset val="204"/>
          </rPr>
          <t xml:space="preserve">
бал. и ост.ст-ти изменены на 01.01.13, искл. Приват.кв-ры </t>
        </r>
      </text>
    </comment>
  </commentList>
</comments>
</file>

<file path=xl/comments3.xml><?xml version="1.0" encoding="utf-8"?>
<comments xmlns="http://schemas.openxmlformats.org/spreadsheetml/2006/main">
  <authors>
    <author>chov</author>
  </authors>
  <commentList>
    <comment ref="C107" authorId="0" shapeId="0">
      <text>
        <r>
          <rPr>
            <b/>
            <sz val="8"/>
            <color indexed="81"/>
            <rFont val="Tahoma"/>
            <family val="2"/>
            <charset val="204"/>
          </rPr>
          <t>chov:</t>
        </r>
        <r>
          <rPr>
            <sz val="8"/>
            <color indexed="81"/>
            <rFont val="Tahoma"/>
            <family val="2"/>
            <charset val="204"/>
          </rPr>
          <t xml:space="preserve">
В 2003г.было передано и Спорту и "АГ",сейчас док-но забираем у Спорта,в перечне по ссуде у "АГ" не числится
</t>
        </r>
      </text>
    </comment>
  </commentList>
</comments>
</file>

<file path=xl/comments4.xml><?xml version="1.0" encoding="utf-8"?>
<comments xmlns="http://schemas.openxmlformats.org/spreadsheetml/2006/main">
  <authors>
    <author>jna</author>
  </authors>
  <commentList>
    <comment ref="M20"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1"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2"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 ref="M23" authorId="0" shapeId="0">
      <text>
        <r>
          <rPr>
            <b/>
            <sz val="8"/>
            <color indexed="81"/>
            <rFont val="Tahoma"/>
            <family val="2"/>
            <charset val="204"/>
          </rPr>
          <t>jna:</t>
        </r>
        <r>
          <rPr>
            <sz val="8"/>
            <color indexed="81"/>
            <rFont val="Tahoma"/>
            <family val="2"/>
            <charset val="204"/>
          </rPr>
          <t xml:space="preserve">
все сооружения срок до 01.12.14 </t>
        </r>
      </text>
    </comment>
  </commentList>
</comments>
</file>

<file path=xl/comments5.xml><?xml version="1.0" encoding="utf-8"?>
<comments xmlns="http://schemas.openxmlformats.org/spreadsheetml/2006/main">
  <authors>
    <author>jna</author>
  </authors>
  <commentList>
    <comment ref="D33" authorId="0" shapeId="0">
      <text>
        <r>
          <rPr>
            <b/>
            <sz val="8"/>
            <color indexed="81"/>
            <rFont val="Tahoma"/>
            <family val="2"/>
            <charset val="204"/>
          </rPr>
          <t>jna:</t>
        </r>
        <r>
          <rPr>
            <sz val="8"/>
            <color indexed="81"/>
            <rFont val="Tahoma"/>
            <family val="2"/>
            <charset val="204"/>
          </rPr>
          <t xml:space="preserve">
на з/б</t>
        </r>
      </text>
    </comment>
    <comment ref="D35" authorId="0" shapeId="0">
      <text>
        <r>
          <rPr>
            <b/>
            <sz val="8"/>
            <color indexed="81"/>
            <rFont val="Tahoma"/>
            <family val="2"/>
            <charset val="204"/>
          </rPr>
          <t>jna:</t>
        </r>
        <r>
          <rPr>
            <sz val="8"/>
            <color indexed="81"/>
            <rFont val="Tahoma"/>
            <family val="2"/>
            <charset val="204"/>
          </rPr>
          <t xml:space="preserve">
на з/б</t>
        </r>
      </text>
    </comment>
  </commentList>
</comments>
</file>

<file path=xl/comments6.xml><?xml version="1.0" encoding="utf-8"?>
<comments xmlns="http://schemas.openxmlformats.org/spreadsheetml/2006/main">
  <authors>
    <author>jna</author>
  </authors>
  <commentList>
    <comment ref="Q41" authorId="0" shapeId="0">
      <text>
        <r>
          <rPr>
            <b/>
            <sz val="8"/>
            <color indexed="81"/>
            <rFont val="Tahoma"/>
            <family val="2"/>
            <charset val="204"/>
          </rPr>
          <t>jna:</t>
        </r>
        <r>
          <rPr>
            <sz val="8"/>
            <color indexed="81"/>
            <rFont val="Tahoma"/>
            <family val="2"/>
            <charset val="204"/>
          </rPr>
          <t xml:space="preserve">
б.с. Взяли как рыночную на  сегодняшний день из отч. Об оценке, о.с.=б.с.-износ (1,2% свед.М.Ф.)</t>
        </r>
      </text>
    </comment>
  </commentList>
</comments>
</file>

<file path=xl/comments7.xml><?xml version="1.0" encoding="utf-8"?>
<comments xmlns="http://schemas.openxmlformats.org/spreadsheetml/2006/main">
  <authors>
    <author>jna</author>
  </authors>
  <commentList>
    <comment ref="O293" authorId="0" shapeId="0">
      <text>
        <r>
          <rPr>
            <b/>
            <sz val="8"/>
            <color indexed="81"/>
            <rFont val="Tahoma"/>
            <family val="2"/>
            <charset val="204"/>
          </rPr>
          <t>jna:</t>
        </r>
        <r>
          <rPr>
            <sz val="8"/>
            <color indexed="81"/>
            <rFont val="Tahoma"/>
            <family val="2"/>
            <charset val="204"/>
          </rPr>
          <t xml:space="preserve">
допроведена б.с. На 25664руб., модернизация, см.справку</t>
        </r>
      </text>
    </comment>
    <comment ref="D343" authorId="0" shapeId="0">
      <text>
        <r>
          <rPr>
            <b/>
            <sz val="8"/>
            <color indexed="81"/>
            <rFont val="Tahoma"/>
            <family val="2"/>
            <charset val="204"/>
          </rPr>
          <t>jna:</t>
        </r>
        <r>
          <rPr>
            <sz val="8"/>
            <color indexed="81"/>
            <rFont val="Tahoma"/>
            <family val="2"/>
            <charset val="204"/>
          </rPr>
          <t xml:space="preserve">
29 позиц.входят в ком-т, по отд-ти разбивка см.прилож.к пост.</t>
        </r>
      </text>
    </comment>
    <comment ref="O511" authorId="0" shapeId="0">
      <text>
        <r>
          <rPr>
            <b/>
            <sz val="8"/>
            <color indexed="81"/>
            <rFont val="Tahoma"/>
            <family val="2"/>
            <charset val="204"/>
          </rPr>
          <t>jna:</t>
        </r>
        <r>
          <rPr>
            <sz val="8"/>
            <color indexed="81"/>
            <rFont val="Tahoma"/>
            <family val="2"/>
            <charset val="204"/>
          </rPr>
          <t xml:space="preserve">
часть списано обор.пост.1025 от 01.11.2012, прежняя б.с.240648,60руб.</t>
        </r>
      </text>
    </comment>
    <comment ref="O674" authorId="0" shapeId="0">
      <text>
        <r>
          <rPr>
            <b/>
            <sz val="8"/>
            <color indexed="81"/>
            <rFont val="Tahoma"/>
            <family val="2"/>
            <charset val="204"/>
          </rPr>
          <t>jna:</t>
        </r>
        <r>
          <rPr>
            <sz val="8"/>
            <color indexed="81"/>
            <rFont val="Tahoma"/>
            <family val="2"/>
            <charset val="204"/>
          </rPr>
          <t xml:space="preserve">
2 системника списаны пост.1025 от 01.11.12 на сумму 22400=</t>
        </r>
      </text>
    </comment>
    <comment ref="B742" authorId="0" shapeId="0">
      <text>
        <r>
          <rPr>
            <b/>
            <sz val="8"/>
            <color indexed="81"/>
            <rFont val="Tahoma"/>
            <family val="2"/>
            <charset val="204"/>
          </rPr>
          <t>jna:</t>
        </r>
        <r>
          <rPr>
            <sz val="8"/>
            <color indexed="81"/>
            <rFont val="Tahoma"/>
            <family val="2"/>
            <charset val="204"/>
          </rPr>
          <t xml:space="preserve">
для 19 шк</t>
        </r>
      </text>
    </comment>
  </commentList>
</comments>
</file>

<file path=xl/sharedStrings.xml><?xml version="1.0" encoding="utf-8"?>
<sst xmlns="http://schemas.openxmlformats.org/spreadsheetml/2006/main" count="44457" uniqueCount="17256">
  <si>
    <t>DVD-плеер Панасоник S54</t>
  </si>
  <si>
    <t>2.5.1039</t>
  </si>
  <si>
    <t>2.5.1040</t>
  </si>
  <si>
    <t>2.5.1041</t>
  </si>
  <si>
    <t>инв.01380808</t>
  </si>
  <si>
    <t>инв.01630714</t>
  </si>
  <si>
    <t>инв.2060964</t>
  </si>
  <si>
    <t>2.5.0562</t>
  </si>
  <si>
    <t>Колонки</t>
  </si>
  <si>
    <t>14.10.2014</t>
  </si>
  <si>
    <t>Установка МСК-3-100-101</t>
  </si>
  <si>
    <t>приказ (край)</t>
  </si>
  <si>
    <t>закупочный акт</t>
  </si>
  <si>
    <t>26.04.2011</t>
  </si>
  <si>
    <t>28.12.2011</t>
  </si>
  <si>
    <t xml:space="preserve">письмо </t>
  </si>
  <si>
    <t>инв.010104020</t>
  </si>
  <si>
    <t>Радиосистема "Langpue"  U-908</t>
  </si>
  <si>
    <t>Машина протирочно-резательная</t>
  </si>
  <si>
    <t>Рабочее место ученика</t>
  </si>
  <si>
    <t>2.4.0332</t>
  </si>
  <si>
    <t>2.4.0345</t>
  </si>
  <si>
    <t>2.4.0362</t>
  </si>
  <si>
    <t>2.4.0365</t>
  </si>
  <si>
    <t>Системный блок Intel</t>
  </si>
  <si>
    <t>Перфоратор ПРЭ-7 (кейс)</t>
  </si>
  <si>
    <t>Ростовая кукла "Дракон"</t>
  </si>
  <si>
    <t>2.4.1587</t>
  </si>
  <si>
    <t>1; 88</t>
  </si>
  <si>
    <t>инв.89004018</t>
  </si>
  <si>
    <t>Скелет человека</t>
  </si>
  <si>
    <t>инв.10104015</t>
  </si>
  <si>
    <t>IV - 1988</t>
  </si>
  <si>
    <t>2.5.0499</t>
  </si>
  <si>
    <t>2.5.0500</t>
  </si>
  <si>
    <t>2.5.0501</t>
  </si>
  <si>
    <t>Шасси №</t>
  </si>
  <si>
    <t>Кузов №</t>
  </si>
  <si>
    <t>Балансовая, руб.</t>
  </si>
  <si>
    <t>безвозмездное пользование</t>
  </si>
  <si>
    <t>Стробоскоп WORK Big-flash 1500</t>
  </si>
  <si>
    <t>Видеопроигрыватель</t>
  </si>
  <si>
    <t>инв.010104021-25</t>
  </si>
  <si>
    <t xml:space="preserve">Холодильник "Орск" </t>
  </si>
  <si>
    <t>Комплект лыж</t>
  </si>
  <si>
    <t>2.4.1479</t>
  </si>
  <si>
    <t>2.4.1480</t>
  </si>
  <si>
    <t>2.4.1481</t>
  </si>
  <si>
    <t>2.4.1482</t>
  </si>
  <si>
    <t>2.4.1483</t>
  </si>
  <si>
    <t>2.4.1484</t>
  </si>
  <si>
    <t>2.4.1485</t>
  </si>
  <si>
    <t>2.4.1486</t>
  </si>
  <si>
    <t>2.4.1487</t>
  </si>
  <si>
    <t>2.4.1488</t>
  </si>
  <si>
    <t>2.4.1494</t>
  </si>
  <si>
    <t>2.4.1495</t>
  </si>
  <si>
    <t>06.08.1993</t>
  </si>
  <si>
    <t>Тренажер "Степпер"</t>
  </si>
  <si>
    <t>инв.10106952</t>
  </si>
  <si>
    <t>Бревно круглое</t>
  </si>
  <si>
    <t>2.4.1478</t>
  </si>
  <si>
    <t>Монитор "Samsung Sync Master"</t>
  </si>
  <si>
    <t>19дюймов 141 MW-TFT</t>
  </si>
  <si>
    <t>2.4.2374</t>
  </si>
  <si>
    <t>Кухонный гарнитур</t>
  </si>
  <si>
    <t>приказ (край); акт приема-передачи; постановление</t>
  </si>
  <si>
    <t>2006; 84; 836</t>
  </si>
  <si>
    <t>15.06.2011; 15.06.2011; 26.07.2011</t>
  </si>
  <si>
    <t>07/12/0220130147</t>
  </si>
  <si>
    <t>Сплит-система</t>
  </si>
  <si>
    <t>Сплит-система Neoclima NS/Nu-HAL-09</t>
  </si>
  <si>
    <t>инв.10136113</t>
  </si>
  <si>
    <t xml:space="preserve">приказ (край) </t>
  </si>
  <si>
    <t>Маты гимнастические</t>
  </si>
  <si>
    <t>Фильтр</t>
  </si>
  <si>
    <t>сч-ф № 100</t>
  </si>
  <si>
    <t>2.5.0516</t>
  </si>
  <si>
    <t>инв.10000500. кв."Б", д.30</t>
  </si>
  <si>
    <t>2.5.0653</t>
  </si>
  <si>
    <t>2.5.0654</t>
  </si>
  <si>
    <t>2.5.0655</t>
  </si>
  <si>
    <t>2.5.0656</t>
  </si>
  <si>
    <t>2.5.0657</t>
  </si>
  <si>
    <t>2.5.0658</t>
  </si>
  <si>
    <t>2.5.0659</t>
  </si>
  <si>
    <t>2.5.0660</t>
  </si>
  <si>
    <t>2.5.0661</t>
  </si>
  <si>
    <t>инв.10000645. Кв."А", д.35</t>
  </si>
  <si>
    <t>Ноутбук ASUS Х550СА</t>
  </si>
  <si>
    <t>2.5.0529</t>
  </si>
  <si>
    <t>945</t>
  </si>
  <si>
    <t>инв.010106056-60</t>
  </si>
  <si>
    <t>инв.010106061-68</t>
  </si>
  <si>
    <t>Комплект дидактический</t>
  </si>
  <si>
    <t>2.5.0205</t>
  </si>
  <si>
    <t>2.5.0206</t>
  </si>
  <si>
    <t>2.5.1242</t>
  </si>
  <si>
    <t>МФУ "Sharp AR-M 205"</t>
  </si>
  <si>
    <t>20.08.08</t>
  </si>
  <si>
    <t>2.4.1639</t>
  </si>
  <si>
    <t>МБУ ДО "ДШИ" г.Яровое</t>
  </si>
  <si>
    <t>Передатчик команд ПдК-01 (для ГО и ЧС)</t>
  </si>
  <si>
    <t>инв.10104421</t>
  </si>
  <si>
    <t>437</t>
  </si>
  <si>
    <t>2.4.1369</t>
  </si>
  <si>
    <t>2.4.1370</t>
  </si>
  <si>
    <t>Трансформатор ТМ 250 -6/0,4 ТП 257/2 (47019407)</t>
  </si>
  <si>
    <t>инв.10000437. "Б"-30</t>
  </si>
  <si>
    <t>Трансформатор ТМ 100-6/0,4 /ТП- 100/ (47019707)</t>
  </si>
  <si>
    <t>Стол угловой с приставным столом</t>
  </si>
  <si>
    <t>2.5.0612</t>
  </si>
  <si>
    <t>2.5.0613</t>
  </si>
  <si>
    <t>2.5.0614</t>
  </si>
  <si>
    <t>Набор демонстр."Тепл.явлен</t>
  </si>
  <si>
    <t>Набор по механике</t>
  </si>
  <si>
    <t>инв. 10104269. Бенз.0,95кВт 6,2кг</t>
  </si>
  <si>
    <t>инв. 10104223. POLO 200х200 на штативе</t>
  </si>
  <si>
    <t>инв. 3120138</t>
  </si>
  <si>
    <t>инв.10106975</t>
  </si>
  <si>
    <t>инв. 10104988</t>
  </si>
  <si>
    <t>инв.10104897</t>
  </si>
  <si>
    <t>Ком-т уч.оборуд.д/каб.физики</t>
  </si>
  <si>
    <t>2.4.1319</t>
  </si>
  <si>
    <t>2.4.1770</t>
  </si>
  <si>
    <t>2.4.1771</t>
  </si>
  <si>
    <t>2.4.1772</t>
  </si>
  <si>
    <t>2.4.1773</t>
  </si>
  <si>
    <t>2.4.1774</t>
  </si>
  <si>
    <t>2.4.1775</t>
  </si>
  <si>
    <t>2.4.1776</t>
  </si>
  <si>
    <t>2.4.1777</t>
  </si>
  <si>
    <t>2.4.1778</t>
  </si>
  <si>
    <t>2.4.1779</t>
  </si>
  <si>
    <t>2.4.1780</t>
  </si>
  <si>
    <t>2.4.1781</t>
  </si>
  <si>
    <t>2.4.1782</t>
  </si>
  <si>
    <t>2.4.1783</t>
  </si>
  <si>
    <t>2.4.1784</t>
  </si>
  <si>
    <t>2.4.1785</t>
  </si>
  <si>
    <t>2.4.1786</t>
  </si>
  <si>
    <t>2.4.1787</t>
  </si>
  <si>
    <t>2.4.1788</t>
  </si>
  <si>
    <t>2.4.1789</t>
  </si>
  <si>
    <t>2.4.1790</t>
  </si>
  <si>
    <t>2.4.1791</t>
  </si>
  <si>
    <t>2.4.1792</t>
  </si>
  <si>
    <t>2.4.1793</t>
  </si>
  <si>
    <t>2.4.1794</t>
  </si>
  <si>
    <t>2.4.1795</t>
  </si>
  <si>
    <t>2.4.1796</t>
  </si>
  <si>
    <t>2.4.1797</t>
  </si>
  <si>
    <t>2.4.1798</t>
  </si>
  <si>
    <t>2.4.1799</t>
  </si>
  <si>
    <t>2.4.1800</t>
  </si>
  <si>
    <t>2.4.1801</t>
  </si>
  <si>
    <t>2.4.1802</t>
  </si>
  <si>
    <t>2.4.1803</t>
  </si>
  <si>
    <t>2.4.1804</t>
  </si>
  <si>
    <t>2.4.1805</t>
  </si>
  <si>
    <t>2.4.1806</t>
  </si>
  <si>
    <t>2.4.1807</t>
  </si>
  <si>
    <t>2.4.1808</t>
  </si>
  <si>
    <t>2.4.1809</t>
  </si>
  <si>
    <t>2.4.1810</t>
  </si>
  <si>
    <t>2.4.1811</t>
  </si>
  <si>
    <t>2.4.1812</t>
  </si>
  <si>
    <t>июль 2010г.</t>
  </si>
  <si>
    <t>2.5.0147</t>
  </si>
  <si>
    <t>2.5.0148</t>
  </si>
  <si>
    <t>2.5.0149</t>
  </si>
  <si>
    <t>2.5.0150</t>
  </si>
  <si>
    <t>2.5.0151</t>
  </si>
  <si>
    <t>акт приемки</t>
  </si>
  <si>
    <t>09.12.2005</t>
  </si>
  <si>
    <t xml:space="preserve"> 5866 </t>
  </si>
  <si>
    <t>инв.10000556. Водозабор, ТП-289/1</t>
  </si>
  <si>
    <t>инв.10000561. ОАО "АХП", ЦРП-10</t>
  </si>
  <si>
    <t>Распред.устройство КРУ 2 (27 камер КСО) ЦРП 10  (47055807)</t>
  </si>
  <si>
    <t>Распред.устройство КРУ 2 (7 камер КРУ) (47056407)</t>
  </si>
  <si>
    <t>инв.10000567. ОАО "АХП", ЦРП-11</t>
  </si>
  <si>
    <t>Трансформатор ТМ3 630-6/04, ТП 258/1/ (47057207)</t>
  </si>
  <si>
    <t>Разъединитель трехполосный РАНД 110/1000/ РТП  (47017107)</t>
  </si>
  <si>
    <t>инв.10000420. РТП 110/6</t>
  </si>
  <si>
    <t>инв.10000421. РТП 110/6</t>
  </si>
  <si>
    <t>Установка СТЭЛ-10Н-120-01</t>
  </si>
  <si>
    <t>Турник "Шведская стенка"</t>
  </si>
  <si>
    <t>2.5.0922</t>
  </si>
  <si>
    <t>2.5.0923</t>
  </si>
  <si>
    <t>2.5.0924</t>
  </si>
  <si>
    <t>2.5.0925</t>
  </si>
  <si>
    <t>инв.3061055. SNOWCAT ZL ST 551Q</t>
  </si>
  <si>
    <t>инв.000000014. Distro D210</t>
  </si>
  <si>
    <t>инв.10104076</t>
  </si>
  <si>
    <t xml:space="preserve">Компьютер </t>
  </si>
  <si>
    <t>инв.10104058. EOS-1100D, 12MPix</t>
  </si>
  <si>
    <t>инв.10106955</t>
  </si>
  <si>
    <t>инв.10104999,101041001,101041002. MX503, ScreenMedia</t>
  </si>
  <si>
    <t>инв.101041003. MX503, ScreenMedia</t>
  </si>
  <si>
    <t>Сравнение понят.изомер.и гомолог</t>
  </si>
  <si>
    <t>инв.10106579</t>
  </si>
  <si>
    <t>Компьютер</t>
  </si>
  <si>
    <t>Шкаф жарочный ШЖ-150-2с</t>
  </si>
  <si>
    <t>Распред пункт ПР -247207</t>
  </si>
  <si>
    <t>инв.1380001,618,619. Разновысокая</t>
  </si>
  <si>
    <t xml:space="preserve">инв.10106178-92. Для лабораторных работ </t>
  </si>
  <si>
    <t>инв.1630017,18</t>
  </si>
  <si>
    <t>инв.1380392</t>
  </si>
  <si>
    <t>Монитор LSD ASER AL 1717 PS</t>
  </si>
  <si>
    <t>постановление; постановление; постановление; постановление; постановление</t>
  </si>
  <si>
    <t>инв.10106182.Диаметр 30 см</t>
  </si>
  <si>
    <t>Электролизная установка "Санер 5-120-01"</t>
  </si>
  <si>
    <t>2.4.0725</t>
  </si>
  <si>
    <t>Облучатель передвижной</t>
  </si>
  <si>
    <t>904</t>
  </si>
  <si>
    <t>01.10.2008</t>
  </si>
  <si>
    <t>Процессор INTEL Сеlегоn 2,0 GHz</t>
  </si>
  <si>
    <t>Домбра  Альт</t>
  </si>
  <si>
    <t>инв.10106716. Изготовлен из ЛДСП. Опора стола из цельносварной металлокаркас. Стол комплектуется приставной тумбой для хранения игрового материала.</t>
  </si>
  <si>
    <t>2.4.1220</t>
  </si>
  <si>
    <t>2.5.0856</t>
  </si>
  <si>
    <t>2.5.0857</t>
  </si>
  <si>
    <t>2.5.0858</t>
  </si>
  <si>
    <t>2.5.0859</t>
  </si>
  <si>
    <t>2.5.0860</t>
  </si>
  <si>
    <t>2.5.0861</t>
  </si>
  <si>
    <t>2.5.0862</t>
  </si>
  <si>
    <t>2.5.0863</t>
  </si>
  <si>
    <t>2.5.0864</t>
  </si>
  <si>
    <t>2.5.0865</t>
  </si>
  <si>
    <t>2.5.0866</t>
  </si>
  <si>
    <t>2.4.1043</t>
  </si>
  <si>
    <t>2.4.1044</t>
  </si>
  <si>
    <t>2.4.1045</t>
  </si>
  <si>
    <t>2.4.1046</t>
  </si>
  <si>
    <t>2.4.0364</t>
  </si>
  <si>
    <t>2.4.0041</t>
  </si>
  <si>
    <t>2.4.0537</t>
  </si>
  <si>
    <t>2.4.0538</t>
  </si>
  <si>
    <t xml:space="preserve">Рабочее место библиотекаря </t>
  </si>
  <si>
    <t>2.5.0162</t>
  </si>
  <si>
    <t>2.5.0164</t>
  </si>
  <si>
    <t>2.5.0169</t>
  </si>
  <si>
    <t>2.5.0170</t>
  </si>
  <si>
    <t>2.5.0171</t>
  </si>
  <si>
    <t>2.5.0172</t>
  </si>
  <si>
    <t>2.5.0173</t>
  </si>
  <si>
    <t>2.5.0174</t>
  </si>
  <si>
    <t>2.5.0175</t>
  </si>
  <si>
    <t>2.5.0177</t>
  </si>
  <si>
    <t>2.5.0178</t>
  </si>
  <si>
    <t>2.5.0179</t>
  </si>
  <si>
    <t>2.5.0183</t>
  </si>
  <si>
    <t>2.5.0184</t>
  </si>
  <si>
    <t>2.5.0186</t>
  </si>
  <si>
    <t>2.5.0187</t>
  </si>
  <si>
    <t>2.5.0190</t>
  </si>
  <si>
    <t>2.5.0192</t>
  </si>
  <si>
    <t>МБОУ СОШ №19</t>
  </si>
  <si>
    <t>Насос Grundfos NB 32-125/1/140</t>
  </si>
  <si>
    <t>Проектор  BenQ MP 622</t>
  </si>
  <si>
    <t>Стенка "Катунь"</t>
  </si>
  <si>
    <t>Фитобочка</t>
  </si>
  <si>
    <t>2.5.1121</t>
  </si>
  <si>
    <t>2.5.1122</t>
  </si>
  <si>
    <t>инв. 3120141. LG XА66 8186</t>
  </si>
  <si>
    <t>инв. 150514</t>
  </si>
  <si>
    <t>инв. 10106613</t>
  </si>
  <si>
    <t>инв. 10106622</t>
  </si>
  <si>
    <t>инв. 10106648</t>
  </si>
  <si>
    <t>инв. 10106649</t>
  </si>
  <si>
    <t>Машина протирочно-резат.</t>
  </si>
  <si>
    <t>Программно-аппаратный комплекс</t>
  </si>
  <si>
    <t>инв.10106142</t>
  </si>
  <si>
    <t>МФУ струйный НР</t>
  </si>
  <si>
    <t>2.4.0373</t>
  </si>
  <si>
    <t>2.4.0374</t>
  </si>
  <si>
    <t>Радиосистема Shure U-830</t>
  </si>
  <si>
    <t>12-2015</t>
  </si>
  <si>
    <t>инв.30612165</t>
  </si>
  <si>
    <t>инв.43000507-43001107, 43001507</t>
  </si>
  <si>
    <t>Люстра бронзовая на 26 ламп</t>
  </si>
  <si>
    <t>инв.01380728</t>
  </si>
  <si>
    <t>инв.01380426</t>
  </si>
  <si>
    <t>Облучатель рециркулярный</t>
  </si>
  <si>
    <t>инв.10106575</t>
  </si>
  <si>
    <t>инв.3061064</t>
  </si>
  <si>
    <t xml:space="preserve">Мягкий комплекс Луна-качалка </t>
  </si>
  <si>
    <t>Romana ДМФ-МК-01.10.00</t>
  </si>
  <si>
    <t xml:space="preserve">Мяч резиновый </t>
  </si>
  <si>
    <t>RF54 058-80</t>
  </si>
  <si>
    <t xml:space="preserve">Мяч-попрыгун Лисичка </t>
  </si>
  <si>
    <t>2.5.1045</t>
  </si>
  <si>
    <t>2.5.1046</t>
  </si>
  <si>
    <t>2.5.1047</t>
  </si>
  <si>
    <t>2.5.1048</t>
  </si>
  <si>
    <t>2.5.1049</t>
  </si>
  <si>
    <t>2.5.1050</t>
  </si>
  <si>
    <t>2.5.1051</t>
  </si>
  <si>
    <t>2.5.0513</t>
  </si>
  <si>
    <t>2.5.0514</t>
  </si>
  <si>
    <t>2.5.0515</t>
  </si>
  <si>
    <t>Стол угловой в комлекте</t>
  </si>
  <si>
    <t>инв.11134</t>
  </si>
  <si>
    <t>лазерный, А4</t>
  </si>
  <si>
    <t>инв.210106200004</t>
  </si>
  <si>
    <t>Магнитная доска "Дорожное движение в городе"</t>
  </si>
  <si>
    <t>инв.10106575. Со схемой населенного пункта.</t>
  </si>
  <si>
    <t>204-р</t>
  </si>
  <si>
    <t xml:space="preserve">распоряжение Администрации Алтайского края </t>
  </si>
  <si>
    <t>инв.3061022</t>
  </si>
  <si>
    <t>инв.010104157</t>
  </si>
  <si>
    <t>349007</t>
  </si>
  <si>
    <t>Комплект компьютерной техники</t>
  </si>
  <si>
    <t>Шкаф вытяжной химический</t>
  </si>
  <si>
    <t>2.5.0112</t>
  </si>
  <si>
    <t>2.5.0116</t>
  </si>
  <si>
    <t>2.5.0117</t>
  </si>
  <si>
    <t>2.5.0118</t>
  </si>
  <si>
    <t>Стол детский для логопедических занятий</t>
  </si>
  <si>
    <t>Стол ленточный</t>
  </si>
  <si>
    <t>Стенка "Уголок природы"</t>
  </si>
  <si>
    <t>инв.3061026</t>
  </si>
  <si>
    <t>Облучатель - рециркулятор бактерицидный передвижной СИБЭСТ -100С ОРБпБ-01</t>
  </si>
  <si>
    <t>2.4.1640</t>
  </si>
  <si>
    <t>2.4.1641</t>
  </si>
  <si>
    <t>2.4.1642</t>
  </si>
  <si>
    <t>2.4.1643</t>
  </si>
  <si>
    <t>Набор по ботанике</t>
  </si>
  <si>
    <t>RoverMateB03</t>
  </si>
  <si>
    <t>RoverMateB04</t>
  </si>
  <si>
    <t>RoverMateB05</t>
  </si>
  <si>
    <t>инв.10106162</t>
  </si>
  <si>
    <t>Ячейки под вещи</t>
  </si>
  <si>
    <t>Копировальный аппарат НР</t>
  </si>
  <si>
    <t>S-AM3/12 220/320 Gb/2Gb/CD  - 5 шт.</t>
  </si>
  <si>
    <t>2.2.0144</t>
  </si>
  <si>
    <t>Трансформатор ТМ160-6 /04 ТП-214/2 (47037107)</t>
  </si>
  <si>
    <t>Приемник команд ПрК-01 (для ГО и ЧС)</t>
  </si>
  <si>
    <t>инв.10104422</t>
  </si>
  <si>
    <t>Пожарная сигнализация в здании администрации</t>
  </si>
  <si>
    <t>инв.10104536</t>
  </si>
  <si>
    <t>Табло отображения сигналов  П-160-12</t>
  </si>
  <si>
    <t>инв.10104412</t>
  </si>
  <si>
    <t xml:space="preserve">Монитор LCD 19`` BENQ G925 HDA </t>
  </si>
  <si>
    <t>инв.10104369, цвет черный</t>
  </si>
  <si>
    <t>Монитор ЖК ,Asus 19 ``WSXGA +1680*1050</t>
  </si>
  <si>
    <t>инв.10104365</t>
  </si>
  <si>
    <t xml:space="preserve">Компьютер в комплекте </t>
  </si>
  <si>
    <t>2.4.1829</t>
  </si>
  <si>
    <t>2.4.1830</t>
  </si>
  <si>
    <t>2.4.1831</t>
  </si>
  <si>
    <t>Насос СМ 250-200-400/6</t>
  </si>
  <si>
    <t>контракт на поставку оборудования, игрушек</t>
  </si>
  <si>
    <t>Модуль "Пирамида"</t>
  </si>
  <si>
    <t>09.2013</t>
  </si>
  <si>
    <t>12.2013</t>
  </si>
  <si>
    <t>инв.1380021, 32</t>
  </si>
  <si>
    <t>2.5.0900</t>
  </si>
  <si>
    <t>2.5.0901</t>
  </si>
  <si>
    <t>2.5.0902</t>
  </si>
  <si>
    <t>Мультикор S 16/4</t>
  </si>
  <si>
    <t>Монитор LSD Samsung</t>
  </si>
  <si>
    <t>инв.3061086,а</t>
  </si>
  <si>
    <t>Трансформатор сил-й ТМ400-6/0,4, ТП-252/2 (47064207)</t>
  </si>
  <si>
    <t>инв.10000622. Кв."Б", д.12, ТП-252/2</t>
  </si>
  <si>
    <t>инв.10104684</t>
  </si>
  <si>
    <t>инв.01380456</t>
  </si>
  <si>
    <t>инв.1380432-53</t>
  </si>
  <si>
    <t>Баян тульский</t>
  </si>
  <si>
    <t>2.4.1890</t>
  </si>
  <si>
    <t>2.4.1891</t>
  </si>
  <si>
    <t>2.4.1894</t>
  </si>
  <si>
    <t>2.4.1895</t>
  </si>
  <si>
    <t>2.4.1896</t>
  </si>
  <si>
    <t>15.07.2013</t>
  </si>
  <si>
    <t>01.02.2013</t>
  </si>
  <si>
    <t>0220130019</t>
  </si>
  <si>
    <t>Модели цветков раз.семейств</t>
  </si>
  <si>
    <t>2.4.1361</t>
  </si>
  <si>
    <t>2.4.1362</t>
  </si>
  <si>
    <t>2.4.1363</t>
  </si>
  <si>
    <t>2.4.1364</t>
  </si>
  <si>
    <t>2.4.1365</t>
  </si>
  <si>
    <t>2.4.1366</t>
  </si>
  <si>
    <t>2.4.1367</t>
  </si>
  <si>
    <t>инв.10000545, 10000546. МСЧ-128</t>
  </si>
  <si>
    <t>Выключатель масляный ВМПЭ 10/1600 (47050407)</t>
  </si>
  <si>
    <t>Дом пластмассовый</t>
  </si>
  <si>
    <t>Мини-игра Гольф</t>
  </si>
  <si>
    <t>холодильники, микроволновки, СВЧ-печь, сейфы, чайники, обогреватели, кондиционер Almakom ACH-09A</t>
  </si>
  <si>
    <t>инв.89000504. Мощность 75квт, ул.Северная, 2 водозабор (узел приготовления)</t>
  </si>
  <si>
    <t>№ 89163504,оценка 2011</t>
  </si>
  <si>
    <t>2.4.0933</t>
  </si>
  <si>
    <t>2.4.0934</t>
  </si>
  <si>
    <t>2.4.0936</t>
  </si>
  <si>
    <t>2.4.0938</t>
  </si>
  <si>
    <t>2.4.0939</t>
  </si>
  <si>
    <t>2.4.0606</t>
  </si>
  <si>
    <t>08.02.12</t>
  </si>
  <si>
    <t>инв.1631949. Высота 2,4 м. Размеры 90х21х22 см</t>
  </si>
  <si>
    <t>инв.01380780. 5 секций ,полки раздвижные стекла на замках</t>
  </si>
  <si>
    <t>инв.89000044</t>
  </si>
  <si>
    <t>инв.89000045</t>
  </si>
  <si>
    <t>инв.1630005 .Sokkia Setge заводской № 17403</t>
  </si>
  <si>
    <t>инв.10104091к. Кв.А, ТП 255,ПР-24-7207;0,4кВ</t>
  </si>
  <si>
    <t>2.5.0393</t>
  </si>
  <si>
    <t>2.5.0394</t>
  </si>
  <si>
    <t>Таль эл. г/п 1т  (47005309)</t>
  </si>
  <si>
    <t>инв.10000673 Корп.10</t>
  </si>
  <si>
    <t xml:space="preserve">Шкаф распределительный </t>
  </si>
  <si>
    <t>Домра бас 3-х струнная</t>
  </si>
  <si>
    <t>распоряжение (край); акт приема-передачи</t>
  </si>
  <si>
    <t>17.12.2014; 19.01.2015</t>
  </si>
  <si>
    <t>инв.10106289</t>
  </si>
  <si>
    <t>инв.10106243</t>
  </si>
  <si>
    <t>инв.1380203</t>
  </si>
  <si>
    <t>инв.10106017-19</t>
  </si>
  <si>
    <t>Трансформатор ТМ630-6/04, ТП-269 (47067307)</t>
  </si>
  <si>
    <t>инв.10000643. Кв."В"-25, ТП-269</t>
  </si>
  <si>
    <t>инв.10000646. ОАО "АХП", ЦРП-4</t>
  </si>
  <si>
    <t>Камера КСО-366 /ТП-255/ (47067507)</t>
  </si>
  <si>
    <t>Трансформатор ТМ 100-6/04,  ЦРП-11 (47067607)</t>
  </si>
  <si>
    <t>Трансформатор ТМ 63-6/04 (47067707)</t>
  </si>
  <si>
    <t>Комплектное высоковольтное распред-во (3 шкафа ввода) (47067807)</t>
  </si>
  <si>
    <t>инв.10104095к. Кв. А,ТП 255, ЩО-70-6; 0,4кВ</t>
  </si>
  <si>
    <t>инв.10104096к. Кв. А,ТП 255, ЩО-70-6; 0,4кВ</t>
  </si>
  <si>
    <t>инв. 89000109 (оценка 2011). СМ 150-125-315 с электродвигателем фекальный</t>
  </si>
  <si>
    <t>инв. 89000111 (оценка 2011). СМ 150-125-315 с электродвигателем фекальный</t>
  </si>
  <si>
    <t>инв.10106609-613</t>
  </si>
  <si>
    <t>инв.10104026</t>
  </si>
  <si>
    <t>2.5.1233</t>
  </si>
  <si>
    <t>2.5.1234</t>
  </si>
  <si>
    <t>2.5.1235</t>
  </si>
  <si>
    <t>2.5.1236</t>
  </si>
  <si>
    <t>2.5.1237</t>
  </si>
  <si>
    <t>2.5.1238</t>
  </si>
  <si>
    <t>Год выпуска / год ввода в эксплуатацию</t>
  </si>
  <si>
    <t>Характеристика объекта</t>
  </si>
  <si>
    <t>827</t>
  </si>
  <si>
    <t xml:space="preserve">Насос №1 К90/85 с эл.двигателем Тип 4АМ225 МУ 24 </t>
  </si>
  <si>
    <t xml:space="preserve">Косилка роторная </t>
  </si>
  <si>
    <t>Принтер  Xerox Phaser 3010</t>
  </si>
  <si>
    <t>дог.303/2520/30286</t>
  </si>
  <si>
    <t>Камера КСО 266 /ЦРП 5/ (47004607, 47004707)</t>
  </si>
  <si>
    <t>2.4.0453</t>
  </si>
  <si>
    <t>2.4.0454</t>
  </si>
  <si>
    <t>инв. 89422439 (оценка 2013). ACS550.IP21, 75 квт со шкафом управления УХЛЗ. ул.Северная,2 водозабор</t>
  </si>
  <si>
    <t>Стол компьютерный СК-10</t>
  </si>
  <si>
    <t>инв.10104038</t>
  </si>
  <si>
    <t>Камера КСО 266 /ЦРП 15/ (47007207)</t>
  </si>
  <si>
    <t xml:space="preserve">инв.10000392. г.Яровое </t>
  </si>
  <si>
    <t>715</t>
  </si>
  <si>
    <t>2.4.0757</t>
  </si>
  <si>
    <t>2.4.2050</t>
  </si>
  <si>
    <t>1501;0000000515</t>
  </si>
  <si>
    <t xml:space="preserve">Компьютер Office </t>
  </si>
  <si>
    <t>инв.89000121 (оценка 2011). СМ 200-150-315-4 на раме без эл.двигателя</t>
  </si>
  <si>
    <t xml:space="preserve">Постановление; акт передачи ОС-1 </t>
  </si>
  <si>
    <t>635; 9</t>
  </si>
  <si>
    <t xml:space="preserve">13.08.2008; 31.07.2008 </t>
  </si>
  <si>
    <t>33070070    931654</t>
  </si>
  <si>
    <t>33070070   125969</t>
  </si>
  <si>
    <t>ВентиляторВЗ280-46-3,15</t>
  </si>
  <si>
    <t>постановление; акт приема-передачи</t>
  </si>
  <si>
    <t>23.09.1993; 20.11.1993</t>
  </si>
  <si>
    <t>2.4.0448</t>
  </si>
  <si>
    <t>2.4.0449</t>
  </si>
  <si>
    <t>инв.10106563</t>
  </si>
  <si>
    <t>2.4.2387</t>
  </si>
  <si>
    <t>Накопитель НДД</t>
  </si>
  <si>
    <t>инв.306342</t>
  </si>
  <si>
    <t>3320152086</t>
  </si>
  <si>
    <t>2.5.1220</t>
  </si>
  <si>
    <t>Дверь противопожарная Е1-60</t>
  </si>
  <si>
    <t>инв.30612154</t>
  </si>
  <si>
    <t>Сканер</t>
  </si>
  <si>
    <t>Монитор17</t>
  </si>
  <si>
    <t>инв.10106345</t>
  </si>
  <si>
    <t>Охранная сигнализация</t>
  </si>
  <si>
    <t>Стенд напольный</t>
  </si>
  <si>
    <t>инв.10104334,10104340</t>
  </si>
  <si>
    <t xml:space="preserve">Монитор LCD 18,5" BenQ G950A  </t>
  </si>
  <si>
    <t>инв.10107372, 10104373, цвет черный</t>
  </si>
  <si>
    <t xml:space="preserve">Монитор LCD 19" BenQ G920  </t>
  </si>
  <si>
    <t>Машина шлифовальная</t>
  </si>
  <si>
    <t>Трансформатор ТМ400-6/04, ТП-281 ООО"Арсал" (47061607)</t>
  </si>
  <si>
    <t>инв.10000608. ООО"Арсал"</t>
  </si>
  <si>
    <t>инв.10000609. КНС, ул.Кулундинская</t>
  </si>
  <si>
    <t>инв.10000610. МСЧ-128, ТП-258/2</t>
  </si>
  <si>
    <t>2.4.0585</t>
  </si>
  <si>
    <t>2.4.0586</t>
  </si>
  <si>
    <t>2.4.0535</t>
  </si>
  <si>
    <t>07.11.2014</t>
  </si>
  <si>
    <t>2.4.1687</t>
  </si>
  <si>
    <t>2.4.0563</t>
  </si>
  <si>
    <t>2.5.1240</t>
  </si>
  <si>
    <t>Кондиционер MAGNIT</t>
  </si>
  <si>
    <t>инв.10106249</t>
  </si>
  <si>
    <t>инв.10106193</t>
  </si>
  <si>
    <t>инв.10106223</t>
  </si>
  <si>
    <t>инв.10106214</t>
  </si>
  <si>
    <t>инв.01630319</t>
  </si>
  <si>
    <t>инв.10106264</t>
  </si>
  <si>
    <t>инв.10106218</t>
  </si>
  <si>
    <t>инв.10106219</t>
  </si>
  <si>
    <t>Распред. устройство КСО (5 камер КСО) (47015507)</t>
  </si>
  <si>
    <t>инв.10000419. ТП-251</t>
  </si>
  <si>
    <t>Резервный возбудитель ПН 290  РТП 110/6 (47015607)</t>
  </si>
  <si>
    <t>2.5.1255</t>
  </si>
  <si>
    <t>2.5.1256</t>
  </si>
  <si>
    <t>2.5.1257</t>
  </si>
  <si>
    <t>Игровая зона</t>
  </si>
  <si>
    <t>инв.1631927. Угловая кухонная мебель детская, длина  - 1000 мм, с 3 полочками и 2 дверцами</t>
  </si>
  <si>
    <t>инв.1631933. Мебель стенка. Длина - 2600 мм, с 5 открытыми полками, 3 двухств.шкафчиками, 4 угловыми полками  и перекладиной д/одежды</t>
  </si>
  <si>
    <t>МБДОУ ЦРР - д/с № 28</t>
  </si>
  <si>
    <t>МБДОУ ЦРР- д/с № 32</t>
  </si>
  <si>
    <t>Котел электрический КЭН-У-06-040 "Невский"</t>
  </si>
  <si>
    <t>Двигатель эл.АИР 45/3000 200L2У2 исп.1081</t>
  </si>
  <si>
    <t>Машинка печатная</t>
  </si>
  <si>
    <t>2.5.0522</t>
  </si>
  <si>
    <t>2.4.1584</t>
  </si>
  <si>
    <t>17/01/0220130018</t>
  </si>
  <si>
    <t>заводской  № 221725</t>
  </si>
  <si>
    <t>инв.01380013</t>
  </si>
  <si>
    <t>инв.01380012</t>
  </si>
  <si>
    <t>2.4.1972</t>
  </si>
  <si>
    <t>инв.10106221-223</t>
  </si>
  <si>
    <t>инв.10106279</t>
  </si>
  <si>
    <t>инв.10106146,47</t>
  </si>
  <si>
    <t>Шкаф-стеллаж</t>
  </si>
  <si>
    <t>инв.70613</t>
  </si>
  <si>
    <t>Аккустическая система XLINE ZL 156</t>
  </si>
  <si>
    <t>22.05.13</t>
  </si>
  <si>
    <t>инв.30042013</t>
  </si>
  <si>
    <t>591155</t>
  </si>
  <si>
    <t>Витражный стол</t>
  </si>
  <si>
    <t>инв.2060983</t>
  </si>
  <si>
    <t xml:space="preserve">договор купли продажи </t>
  </si>
  <si>
    <t>04.12.2009; 04.12.2009; 30.12.2009</t>
  </si>
  <si>
    <t>186; 102/09-051; 223-р</t>
  </si>
  <si>
    <t>приказ Управления Алтайского края по транспорту, дорожного хоз.-ва и связи; акт приема-передачи; распоряжение  Администрации г.Яровое</t>
  </si>
  <si>
    <t xml:space="preserve">Насаждения многолетние </t>
  </si>
  <si>
    <t>01.07.2013</t>
  </si>
  <si>
    <t>инв.10106574-80</t>
  </si>
  <si>
    <t>инв.10104008</t>
  </si>
  <si>
    <t>2.4.0406</t>
  </si>
  <si>
    <t>2.4.0407</t>
  </si>
  <si>
    <t>2.4.0408</t>
  </si>
  <si>
    <t>2.4.0411</t>
  </si>
  <si>
    <t>2.4.0414</t>
  </si>
  <si>
    <t>2.4.0424</t>
  </si>
  <si>
    <t>2.4.0425</t>
  </si>
  <si>
    <t>2.4.0430</t>
  </si>
  <si>
    <t>2.4.0432</t>
  </si>
  <si>
    <t>Fan&amp;Near FN-B0216228</t>
  </si>
  <si>
    <t>пост.650 от 22.07.2014</t>
  </si>
  <si>
    <t>2.5.0252</t>
  </si>
  <si>
    <t>2.5.0253</t>
  </si>
  <si>
    <t>2.5.0254</t>
  </si>
  <si>
    <t>2.5.0255</t>
  </si>
  <si>
    <t>2.5.0256</t>
  </si>
  <si>
    <t>2.5.0257</t>
  </si>
  <si>
    <t>2.5.0258</t>
  </si>
  <si>
    <t>2.5.0259</t>
  </si>
  <si>
    <t>2.5.0260</t>
  </si>
  <si>
    <t>инв.10104009</t>
  </si>
  <si>
    <t>Камера КСО 366 /ТП-262/ "А" 11 (47059207)</t>
  </si>
  <si>
    <t>20.10.2009; 20.10.2009; 17.12.2009</t>
  </si>
  <si>
    <t>2.4.1651</t>
  </si>
  <si>
    <t>2.4.1652</t>
  </si>
  <si>
    <t>Управляемая пушка-прожектор DTS Moonlight</t>
  </si>
  <si>
    <t>2.4.0928</t>
  </si>
  <si>
    <t>01.11.2013, 05.11.2013</t>
  </si>
  <si>
    <t xml:space="preserve">договор </t>
  </si>
  <si>
    <t>инв.10106912</t>
  </si>
  <si>
    <t>инв.10106358</t>
  </si>
  <si>
    <t>инв.10106362</t>
  </si>
  <si>
    <t xml:space="preserve">Кровать с матрацем </t>
  </si>
  <si>
    <t>Искусственная елка</t>
  </si>
  <si>
    <t>инв.010106111</t>
  </si>
  <si>
    <t>Стенка мебельная б/у</t>
  </si>
  <si>
    <t>приказ (край); счет</t>
  </si>
  <si>
    <t>25.12.2012; 14.03.2013</t>
  </si>
  <si>
    <t>5283; 439</t>
  </si>
  <si>
    <t>приказ (край);  счет</t>
  </si>
  <si>
    <t>2.4.2427</t>
  </si>
  <si>
    <t>Принтер струйный EPSON L100/L110/L120</t>
  </si>
  <si>
    <t>инв.1631892. Цветной</t>
  </si>
  <si>
    <t>87/11</t>
  </si>
  <si>
    <t>264</t>
  </si>
  <si>
    <t>2.4.2429</t>
  </si>
  <si>
    <t>2.4.2430</t>
  </si>
  <si>
    <t>2.4.2431</t>
  </si>
  <si>
    <t>2.4.2432</t>
  </si>
  <si>
    <t>2.4.2433</t>
  </si>
  <si>
    <t>2.4.2434</t>
  </si>
  <si>
    <t>МФУ лазерное Canon i-SENSYS MF 4018</t>
  </si>
  <si>
    <t>инв.10104341</t>
  </si>
  <si>
    <t>Проектор Acer X113H DLP 2800Lm SVGA</t>
  </si>
  <si>
    <t>Пресс форма для скорлупы ППУ 159(50 мм)</t>
  </si>
  <si>
    <t>02-03</t>
  </si>
  <si>
    <t>Пресс форма для скорлупы ППУ 219(50 мм)</t>
  </si>
  <si>
    <t>2.4.0672</t>
  </si>
  <si>
    <t>ПК DEXP Aguilon OX 100</t>
  </si>
  <si>
    <t>инв.10104351</t>
  </si>
  <si>
    <t>022015038</t>
  </si>
  <si>
    <t>№ 89008318,8518,9018,9918</t>
  </si>
  <si>
    <t>Кресла</t>
  </si>
  <si>
    <t>№ 89011418</t>
  </si>
  <si>
    <t>№ 89007518 гл.инженер</t>
  </si>
  <si>
    <t>№ 89008118</t>
  </si>
  <si>
    <t>№ 89008418</t>
  </si>
  <si>
    <t>Столик журнальный</t>
  </si>
  <si>
    <t>№ 89006718</t>
  </si>
  <si>
    <t>№ 89011618</t>
  </si>
  <si>
    <t>Кондиционер "LG"18</t>
  </si>
  <si>
    <t>Акустика ALEKS 390F</t>
  </si>
  <si>
    <t>Рессивер Pioneer VSX-D51</t>
  </si>
  <si>
    <t>Лампа бактерицидная</t>
  </si>
  <si>
    <t>Зеркало</t>
  </si>
  <si>
    <t>Лестница-стремянка</t>
  </si>
  <si>
    <t>ИП Мысина И.А.</t>
  </si>
  <si>
    <t>Пункт распределительный</t>
  </si>
  <si>
    <t>2.5.1281.К</t>
  </si>
  <si>
    <t>2.5.1282.К</t>
  </si>
  <si>
    <t>2.5.1283.К</t>
  </si>
  <si>
    <t>2.5.1284.К</t>
  </si>
  <si>
    <t>2.5.1285.К</t>
  </si>
  <si>
    <t>2.5.1286.К</t>
  </si>
  <si>
    <t>2.5.1289.К</t>
  </si>
  <si>
    <t>2.5.1293.К</t>
  </si>
  <si>
    <t>2.5.1294.К</t>
  </si>
  <si>
    <t>2.5.1297.К</t>
  </si>
  <si>
    <t>2.5.1298.К</t>
  </si>
  <si>
    <t>2.5.1299.К</t>
  </si>
  <si>
    <t>2.5.1300.К</t>
  </si>
  <si>
    <t>2.5.1302.К</t>
  </si>
  <si>
    <t>2.5.1305.К</t>
  </si>
  <si>
    <t>2.5.1307.К</t>
  </si>
  <si>
    <t>2.5.1308.К</t>
  </si>
  <si>
    <t>2.5.1310.К</t>
  </si>
  <si>
    <t>2.5.1311.К</t>
  </si>
  <si>
    <t>2.5.1312.К</t>
  </si>
  <si>
    <t>2.5.1313.К</t>
  </si>
  <si>
    <t>2.5.1314.К</t>
  </si>
  <si>
    <t>2.5.1317.К</t>
  </si>
  <si>
    <t>2.5.1318.К</t>
  </si>
  <si>
    <t>2.5.1320.К</t>
  </si>
  <si>
    <t>2.5.1321.К</t>
  </si>
  <si>
    <t>12-06-15</t>
  </si>
  <si>
    <t>10-11-30</t>
  </si>
  <si>
    <t>Тарелка Sabian В-8</t>
  </si>
  <si>
    <t>Телевизор Эриссон</t>
  </si>
  <si>
    <t>принтер/сканер/копиравальный</t>
  </si>
  <si>
    <t>2.4.1354</t>
  </si>
  <si>
    <t>2.4.1355</t>
  </si>
  <si>
    <t>2.4.1356</t>
  </si>
  <si>
    <t>2.4.1357</t>
  </si>
  <si>
    <t>2.4.1358</t>
  </si>
  <si>
    <t>2.4.1359</t>
  </si>
  <si>
    <t>2.4.1360</t>
  </si>
  <si>
    <t>Центрифуга ЛЦ-10</t>
  </si>
  <si>
    <t>Braun Rollo Crystal-ne</t>
  </si>
  <si>
    <t>инв.3061059,а</t>
  </si>
  <si>
    <t xml:space="preserve">Кондиционер CHIGO KFR-51 GW/BC </t>
  </si>
  <si>
    <t>Станок круглопилильн. СКД</t>
  </si>
  <si>
    <t>2.4.0620</t>
  </si>
  <si>
    <t>2.4.0623</t>
  </si>
  <si>
    <t>2.4.0624</t>
  </si>
  <si>
    <t>2.4.0625</t>
  </si>
  <si>
    <t>2.4.0626</t>
  </si>
  <si>
    <t>2.4.0627</t>
  </si>
  <si>
    <t>2.4.0629</t>
  </si>
  <si>
    <t>2.4.0670</t>
  </si>
  <si>
    <t>2.4.0671</t>
  </si>
  <si>
    <t>Винтовка пневматическая</t>
  </si>
  <si>
    <t>инв.210106300052</t>
  </si>
  <si>
    <t>инв.210106300059</t>
  </si>
  <si>
    <t>Принтер лазерный Samsung</t>
  </si>
  <si>
    <t>инв.10106572</t>
  </si>
  <si>
    <t>Z8NBBUJ32AAS012522</t>
  </si>
  <si>
    <t xml:space="preserve">Телефакс Раnasonic </t>
  </si>
  <si>
    <t>2.4.1592</t>
  </si>
  <si>
    <t>2.5.1176</t>
  </si>
  <si>
    <t>2.5.1178</t>
  </si>
  <si>
    <t>2.4.2403</t>
  </si>
  <si>
    <t>инв.ВА0000000060</t>
  </si>
  <si>
    <t>0620150015</t>
  </si>
  <si>
    <t>2.4.0598.К</t>
  </si>
  <si>
    <t>Снегоуборщик CraFman 8835</t>
  </si>
  <si>
    <t xml:space="preserve">акт приема-передачи </t>
  </si>
  <si>
    <t>акт приема- передачи</t>
  </si>
  <si>
    <t>Стол производственный СЧП-8/6-Н</t>
  </si>
  <si>
    <t>ВАЗ 21124</t>
  </si>
  <si>
    <t xml:space="preserve">Компьютер DEPO Neos 460SFW7 P64/i5 3570/8G1333 D/TiTb/DVD±RW/DMU/KBu/Mu/CAR3PCB </t>
  </si>
  <si>
    <t xml:space="preserve">LCD-панель </t>
  </si>
  <si>
    <t>Холодильник (Stinol-Fe345)</t>
  </si>
  <si>
    <t>Агрегат насосный ФГ 216-24 с электродвигателем</t>
  </si>
  <si>
    <t>инв.10106960</t>
  </si>
  <si>
    <t>2.5.0635</t>
  </si>
  <si>
    <t>2.5.0638</t>
  </si>
  <si>
    <t>2.4.1674</t>
  </si>
  <si>
    <t>2.4.1675</t>
  </si>
  <si>
    <t>2.4.1676</t>
  </si>
  <si>
    <t>инв.ВА 0000000057</t>
  </si>
  <si>
    <t>инв.ВА 0000000037</t>
  </si>
  <si>
    <t>инв.ВА 0000000036</t>
  </si>
  <si>
    <t>2.5.0593</t>
  </si>
  <si>
    <t xml:space="preserve">Бассейн угловой сухой </t>
  </si>
  <si>
    <t>инв.10116319. 150х150х40х15+ 800 шариков</t>
  </si>
  <si>
    <t>МФУ лазерное HP LJPRO Ent 500 M521 dw</t>
  </si>
  <si>
    <t>04.2013</t>
  </si>
  <si>
    <t>инв.10000616. Кв."А", д.22</t>
  </si>
  <si>
    <t>инв.10000621. Кв."В", д.4</t>
  </si>
  <si>
    <t>двигатель А112М2ЖУ/ЛМ</t>
  </si>
  <si>
    <t>Камера КСО 2ум /ЦРП 3/ (47008107-47009107)</t>
  </si>
  <si>
    <t>Высоковольтное распределительное устройство камера КСО-3М (6 шт., 47002207)</t>
  </si>
  <si>
    <t>инв.10000368.ОАО "АХП", ТП-2</t>
  </si>
  <si>
    <t>2.5.0568</t>
  </si>
  <si>
    <t>37410020   125035</t>
  </si>
  <si>
    <t>Швейная машина Brother Universal 27S</t>
  </si>
  <si>
    <t>Копировальный аппарат HP Laser Jet M1132</t>
  </si>
  <si>
    <t>Тренажер бегущий по волнам</t>
  </si>
  <si>
    <t>Тренажер райдер</t>
  </si>
  <si>
    <t>Кресло Эксклюзивное</t>
  </si>
  <si>
    <t>инв.01380125</t>
  </si>
  <si>
    <t>инв.1380424</t>
  </si>
  <si>
    <t>инв.1380417</t>
  </si>
  <si>
    <t>инв.1380423</t>
  </si>
  <si>
    <t>инв.10104004</t>
  </si>
  <si>
    <t>инв.1380596</t>
  </si>
  <si>
    <t>инв.1380167</t>
  </si>
  <si>
    <t>инв.1380171</t>
  </si>
  <si>
    <t>инв.1380449</t>
  </si>
  <si>
    <t>инв.01380060</t>
  </si>
  <si>
    <t>инв.1380096</t>
  </si>
  <si>
    <t>инв.1380582</t>
  </si>
  <si>
    <t>инв.10104093к. Кв.А ТП 255,ЩО-70-6; 0,4кВ</t>
  </si>
  <si>
    <t>инв.10104094к. Кв. А,ТП 255, ЩО-70-6; 0,4кВ</t>
  </si>
  <si>
    <t>Часы цифербл."Электроника"</t>
  </si>
  <si>
    <t>Спорт.оборудование "Зебра"</t>
  </si>
  <si>
    <t>2.4.0941</t>
  </si>
  <si>
    <t>Стенка детская(торг.оборуд)</t>
  </si>
  <si>
    <t>VQ25 632643А</t>
  </si>
  <si>
    <t>2.4.0920</t>
  </si>
  <si>
    <t>2.4.0922</t>
  </si>
  <si>
    <t>Трансформатор сил. 3 х фаз. ТМ400-6/0,4 ТП-282 (47023307)</t>
  </si>
  <si>
    <t>Трансформатор сил. 3 х фаз. ТМ160-6/0,4 ТП-292 (47023507)</t>
  </si>
  <si>
    <t>Трансформатор сил. 3 х фаз. ТМ400-6/0,4 ТП-249/1 (47023607)</t>
  </si>
  <si>
    <t>инв.10000465. ГДК "Химик"</t>
  </si>
  <si>
    <t>Комплект "Евросоунд" со стойкой</t>
  </si>
  <si>
    <t>52</t>
  </si>
  <si>
    <t>2.4.0923</t>
  </si>
  <si>
    <t>2.5.0903</t>
  </si>
  <si>
    <t>2.5.0904</t>
  </si>
  <si>
    <t>2.5.0905</t>
  </si>
  <si>
    <t>2.5.0906</t>
  </si>
  <si>
    <t>2.5.0907</t>
  </si>
  <si>
    <t>2.5.0908</t>
  </si>
  <si>
    <t>2.4.1768</t>
  </si>
  <si>
    <t>2.4.1769</t>
  </si>
  <si>
    <t>Распред. уст-во КСО-272 (13 камер КСО),  корп.10 резерв  (47063007)</t>
  </si>
  <si>
    <t>Шкаф УКП-380 /ЦРП-2/ (47063207)</t>
  </si>
  <si>
    <t>Трансформатор сил-й ТМ400-6/0,4  ТП-263 (47064107)</t>
  </si>
  <si>
    <t>2.5.0744</t>
  </si>
  <si>
    <t>2.5.0745</t>
  </si>
  <si>
    <t>2.5.0746</t>
  </si>
  <si>
    <t>2.5.0747</t>
  </si>
  <si>
    <t>2.5.0748</t>
  </si>
  <si>
    <t>2.5.0749</t>
  </si>
  <si>
    <t>2.5.0750</t>
  </si>
  <si>
    <t>2.5.0751</t>
  </si>
  <si>
    <t>2.5.0752</t>
  </si>
  <si>
    <t>2.5.0753</t>
  </si>
  <si>
    <t>2.5.0754</t>
  </si>
  <si>
    <t>2.5.0755</t>
  </si>
  <si>
    <t>2.5.0756</t>
  </si>
  <si>
    <t>2.5.0757</t>
  </si>
  <si>
    <t xml:space="preserve">инв.10106946 </t>
  </si>
  <si>
    <t>инв.10104045</t>
  </si>
  <si>
    <t>инв.1380464</t>
  </si>
  <si>
    <t>инв.1380583</t>
  </si>
  <si>
    <t>инв.1380444</t>
  </si>
  <si>
    <t>инв.1380214</t>
  </si>
  <si>
    <t>инв.1380604</t>
  </si>
  <si>
    <t>2.5.0694</t>
  </si>
  <si>
    <t>Автомобиль, гос.номер А 577 РК (инв.10105126к)</t>
  </si>
  <si>
    <t>2.4.2412</t>
  </si>
  <si>
    <t>02/12/2015</t>
  </si>
  <si>
    <t>Решение  ГСД ; постановление</t>
  </si>
  <si>
    <t>НИ-СФ 01261</t>
  </si>
  <si>
    <t>МБУ ДО "ЦНТТУ" г.Яровое</t>
  </si>
  <si>
    <t xml:space="preserve">МБУ ДО "ЦНТТУ" г.Яровое    </t>
  </si>
  <si>
    <t>2.5.0773</t>
  </si>
  <si>
    <t>2.5.0774</t>
  </si>
  <si>
    <t>2.5.0775</t>
  </si>
  <si>
    <t>2.5.0776</t>
  </si>
  <si>
    <t>инв.10104100</t>
  </si>
  <si>
    <t>2.4.0706</t>
  </si>
  <si>
    <t>2.4.0707</t>
  </si>
  <si>
    <t>2.4.0708</t>
  </si>
  <si>
    <t>2.4.0709</t>
  </si>
  <si>
    <t>2.4.0710</t>
  </si>
  <si>
    <t>2.4.1316</t>
  </si>
  <si>
    <t>2.4.1317</t>
  </si>
  <si>
    <t>2.4.1318</t>
  </si>
  <si>
    <t>VI - 1974</t>
  </si>
  <si>
    <t>инв.1.101.34.001.39</t>
  </si>
  <si>
    <t>инв. 01660006. Светлая полировка 3,4*2,295</t>
  </si>
  <si>
    <t>Источник бесперебойного питания Ippon Back Power Pro 500 New</t>
  </si>
  <si>
    <t>Ёмкость</t>
  </si>
  <si>
    <t>22*40814</t>
  </si>
  <si>
    <t>инв.10106022</t>
  </si>
  <si>
    <t>инв.10104057,58</t>
  </si>
  <si>
    <t>Б-00032423/ 2820130222</t>
  </si>
  <si>
    <t>979/12/2820130220</t>
  </si>
  <si>
    <t>439/2820130227</t>
  </si>
  <si>
    <t>2820130223</t>
  </si>
  <si>
    <t>2820130177</t>
  </si>
  <si>
    <t>инв.11150</t>
  </si>
  <si>
    <t>инв.10104970, 10104973-10104975. MX503</t>
  </si>
  <si>
    <t>инв.01380006. ИРФШ.464316.001-01; оборудование абонентской приемной спутниковой станции</t>
  </si>
  <si>
    <t>инв.10104040</t>
  </si>
  <si>
    <t>инв.10104041</t>
  </si>
  <si>
    <t>инв.10104050</t>
  </si>
  <si>
    <t>инв.10106904</t>
  </si>
  <si>
    <t>инв.10104218. MS 500/502/503</t>
  </si>
  <si>
    <t>инв.01380622. ИРФШ.464316.001-01; оборудование абонентской приемной спутниковой станции</t>
  </si>
  <si>
    <t>20.10.2014</t>
  </si>
  <si>
    <t>инв.10106564</t>
  </si>
  <si>
    <t>контракт на поставку школьного оборудования</t>
  </si>
  <si>
    <t>6/2520140044</t>
  </si>
  <si>
    <t>Компьютер в сборе Office prestigio</t>
  </si>
  <si>
    <t>2.4.0438</t>
  </si>
  <si>
    <t>2.4.0439</t>
  </si>
  <si>
    <t>2.4.0440</t>
  </si>
  <si>
    <t>2.4.0441</t>
  </si>
  <si>
    <t>2.4.0443</t>
  </si>
  <si>
    <t>2.4.0444</t>
  </si>
  <si>
    <t>2.4.0445</t>
  </si>
  <si>
    <t>2.4.1876</t>
  </si>
  <si>
    <t>инв. 10106665</t>
  </si>
  <si>
    <t>ивн. 10106652</t>
  </si>
  <si>
    <t>инв. 10106661</t>
  </si>
  <si>
    <t>инв.210106300089</t>
  </si>
  <si>
    <t>2.4.2035</t>
  </si>
  <si>
    <t>отсутст.</t>
  </si>
  <si>
    <t>инв.2061006</t>
  </si>
  <si>
    <t xml:space="preserve">инв.89161704 (оценка 2011). 13 панелей, КНС-2, ул.Кулундинская </t>
  </si>
  <si>
    <t>2.4.1374</t>
  </si>
  <si>
    <t>2.4.1375</t>
  </si>
  <si>
    <t>Станок ТВ</t>
  </si>
  <si>
    <t>2.2.0123</t>
  </si>
  <si>
    <t>2.2.0124</t>
  </si>
  <si>
    <t>2.2.0125</t>
  </si>
  <si>
    <t>2.2.0126</t>
  </si>
  <si>
    <t>2.2.0127</t>
  </si>
  <si>
    <t>2.2.0128</t>
  </si>
  <si>
    <t>2.2.0129</t>
  </si>
  <si>
    <t>2.2.0130</t>
  </si>
  <si>
    <t>2.2.0131</t>
  </si>
  <si>
    <t>2.2.0133</t>
  </si>
  <si>
    <t>2.2.0134</t>
  </si>
  <si>
    <t>инв.10106565</t>
  </si>
  <si>
    <t>инв.10104177</t>
  </si>
  <si>
    <t xml:space="preserve">Набор мод.органов человека </t>
  </si>
  <si>
    <t>№ 89161404,оценка 2011</t>
  </si>
  <si>
    <t>№ 89158504,оценка 2011</t>
  </si>
  <si>
    <t>Коммутатор DL</t>
  </si>
  <si>
    <t>XII - 1979</t>
  </si>
  <si>
    <t>инв.3Б</t>
  </si>
  <si>
    <t>инв.2013001</t>
  </si>
  <si>
    <t>измерение элект.прочности, изоляции силовых высокочастотных кабелей, а также устройств, работающих в составе электрических установок высокого напряжения</t>
  </si>
  <si>
    <t>инв.010106163-64</t>
  </si>
  <si>
    <t>Персональный компьютер</t>
  </si>
  <si>
    <t>330900А0992448</t>
  </si>
  <si>
    <t>330700А0178245</t>
  </si>
  <si>
    <t>Тахограф цифровой "Штрих-Тахо RUS"</t>
  </si>
  <si>
    <t>2.5.1216</t>
  </si>
  <si>
    <t>2.5.1217</t>
  </si>
  <si>
    <t>Стенд "Питание в детском саду"</t>
  </si>
  <si>
    <t>инв.10106735</t>
  </si>
  <si>
    <t>контракт на поставку стендов</t>
  </si>
  <si>
    <t>Шкаф жарочный ШЭЖ-992</t>
  </si>
  <si>
    <t>инв.0101056155-57</t>
  </si>
  <si>
    <t>01.01.09г.</t>
  </si>
  <si>
    <t>Планшет графический</t>
  </si>
  <si>
    <t>Тепловая завеса</t>
  </si>
  <si>
    <t>266</t>
  </si>
  <si>
    <t>15</t>
  </si>
  <si>
    <t>49</t>
  </si>
  <si>
    <t>80</t>
  </si>
  <si>
    <t>129</t>
  </si>
  <si>
    <t>174</t>
  </si>
  <si>
    <t>344; 1063</t>
  </si>
  <si>
    <t>26.07.2012; 15.11.2012</t>
  </si>
  <si>
    <t>приказ (край), постановление</t>
  </si>
  <si>
    <t>О-007069</t>
  </si>
  <si>
    <t>137; 5282</t>
  </si>
  <si>
    <t>счет; приказ(край)</t>
  </si>
  <si>
    <t>17.01.2013; 25.12.2012</t>
  </si>
  <si>
    <t>22.02.2013; 18.03.2013</t>
  </si>
  <si>
    <t>678; 465</t>
  </si>
  <si>
    <t>2.5.0939</t>
  </si>
  <si>
    <t>2.5.0940</t>
  </si>
  <si>
    <t>2.5.0941</t>
  </si>
  <si>
    <t>Источник высокого напряжения</t>
  </si>
  <si>
    <t>2.4.0919</t>
  </si>
  <si>
    <t>16</t>
  </si>
  <si>
    <t>2.5.0159</t>
  </si>
  <si>
    <t>2.5.0542</t>
  </si>
  <si>
    <t>Приборы</t>
  </si>
  <si>
    <t>договоры, счета-фактуры</t>
  </si>
  <si>
    <t>2.5.0543</t>
  </si>
  <si>
    <t>2.4.1351</t>
  </si>
  <si>
    <t>2.4.1352</t>
  </si>
  <si>
    <t>инв.01380801. Для разделения сигнала по частотам</t>
  </si>
  <si>
    <t>2000</t>
  </si>
  <si>
    <t>VGA 10м</t>
  </si>
  <si>
    <t>инв.10106946,47</t>
  </si>
  <si>
    <t>2.4.1183</t>
  </si>
  <si>
    <t>2.4.1184</t>
  </si>
  <si>
    <t>2.4.1185</t>
  </si>
  <si>
    <t>2.4.1186</t>
  </si>
  <si>
    <t>Стол детский "Ромашка"</t>
  </si>
  <si>
    <t>Камера зеркальная Canon</t>
  </si>
  <si>
    <t>МФУ цветное Samsung CLX-3305</t>
  </si>
  <si>
    <t>Х1М3205С080004166</t>
  </si>
  <si>
    <t>договор №00003080090</t>
  </si>
  <si>
    <t>2.4.0322</t>
  </si>
  <si>
    <t>2.4.0323</t>
  </si>
  <si>
    <t>Лыжный комплект</t>
  </si>
  <si>
    <t>ХТА21124080525104</t>
  </si>
  <si>
    <t>2.4.0577</t>
  </si>
  <si>
    <t>2.4.0578</t>
  </si>
  <si>
    <t>2.4.0579</t>
  </si>
  <si>
    <t>2.4.0580</t>
  </si>
  <si>
    <t>2.4.0581</t>
  </si>
  <si>
    <t>2.4.0583</t>
  </si>
  <si>
    <t>2.4.0584</t>
  </si>
  <si>
    <t>инв.10106566,67</t>
  </si>
  <si>
    <t>Трансформатор ТМ 400-6/0,4 ТП 262/2  (47021707)</t>
  </si>
  <si>
    <t>2.4.0502</t>
  </si>
  <si>
    <t>2.4.0051.К</t>
  </si>
  <si>
    <t>2.4.1018</t>
  </si>
  <si>
    <t>2.4.1019</t>
  </si>
  <si>
    <t>2.4.1022</t>
  </si>
  <si>
    <t>Набор дидактических игр и развивающего игрового оборудования для детей дошкольного возраста</t>
  </si>
  <si>
    <t>Контурная игрушка "Лошадка"</t>
  </si>
  <si>
    <t xml:space="preserve">Мягкий игровой комплекс "Самосвал" </t>
  </si>
  <si>
    <t>инв.10106168. 12 элементов:мат-1; модуль опорный-2; балка-2;трапеция-1; цилиндр-1;мостик-4;туннель-1</t>
  </si>
  <si>
    <t>Шкаф жарочный</t>
  </si>
  <si>
    <t>Передатчик ручной</t>
  </si>
  <si>
    <t>Стеллаж СТК-950/600</t>
  </si>
  <si>
    <t>2.5.0869</t>
  </si>
  <si>
    <t>2.5.0870</t>
  </si>
  <si>
    <t>2.5.0871</t>
  </si>
  <si>
    <t>Сжигатель игл и декструктор шприцев с гильотиной</t>
  </si>
  <si>
    <t>Ростомер электронный</t>
  </si>
  <si>
    <t>Баня комбин.лабораторн</t>
  </si>
  <si>
    <t>73; 8</t>
  </si>
  <si>
    <t>2.5.0194</t>
  </si>
  <si>
    <t>Стул пластмассовый</t>
  </si>
  <si>
    <t>Комплект звуковой аппаратуры SPIRIT FX 10,4A</t>
  </si>
  <si>
    <t>Комплект компьютерной  техники</t>
  </si>
  <si>
    <t>инв.3061072,.а</t>
  </si>
  <si>
    <t>XII - 1980</t>
  </si>
  <si>
    <t>2.4.0540</t>
  </si>
  <si>
    <t>инв.10104143-44</t>
  </si>
  <si>
    <t>договор на поставку товара для муниципальных нужд</t>
  </si>
  <si>
    <t xml:space="preserve">инв.210106300113,114,115. </t>
  </si>
  <si>
    <t>2.4.0719</t>
  </si>
  <si>
    <t>2.4.0720</t>
  </si>
  <si>
    <t>2.4.0721</t>
  </si>
  <si>
    <t>Пульт Soundcraft МРМ</t>
  </si>
  <si>
    <t>Трансформатор ТАМ 1000/6 ТП 13/2 (47022407)</t>
  </si>
  <si>
    <t>инв.10000455.ОАО "АХП", к.104</t>
  </si>
  <si>
    <t>Кондиционер Akira AC-WR7</t>
  </si>
  <si>
    <t>инв.10104232</t>
  </si>
  <si>
    <t xml:space="preserve">Принтер лазерный CANON-Sensys LBR </t>
  </si>
  <si>
    <t>инв.10104233</t>
  </si>
  <si>
    <t>"Шарики 3D" с контроллером</t>
  </si>
  <si>
    <t>Доска 3х элементная</t>
  </si>
  <si>
    <t>инв.01380816. Колонки черного цвета 2 шт.</t>
  </si>
  <si>
    <t>№ 89422417,оценка 2011</t>
  </si>
  <si>
    <t>Телевизор</t>
  </si>
  <si>
    <t>Интерактивный USB- микроскоп Товарный знак Сos View</t>
  </si>
  <si>
    <t xml:space="preserve">Пылесос LG </t>
  </si>
  <si>
    <t>инв.3061055. VC-9462WA</t>
  </si>
  <si>
    <t xml:space="preserve">Мотокоса </t>
  </si>
  <si>
    <t>2.5.0759</t>
  </si>
  <si>
    <t>2.5.0760</t>
  </si>
  <si>
    <t>инв.37035009</t>
  </si>
  <si>
    <t>инв.37023109</t>
  </si>
  <si>
    <t>инв.89208106. Токарный</t>
  </si>
  <si>
    <t>инв.89208006. Фрезерный модели675 П</t>
  </si>
  <si>
    <t>607</t>
  </si>
  <si>
    <t xml:space="preserve">Стол письменный </t>
  </si>
  <si>
    <t>инв.10106576</t>
  </si>
  <si>
    <t>договор дарения</t>
  </si>
  <si>
    <t>Щит баскетбольный малый</t>
  </si>
  <si>
    <t>2.5.1020</t>
  </si>
  <si>
    <t>2.5.1021</t>
  </si>
  <si>
    <t>2.5.1022</t>
  </si>
  <si>
    <t>Магнитола LG SB-74</t>
  </si>
  <si>
    <t>Музыкальный центр SAMSUNG</t>
  </si>
  <si>
    <t>2.5.1079</t>
  </si>
  <si>
    <t>2.5.1080</t>
  </si>
  <si>
    <t>2.5.1081</t>
  </si>
  <si>
    <t>2.5.1196</t>
  </si>
  <si>
    <t>Пылесос тонерный ПТ-110 M UNITON</t>
  </si>
  <si>
    <t>инв.10106251</t>
  </si>
  <si>
    <t>2.5.1197</t>
  </si>
  <si>
    <t>инв.3061179</t>
  </si>
  <si>
    <t>Ширма трехсекционная</t>
  </si>
  <si>
    <t>Шкаф д/игрушек</t>
  </si>
  <si>
    <t>край</t>
  </si>
  <si>
    <t>Бревно гимнастическое</t>
  </si>
  <si>
    <t>Лабораторные работы по физ</t>
  </si>
  <si>
    <t>инв.10106933</t>
  </si>
  <si>
    <t>инв.210106300016</t>
  </si>
  <si>
    <t>2.4.0611</t>
  </si>
  <si>
    <t>2.4.0612</t>
  </si>
  <si>
    <t>2.4.0491</t>
  </si>
  <si>
    <t>2.4.0675</t>
  </si>
  <si>
    <t>Распред.устройство КРУ /16 камер/ (47067107)</t>
  </si>
  <si>
    <t>Тренажер настольный взрослого пострадавшего "Искандер"</t>
  </si>
  <si>
    <t>инв.210106300103</t>
  </si>
  <si>
    <t>б/н</t>
  </si>
  <si>
    <t>инв.10104044</t>
  </si>
  <si>
    <t>2012</t>
  </si>
  <si>
    <t>Доска белая маркерная</t>
  </si>
  <si>
    <t>541</t>
  </si>
  <si>
    <t>08.07.2011</t>
  </si>
  <si>
    <t>Цифровая фотокамера Nikon CoolPix S51c</t>
  </si>
  <si>
    <t xml:space="preserve">КНС-2, ул.Кулундинская </t>
  </si>
  <si>
    <t>2246781</t>
  </si>
  <si>
    <t>Люстра бронзовая на 22 ламп</t>
  </si>
  <si>
    <t>Рояль "Красный Октябрь"</t>
  </si>
  <si>
    <t>Устройство питания УКП 380 (47055907, 47056007)</t>
  </si>
  <si>
    <t>инв.10000562,10000563. ОАО "АХП", корп.170 (ЦРП-8)</t>
  </si>
  <si>
    <t>Трансформатор ТМФ400-6/0,4 ТП 261/2, шк.14 (47034807)</t>
  </si>
  <si>
    <t>инв. 10000496. школа 14</t>
  </si>
  <si>
    <t>Камера КСО 266 /ТП 250/ 4 шт. (47035607)</t>
  </si>
  <si>
    <t>Камера КСО 266 /ТП 257/ 3 шт. (47035707)</t>
  </si>
  <si>
    <t>2.2.0068</t>
  </si>
  <si>
    <t>Проигрыватель</t>
  </si>
  <si>
    <t>инв.10000638. ОАО "АХП", ЦРП-4</t>
  </si>
  <si>
    <t xml:space="preserve">Электронное приложение к учебнику А.А.Лобжанидзе «География. Планета Земля. 5-6 классы». Просвещение. Сферы. </t>
  </si>
  <si>
    <t>инв.10104051</t>
  </si>
  <si>
    <t>Широкоугольная насадка</t>
  </si>
  <si>
    <t>Шкаф медицинский</t>
  </si>
  <si>
    <t>инв. 01660015 (стол у главы)</t>
  </si>
  <si>
    <t>счет-фактура № 2364</t>
  </si>
  <si>
    <t>2.4.2019</t>
  </si>
  <si>
    <t>Маслянный выключатель ВМПЭ 10/630 (47057707, 47057807, 47057907)</t>
  </si>
  <si>
    <t>2.4L-DOHC*133800131</t>
  </si>
  <si>
    <t>Весы эл.порционные CAS АД</t>
  </si>
  <si>
    <t>2820130214</t>
  </si>
  <si>
    <t>Массажная дорожка "Следочки"</t>
  </si>
  <si>
    <t>инв.10106851, 10106852</t>
  </si>
  <si>
    <t>2.5.0587</t>
  </si>
  <si>
    <t>Черепашка</t>
  </si>
  <si>
    <t>инв.1380310,11</t>
  </si>
  <si>
    <t>инв.1380471</t>
  </si>
  <si>
    <t>инв.1350001</t>
  </si>
  <si>
    <t>инв.01620190</t>
  </si>
  <si>
    <t>инв.01630008</t>
  </si>
  <si>
    <t>инв.20601018</t>
  </si>
  <si>
    <t>инв.101090053</t>
  </si>
  <si>
    <t>инв.89001114</t>
  </si>
  <si>
    <t>2.5.0852</t>
  </si>
  <si>
    <t>2.5.0853</t>
  </si>
  <si>
    <t>инв.210106300027</t>
  </si>
  <si>
    <t>Камера КСО-366 /БОС/ (47062607)</t>
  </si>
  <si>
    <t>2.5.0225</t>
  </si>
  <si>
    <t>2.5.0226</t>
  </si>
  <si>
    <t>2.5.0227</t>
  </si>
  <si>
    <t>2.5.0230</t>
  </si>
  <si>
    <t>2.5.0231</t>
  </si>
  <si>
    <t>2.5.0232</t>
  </si>
  <si>
    <t>инв.10104976. ВМ-612</t>
  </si>
  <si>
    <t>2.5.0241</t>
  </si>
  <si>
    <t>Речев оповещатель "Соната"</t>
  </si>
  <si>
    <t xml:space="preserve">Диван-кровать </t>
  </si>
  <si>
    <t>Ванна моечная ВМ-1/700</t>
  </si>
  <si>
    <t>2.5.0794</t>
  </si>
  <si>
    <t>2.4.0400</t>
  </si>
  <si>
    <t xml:space="preserve">МФУ лазерное Canon MF4410 </t>
  </si>
  <si>
    <t>инв.10104709</t>
  </si>
  <si>
    <t xml:space="preserve">МФУ лазерное Canon </t>
  </si>
  <si>
    <t xml:space="preserve">Принтер лазерный </t>
  </si>
  <si>
    <t>2.5.1169</t>
  </si>
  <si>
    <t>31105060125001</t>
  </si>
  <si>
    <t>инв.37002909</t>
  </si>
  <si>
    <t>92</t>
  </si>
  <si>
    <t>37</t>
  </si>
  <si>
    <t>Комплект отдыха</t>
  </si>
  <si>
    <t>2.4.1744</t>
  </si>
  <si>
    <t>2.4.1745</t>
  </si>
  <si>
    <t>2.4.1746</t>
  </si>
  <si>
    <t>2.4.1747</t>
  </si>
  <si>
    <t>Черепаха</t>
  </si>
  <si>
    <t>инв.10106848</t>
  </si>
  <si>
    <t>Рабочая зона</t>
  </si>
  <si>
    <t>инв.10106830-5</t>
  </si>
  <si>
    <t>2.5.1103</t>
  </si>
  <si>
    <t>2.5.1104</t>
  </si>
  <si>
    <t>2.5.1105</t>
  </si>
  <si>
    <t>2.5.1106</t>
  </si>
  <si>
    <t>2.5.1107</t>
  </si>
  <si>
    <t>инв.210104200023. ЩСУ-1, ТУ-18-536-042-75</t>
  </si>
  <si>
    <t>инв.210104200024. ЩСУ-2, ТУ-18-536-042-75</t>
  </si>
  <si>
    <t>в качестве установок по стоянного тока и аварийных источников электроснабжения</t>
  </si>
  <si>
    <t>Аппарат АИМ-90Ц</t>
  </si>
  <si>
    <t>X - 2002</t>
  </si>
  <si>
    <t>Ксерокс Canon</t>
  </si>
  <si>
    <t>Комплекты лыжного инвентаря</t>
  </si>
  <si>
    <t>Модель</t>
  </si>
  <si>
    <t>договор на поставку материальных ценностей</t>
  </si>
  <si>
    <t>2014.0023</t>
  </si>
  <si>
    <t>2014.0022</t>
  </si>
  <si>
    <t>АдаптерТоварный знак Vernier Go! Link</t>
  </si>
  <si>
    <t>6ISBе28569522033</t>
  </si>
  <si>
    <t>Комплект образовательного оборудования</t>
  </si>
  <si>
    <t>инв.10104145</t>
  </si>
  <si>
    <t xml:space="preserve">Сканер </t>
  </si>
  <si>
    <t>постановление; распоряжение (края)</t>
  </si>
  <si>
    <t>98-р</t>
  </si>
  <si>
    <t>Резчик швов СS146</t>
  </si>
  <si>
    <t>ТД-00113</t>
  </si>
  <si>
    <t>00000582</t>
  </si>
  <si>
    <t>00000583</t>
  </si>
  <si>
    <t>992</t>
  </si>
  <si>
    <t>инв.010104031</t>
  </si>
  <si>
    <t>инв.010104033</t>
  </si>
  <si>
    <t>Зонт вытяжной ЗВ-10/8Н</t>
  </si>
  <si>
    <t>декабрь 2010г.</t>
  </si>
  <si>
    <t>2.4.0456</t>
  </si>
  <si>
    <t>2.4.0457</t>
  </si>
  <si>
    <t>2.4.0458</t>
  </si>
  <si>
    <t>2.4.0459</t>
  </si>
  <si>
    <t>2.4.0461</t>
  </si>
  <si>
    <t>2.4.0462</t>
  </si>
  <si>
    <t>2.4.0463</t>
  </si>
  <si>
    <t>2.4.0470</t>
  </si>
  <si>
    <t>2.4.0473</t>
  </si>
  <si>
    <t>2.4.0474</t>
  </si>
  <si>
    <t>2.4.0475</t>
  </si>
  <si>
    <t>№ 89161004,оценка 2011</t>
  </si>
  <si>
    <t xml:space="preserve">Комплектующие для видеокамеры </t>
  </si>
  <si>
    <t>Монитор 17"LSD Aser AL 1717AS"</t>
  </si>
  <si>
    <t>2.4.1688</t>
  </si>
  <si>
    <t>2.4.1689</t>
  </si>
  <si>
    <t>2.4.1690</t>
  </si>
  <si>
    <t>инв.10106587</t>
  </si>
  <si>
    <t>1198</t>
  </si>
  <si>
    <t xml:space="preserve">Принтер КМА Canon IR1133 </t>
  </si>
  <si>
    <t>Фотокамера Canon IXUS145</t>
  </si>
  <si>
    <t>инв.3120149</t>
  </si>
  <si>
    <t>инв.3120150. 16Mpix, 8xZoom,SDXC, HDMI, Purple</t>
  </si>
  <si>
    <t>2.4.1933</t>
  </si>
  <si>
    <t>2.4.1934</t>
  </si>
  <si>
    <t>2.4.1935</t>
  </si>
  <si>
    <t>2.4.1936</t>
  </si>
  <si>
    <t>286</t>
  </si>
  <si>
    <t>2.5.1120</t>
  </si>
  <si>
    <t>Насос Grundfos NB 65-125/127</t>
  </si>
  <si>
    <t>Станок ТВ-7</t>
  </si>
  <si>
    <t>Насос К 100-65-250а</t>
  </si>
  <si>
    <t>под эл.дв.37,0 кВт</t>
  </si>
  <si>
    <t xml:space="preserve">Насос КМЛ 80-160/2-5 (7,5х3000) </t>
  </si>
  <si>
    <t>Насос ЛМ80-50-32</t>
  </si>
  <si>
    <t>ЖЗИК Кираса</t>
  </si>
  <si>
    <t>инв.10000442. кв "Б", д.4</t>
  </si>
  <si>
    <t>Трансформатор ТМ 16-6/0,4  /ЦРП 11/ (47020507, 47020607)</t>
  </si>
  <si>
    <t>инв.10000443, 10000444. ЦРП-11</t>
  </si>
  <si>
    <t>Трансформатор ТМ250-6/0,4 ТП 278 (47020707)</t>
  </si>
  <si>
    <t>инв.10000445. г.Яровое, в районе стадиона</t>
  </si>
  <si>
    <t>Трансформатор ТМ 400-6/0,4 ТП 250/1 (47020807)</t>
  </si>
  <si>
    <t>инв.10000446. кв "Б", д.4</t>
  </si>
  <si>
    <t>Трансформатор ТМ 250-6/0,4 ТП 8/1/ (47020907)</t>
  </si>
  <si>
    <t>инв.10000447. СПЧ-61</t>
  </si>
  <si>
    <t>Стоимость</t>
  </si>
  <si>
    <t xml:space="preserve">Система видеонаблюдения территории </t>
  </si>
  <si>
    <t>ц.19/39 по ул.Заводская,10</t>
  </si>
  <si>
    <t>2.5.1062</t>
  </si>
  <si>
    <t>2.5.1063</t>
  </si>
  <si>
    <t>2.5.1064</t>
  </si>
  <si>
    <t>2.5.1065</t>
  </si>
  <si>
    <t>2.5.1066</t>
  </si>
  <si>
    <t>Высоковольтное распределительное устройство камера 6 кВ (46 камер КРУ, 47002407)</t>
  </si>
  <si>
    <t>инв.10000370. РТП 110/6, корп.157</t>
  </si>
  <si>
    <t>2.4.1084</t>
  </si>
  <si>
    <t>2.4.1085</t>
  </si>
  <si>
    <t>2.4.0754</t>
  </si>
  <si>
    <t>569; 8</t>
  </si>
  <si>
    <t>г/п 0,5т.КНС-4 (территория бассейна "Нептун")</t>
  </si>
  <si>
    <t>г/п 1т.КНС-4 (территория бассейна "Нептун")</t>
  </si>
  <si>
    <t>КНС-5 (территория МСЧ-128)</t>
  </si>
  <si>
    <t>Агрегат насосный  с двигателем 4,5 кВт</t>
  </si>
  <si>
    <t>произв.-25 м3, высота подъема-12,5м. КНС-5 (территория МСЧ-128)</t>
  </si>
  <si>
    <t>2.5.0950</t>
  </si>
  <si>
    <t>2.4.2404</t>
  </si>
  <si>
    <t>МФУ Kyocera FS-1025 MFP</t>
  </si>
  <si>
    <t>инв.1631889</t>
  </si>
  <si>
    <t>Б-00193103/ 2320150110</t>
  </si>
  <si>
    <t>2.4.2405</t>
  </si>
  <si>
    <t>Принтер Kyocera FS-1060DN</t>
  </si>
  <si>
    <t>инв.1631890</t>
  </si>
  <si>
    <t>2.4.0842</t>
  </si>
  <si>
    <t>2.4.0843</t>
  </si>
  <si>
    <t xml:space="preserve">Насос КМЛ 80-160-2 </t>
  </si>
  <si>
    <t xml:space="preserve">зав.№ 7Ж20. КНС-2, ул.Кулундинская </t>
  </si>
  <si>
    <t>Экран ECONOMY-R</t>
  </si>
  <si>
    <t>инв.10104053</t>
  </si>
  <si>
    <t>2.4.1418</t>
  </si>
  <si>
    <t>2.2.0097</t>
  </si>
  <si>
    <t xml:space="preserve">Трансформатор ТМ 400-6/04 (ТП-289 водозабор) (47053807) </t>
  </si>
  <si>
    <t>инв.10000557. ТП-289/2</t>
  </si>
  <si>
    <t>Картофелечистка МОК-150</t>
  </si>
  <si>
    <t>Трансформатор сил-й ТМ400-6/0,4  ТП-212 (47064507)</t>
  </si>
  <si>
    <t>инв.3061099,а</t>
  </si>
  <si>
    <t>инв.01380360;а</t>
  </si>
  <si>
    <t>Набор фельдшерский</t>
  </si>
  <si>
    <t>Каток дорожный ДУ-47</t>
  </si>
  <si>
    <t>18.04.2007</t>
  </si>
  <si>
    <t>инв.89000002</t>
  </si>
  <si>
    <t xml:space="preserve">Музыкальный центр </t>
  </si>
  <si>
    <t>инв.10104152</t>
  </si>
  <si>
    <t>2.4.2048</t>
  </si>
  <si>
    <t>2.4.2049</t>
  </si>
  <si>
    <t>инв.13600977. Принтер-копир-сканер-факс. Комплектация: картридж, интерфейсный USB-кабель, кабель д/факса, кабель питания. Цвет: светло-темно-серый, размеры: 465х465х508мм</t>
  </si>
  <si>
    <t>51</t>
  </si>
  <si>
    <t>47</t>
  </si>
  <si>
    <t>Стенка мебельная детская</t>
  </si>
  <si>
    <t>Стенка детская "Замок"</t>
  </si>
  <si>
    <t>Ноутбук HP Compag 610 15.6/Celeron T1 500</t>
  </si>
  <si>
    <t>2.5.0969</t>
  </si>
  <si>
    <t>2.5.0970</t>
  </si>
  <si>
    <t>2.5.0971</t>
  </si>
  <si>
    <t>2.5.0972</t>
  </si>
  <si>
    <t>2.5.0973</t>
  </si>
  <si>
    <t>2.5.0974</t>
  </si>
  <si>
    <t>2.5.0975</t>
  </si>
  <si>
    <t>2.5.0978</t>
  </si>
  <si>
    <t>Комплект из 6 баянов</t>
  </si>
  <si>
    <t xml:space="preserve">Кондиционер бытовой </t>
  </si>
  <si>
    <t xml:space="preserve">инв.10400081 </t>
  </si>
  <si>
    <t>инв.3061076/а</t>
  </si>
  <si>
    <t xml:space="preserve">Приборы </t>
  </si>
  <si>
    <t>538</t>
  </si>
  <si>
    <t>2.5.1202</t>
  </si>
  <si>
    <t>2.5.1203</t>
  </si>
  <si>
    <t>2.5.1204</t>
  </si>
  <si>
    <t>2.5.1205</t>
  </si>
  <si>
    <t>Конструктор детский "Строитель"</t>
  </si>
  <si>
    <t>инв.10106730</t>
  </si>
  <si>
    <t>инв.10106726-10106727</t>
  </si>
  <si>
    <t>Принтер HP LJ 1020</t>
  </si>
  <si>
    <t>Стол угловой</t>
  </si>
  <si>
    <t>Станок спортивный школьный</t>
  </si>
  <si>
    <t>инв.1380326</t>
  </si>
  <si>
    <t>Узел учета тепловой энергии</t>
  </si>
  <si>
    <t>инв.10106177</t>
  </si>
  <si>
    <t>инв.101061037</t>
  </si>
  <si>
    <t>инв.1630378, 1630379, 1630380, 1630381. "Лыжник", "Стоп+вело", "Маятник+ разведение ног", "Супер Силач"</t>
  </si>
  <si>
    <t>Тренажер уличный № 1, 4, 7, 9</t>
  </si>
  <si>
    <t>2.4.1372</t>
  </si>
  <si>
    <t>2.4.1373</t>
  </si>
  <si>
    <t>Напольное покрытие 3*4,5</t>
  </si>
  <si>
    <t>инв.10106642</t>
  </si>
  <si>
    <t>инв.10106586</t>
  </si>
  <si>
    <t>XII - 2002</t>
  </si>
  <si>
    <t>Камера КСО 266 /ЦРП 11/ (47007407)</t>
  </si>
  <si>
    <t>2.4.1647</t>
  </si>
  <si>
    <t>2.4.1648</t>
  </si>
  <si>
    <t>Козел</t>
  </si>
  <si>
    <t>IV - 1982</t>
  </si>
  <si>
    <t>2.4.0494.К</t>
  </si>
  <si>
    <t>2.4.0496.К</t>
  </si>
  <si>
    <t>2.4.0510.К</t>
  </si>
  <si>
    <t>21.12.2009</t>
  </si>
  <si>
    <t>Высоторез-тример</t>
  </si>
  <si>
    <t>Год выпуска (ввод в экспл.)</t>
  </si>
  <si>
    <t>инв.89000135</t>
  </si>
  <si>
    <t>2.5.0330</t>
  </si>
  <si>
    <t>2.5.0331</t>
  </si>
  <si>
    <t>2.5.0332</t>
  </si>
  <si>
    <t>2.2.0086</t>
  </si>
  <si>
    <t>инв.10104171</t>
  </si>
  <si>
    <t>DVD-диск электр.пособие</t>
  </si>
  <si>
    <t>инв.10106814</t>
  </si>
  <si>
    <t xml:space="preserve">Горка с лестницей </t>
  </si>
  <si>
    <t>Щит управления насосами</t>
  </si>
  <si>
    <t>Щит управления 1</t>
  </si>
  <si>
    <t>Щит управления</t>
  </si>
  <si>
    <t>2.4.1353</t>
  </si>
  <si>
    <t>Эл. плита "Мечта"</t>
  </si>
  <si>
    <t>Жалюзи</t>
  </si>
  <si>
    <t xml:space="preserve">с/ф </t>
  </si>
  <si>
    <t>инв.3061235</t>
  </si>
  <si>
    <t>контракт по поставку товара</t>
  </si>
  <si>
    <t>инв.10000483. ТП-246</t>
  </si>
  <si>
    <t>Трансформатор ТМ100-6/04 ТП-299 (47027407)</t>
  </si>
  <si>
    <t>инв.10000484. ул.Химиков</t>
  </si>
  <si>
    <t>Трансформатор ТМ100-6/04 ТП-107 ст.д (47027507)</t>
  </si>
  <si>
    <t>2.4.1943</t>
  </si>
  <si>
    <t>2.4.1944</t>
  </si>
  <si>
    <t>2.4.1945</t>
  </si>
  <si>
    <t>2.4.1946</t>
  </si>
  <si>
    <t>2.4.1947</t>
  </si>
  <si>
    <t>Шкаф со стеклянными дверями</t>
  </si>
  <si>
    <t>инв.01630727</t>
  </si>
  <si>
    <t>инв.2060951</t>
  </si>
  <si>
    <t>инв.2060947</t>
  </si>
  <si>
    <t>инв.2060972</t>
  </si>
  <si>
    <t>инв.2060989</t>
  </si>
  <si>
    <t>Акустическая система JMP-300</t>
  </si>
  <si>
    <t xml:space="preserve">инв.1040031 </t>
  </si>
  <si>
    <t>инв.10106167</t>
  </si>
  <si>
    <t>Набор  мебели</t>
  </si>
  <si>
    <t>МФУ лазерный Самсунг</t>
  </si>
  <si>
    <t>Компьютер в сборе</t>
  </si>
  <si>
    <t>инв.210106300091-92</t>
  </si>
  <si>
    <t>инв.210106300094-95</t>
  </si>
  <si>
    <t>2.5.0624</t>
  </si>
  <si>
    <t>2.5.0625</t>
  </si>
  <si>
    <t>2.5.0626</t>
  </si>
  <si>
    <t>2.2.0142</t>
  </si>
  <si>
    <t xml:space="preserve">сч-ф № 214 </t>
  </si>
  <si>
    <t>инв.0322012</t>
  </si>
  <si>
    <t>2.4.0703</t>
  </si>
  <si>
    <t>2.4.0704</t>
  </si>
  <si>
    <t>2.4.0705</t>
  </si>
  <si>
    <t>инв. 01660008</t>
  </si>
  <si>
    <t>инв. 01660011</t>
  </si>
  <si>
    <t>Извещатель "Фотон"</t>
  </si>
  <si>
    <t>2.5.0333</t>
  </si>
  <si>
    <t>2.5.0334</t>
  </si>
  <si>
    <t>2.5.0335</t>
  </si>
  <si>
    <t>Квадроцикл</t>
  </si>
  <si>
    <t>инв.010105025-28</t>
  </si>
  <si>
    <t>Пишущий ДВД ВВК 9915</t>
  </si>
  <si>
    <t>инв.10106911</t>
  </si>
  <si>
    <t>III - 1976</t>
  </si>
  <si>
    <t>290028</t>
  </si>
  <si>
    <t>1265086</t>
  </si>
  <si>
    <t>Стенка</t>
  </si>
  <si>
    <t>21.02.11</t>
  </si>
  <si>
    <t>912</t>
  </si>
  <si>
    <t>09.11.2007</t>
  </si>
  <si>
    <t>2.5.0531.К</t>
  </si>
  <si>
    <t>Трансформатор ТМ 180-6/04  корп.10 резерв (47036907, 47037007)</t>
  </si>
  <si>
    <t>инв.10000510, 10000511. корп.10 резерв</t>
  </si>
  <si>
    <t>Трансформатор ТМ160-6 /04  ТП 104 (47037207)</t>
  </si>
  <si>
    <t>2.5.1249</t>
  </si>
  <si>
    <t>Учебно-наглядное пособие "Пожарная безопасность"</t>
  </si>
  <si>
    <t>инв.1631919, 1631920. Стенд пластиковый, настенный</t>
  </si>
  <si>
    <t>2.4.0900</t>
  </si>
  <si>
    <t>2.4.0901</t>
  </si>
  <si>
    <t>2.4.0902</t>
  </si>
  <si>
    <t>2.4.0903</t>
  </si>
  <si>
    <t>ПАЗ 4234</t>
  </si>
  <si>
    <t>Д245.9Е3 470035</t>
  </si>
  <si>
    <t>Компьютер с монитором AMD Sempron</t>
  </si>
  <si>
    <t xml:space="preserve">Мягкий конструктор "Кубики" </t>
  </si>
  <si>
    <t>2.5.0835</t>
  </si>
  <si>
    <t>2.5.0836</t>
  </si>
  <si>
    <t>Академия младш.школьника</t>
  </si>
  <si>
    <t>Интерактивные плакаты</t>
  </si>
  <si>
    <t>инв.10106932</t>
  </si>
  <si>
    <t>412965 / 95660</t>
  </si>
  <si>
    <t>2014</t>
  </si>
  <si>
    <t>Скелеты позв.животных</t>
  </si>
  <si>
    <t>Песочница с навесом</t>
  </si>
  <si>
    <t>Мебель-стенка "Кухонка"</t>
  </si>
  <si>
    <t>инв.10106266-280</t>
  </si>
  <si>
    <t>Швейная машина Brother LS-3125</t>
  </si>
  <si>
    <t>2.4.1371</t>
  </si>
  <si>
    <t xml:space="preserve">инв.01380016-17,а, б, в, г,д </t>
  </si>
  <si>
    <t>инв.01380475</t>
  </si>
  <si>
    <t>инв.01380470,76;а,б</t>
  </si>
  <si>
    <t>2.5.1125</t>
  </si>
  <si>
    <t>2.4.2000</t>
  </si>
  <si>
    <t>2.4.2001</t>
  </si>
  <si>
    <t>2.4.2002</t>
  </si>
  <si>
    <t>2.4.2003</t>
  </si>
  <si>
    <t>2.4.2005</t>
  </si>
  <si>
    <t>2.4.2006</t>
  </si>
  <si>
    <t>2.4.2007</t>
  </si>
  <si>
    <t>2.4.2008</t>
  </si>
  <si>
    <t>2.4.2009</t>
  </si>
  <si>
    <t>2.4.2010</t>
  </si>
  <si>
    <t xml:space="preserve">Комплект компьютерной техники </t>
  </si>
  <si>
    <t>15.01.2009; 27.12.2008</t>
  </si>
  <si>
    <t>3-р; 548-р</t>
  </si>
  <si>
    <t>Трансформатор сил. 3 х фаз. ТП-279 ТМ100-6/0,4 (47022907)</t>
  </si>
  <si>
    <t xml:space="preserve">инв.10000461. ОРС </t>
  </si>
  <si>
    <t>Трансформатор сил. 3 х фаз. ТМ400-6/0,4 ТП-295 (47023007)</t>
  </si>
  <si>
    <t>инв.10000462. Учхоз</t>
  </si>
  <si>
    <t>3299167</t>
  </si>
  <si>
    <t>инв.43004911-43005011</t>
  </si>
  <si>
    <t xml:space="preserve">Шкаф управления </t>
  </si>
  <si>
    <t>2.5.0509</t>
  </si>
  <si>
    <t>инв.89000129. Навесное оборуд-ие,глубина бура 0,5м; вес 100кг</t>
  </si>
  <si>
    <t>инв.89000127. Навесное оборуд-ие,ширина захвата 1,7 м2; вес 160кг</t>
  </si>
  <si>
    <t>инв.10106574-77</t>
  </si>
  <si>
    <t>2006</t>
  </si>
  <si>
    <t>DVD HYNDAI</t>
  </si>
  <si>
    <t>Стенд "воздушный шар"</t>
  </si>
  <si>
    <t>инв.10106634</t>
  </si>
  <si>
    <t>инв.10106578</t>
  </si>
  <si>
    <t>2.4.1111.К</t>
  </si>
  <si>
    <t>Триммер(газонокосилка)</t>
  </si>
  <si>
    <t>879</t>
  </si>
  <si>
    <t>Трансформатор собственных нужд ТСН №6 3-я очередь</t>
  </si>
  <si>
    <t xml:space="preserve">Принтер </t>
  </si>
  <si>
    <t>шкаф, стеллаж, стенды, кух.гарнитур, стулья, кресло, рабочее место, столы</t>
  </si>
  <si>
    <t>Larsen GSJ-2 см</t>
  </si>
  <si>
    <t xml:space="preserve">Стойка баскетбольная </t>
  </si>
  <si>
    <t>Двигатель эл. АИР 160С4</t>
  </si>
  <si>
    <t>Принтер HP Laser Jet 1320</t>
  </si>
  <si>
    <t>Принтер струйный</t>
  </si>
  <si>
    <t>2.4.1844</t>
  </si>
  <si>
    <t>2.4.1845</t>
  </si>
  <si>
    <t>2.4.1846</t>
  </si>
  <si>
    <t>2.4.1847</t>
  </si>
  <si>
    <t>2.4.1848</t>
  </si>
  <si>
    <t>2.4.1849</t>
  </si>
  <si>
    <t>2.4.1850</t>
  </si>
  <si>
    <t>2.4.1851</t>
  </si>
  <si>
    <t>2.4.1852</t>
  </si>
  <si>
    <t>2.4.1853</t>
  </si>
  <si>
    <t>2.4.1477</t>
  </si>
  <si>
    <t>инв.10104201.Зав.№ 5999782, 601336</t>
  </si>
  <si>
    <t>инв.10000416. РТП 110/6</t>
  </si>
  <si>
    <t xml:space="preserve">Гардероб </t>
  </si>
  <si>
    <t>2.4.2011</t>
  </si>
  <si>
    <t>2.4.2012</t>
  </si>
  <si>
    <t>2.5.0716</t>
  </si>
  <si>
    <t>2.5.0717</t>
  </si>
  <si>
    <t>2.5.0718</t>
  </si>
  <si>
    <t>2.5.0719</t>
  </si>
  <si>
    <t>2.5.0720</t>
  </si>
  <si>
    <t>2.5.0721</t>
  </si>
  <si>
    <t>2.5.0722</t>
  </si>
  <si>
    <t>2.5.0723</t>
  </si>
  <si>
    <t>2.5.0724</t>
  </si>
  <si>
    <t>2.5.0725</t>
  </si>
  <si>
    <t>2.5.0726</t>
  </si>
  <si>
    <t>2.5.0727</t>
  </si>
  <si>
    <t>2.5.0728</t>
  </si>
  <si>
    <t>2.5.0729</t>
  </si>
  <si>
    <t>2.5.0730</t>
  </si>
  <si>
    <t>2.5.0731</t>
  </si>
  <si>
    <t>2.5.0732</t>
  </si>
  <si>
    <t>2.5.0733</t>
  </si>
  <si>
    <t>2.5.0734</t>
  </si>
  <si>
    <t>2.5.0735</t>
  </si>
  <si>
    <t>2.5.0736</t>
  </si>
  <si>
    <t>2.5.0737</t>
  </si>
  <si>
    <t>2.5.0738</t>
  </si>
  <si>
    <t>2.5.0739</t>
  </si>
  <si>
    <t>2.5.0740</t>
  </si>
  <si>
    <t>2.5.0741</t>
  </si>
  <si>
    <t>2.5.0742</t>
  </si>
  <si>
    <t>2.5.0743</t>
  </si>
  <si>
    <t>2.5.1148</t>
  </si>
  <si>
    <t>2.5.1152</t>
  </si>
  <si>
    <t>2.5.1153</t>
  </si>
  <si>
    <t>2.5.1154</t>
  </si>
  <si>
    <t>2.5.1155</t>
  </si>
  <si>
    <t>Снегоочиститель плужный(навес.оборуд)</t>
  </si>
  <si>
    <t>XII - 1971</t>
  </si>
  <si>
    <t>МФУ лазерное Canon</t>
  </si>
  <si>
    <t>инв.10104036</t>
  </si>
  <si>
    <t>инв.10104029</t>
  </si>
  <si>
    <t>Тримлер эл.Чемпион</t>
  </si>
  <si>
    <t>2.4.0263</t>
  </si>
  <si>
    <t>2.4.0264</t>
  </si>
  <si>
    <t>2.4.0265</t>
  </si>
  <si>
    <t>2.4.0266</t>
  </si>
  <si>
    <t>2.4.0300</t>
  </si>
  <si>
    <t>Видеопроектор Панасоник РТ-LB75</t>
  </si>
  <si>
    <t>Тревожная кнопка</t>
  </si>
  <si>
    <t>инв.10104030</t>
  </si>
  <si>
    <t>Стол секретаря</t>
  </si>
  <si>
    <t>Магнитола "Панасоник"</t>
  </si>
  <si>
    <t>Оркестр народ.инструм</t>
  </si>
  <si>
    <t>Аккордеон Вольтмейстер</t>
  </si>
  <si>
    <t>Баян Рубин -6</t>
  </si>
  <si>
    <t>Баян Рубин 6</t>
  </si>
  <si>
    <t>Баян Рубин 7</t>
  </si>
  <si>
    <t>Баян Концертный Росс.</t>
  </si>
  <si>
    <t xml:space="preserve">Гусли клавишные </t>
  </si>
  <si>
    <t>2.5.0942</t>
  </si>
  <si>
    <t>2.4.1424</t>
  </si>
  <si>
    <t>2.4.1425</t>
  </si>
  <si>
    <t>2.4.1426</t>
  </si>
  <si>
    <t>2.4.1427</t>
  </si>
  <si>
    <t>2.4.1428</t>
  </si>
  <si>
    <t>2.4.1429</t>
  </si>
  <si>
    <t>2.4.1430</t>
  </si>
  <si>
    <t>2.4.1431</t>
  </si>
  <si>
    <t>2.4.1432</t>
  </si>
  <si>
    <t>2.4.1433</t>
  </si>
  <si>
    <t>Трансформатор ТАМ 1000/6 ТП 16/2 (47021107)</t>
  </si>
  <si>
    <t xml:space="preserve">Набор модульный "Частокол" </t>
  </si>
  <si>
    <t xml:space="preserve">инв.10116313. 6 модулей, 100х70х10 </t>
  </si>
  <si>
    <t xml:space="preserve">Пуф  "Осьминожка" </t>
  </si>
  <si>
    <t>Тренажер силовой HG-2006</t>
  </si>
  <si>
    <t>2.4.1576</t>
  </si>
  <si>
    <t>2.4.1577</t>
  </si>
  <si>
    <t>инв.3061056</t>
  </si>
  <si>
    <t>2.4.0433</t>
  </si>
  <si>
    <t>2.4.0434</t>
  </si>
  <si>
    <t>2.4.0877</t>
  </si>
  <si>
    <t>2.4.0878</t>
  </si>
  <si>
    <t>2.4.0879</t>
  </si>
  <si>
    <t>2.4.0880</t>
  </si>
  <si>
    <t>Кондиционер бытовой</t>
  </si>
  <si>
    <t>инв.10104128</t>
  </si>
  <si>
    <t>инв.01660054</t>
  </si>
  <si>
    <t>инв.10601132</t>
  </si>
  <si>
    <t>инв.01660066</t>
  </si>
  <si>
    <t>инв.01660075</t>
  </si>
  <si>
    <t>инв.10104178</t>
  </si>
  <si>
    <t>Кондиционер GENERAL</t>
  </si>
  <si>
    <t>2.5.1113</t>
  </si>
  <si>
    <t>2.5.1114</t>
  </si>
  <si>
    <t>2.5.1115</t>
  </si>
  <si>
    <t>2.5.1116</t>
  </si>
  <si>
    <t xml:space="preserve">Пылесос </t>
  </si>
  <si>
    <t>Столы</t>
  </si>
  <si>
    <t>Стол 2-х тумбовый</t>
  </si>
  <si>
    <t>2.4.1728</t>
  </si>
  <si>
    <t>2.4.1729</t>
  </si>
  <si>
    <t>2.4.1730</t>
  </si>
  <si>
    <t>2.4.1818</t>
  </si>
  <si>
    <t>2.4.1819</t>
  </si>
  <si>
    <t>2.4.1820</t>
  </si>
  <si>
    <t>2.4.1821</t>
  </si>
  <si>
    <t>2.4.1822</t>
  </si>
  <si>
    <t>2.4.1823</t>
  </si>
  <si>
    <t>2.4.1824</t>
  </si>
  <si>
    <t>2.4.1825</t>
  </si>
  <si>
    <t>2.4.1826</t>
  </si>
  <si>
    <t>2.4.1827</t>
  </si>
  <si>
    <t>2.4.1828</t>
  </si>
  <si>
    <t>Автом.выключатель ВА 47-29 2Р С 6А - 1 шт., табло вызова пешехода - 2 шт., контролер дорожный КС1-2408/16 - шт., корпус метал. ЩМП-1-0 - шт., РАр10-3-ОП - 1 шт., светофор светодиодный пеш.200 мм - 2 шт.,  светофор светодиодный пеш.300 мм - 4 шт.</t>
  </si>
  <si>
    <t>Станок токарный по дереву</t>
  </si>
  <si>
    <t>2.4.1964</t>
  </si>
  <si>
    <t>2.4.1965</t>
  </si>
  <si>
    <t>2.4.1967</t>
  </si>
  <si>
    <t>2.4.1968</t>
  </si>
  <si>
    <t>2.4.1969</t>
  </si>
  <si>
    <t>2.4.1970</t>
  </si>
  <si>
    <t>Аппаратно-программный комплекс для детей с нарушениями речи, ОПА (ДЦП), слабовидящих и  слабослышащих</t>
  </si>
  <si>
    <t>Комплект посуды</t>
  </si>
  <si>
    <t>инв.01380458-63</t>
  </si>
  <si>
    <t xml:space="preserve">постановление; распоряжение (край) </t>
  </si>
  <si>
    <t>инв.10000624. Кв."А"-36, ТП-254/2</t>
  </si>
  <si>
    <t>инв.10104408</t>
  </si>
  <si>
    <t>2.5.1189</t>
  </si>
  <si>
    <t>Бензопила STIIHL  MS 362</t>
  </si>
  <si>
    <t>инв.10106520</t>
  </si>
  <si>
    <t>2.5.1190</t>
  </si>
  <si>
    <t>Качели HBU ANIMALS</t>
  </si>
  <si>
    <t>2.4.2020</t>
  </si>
  <si>
    <t>2.4.2021</t>
  </si>
  <si>
    <t>инв. 01360128</t>
  </si>
  <si>
    <t>2.4.1672</t>
  </si>
  <si>
    <t xml:space="preserve">постановление; постановление </t>
  </si>
  <si>
    <t xml:space="preserve">Датчик температуры </t>
  </si>
  <si>
    <t xml:space="preserve">Датчик расстояния </t>
  </si>
  <si>
    <t xml:space="preserve">Датчик частоты сердечных сокращений (ручной пульсометр) </t>
  </si>
  <si>
    <t xml:space="preserve">Датчик содержания кислорода </t>
  </si>
  <si>
    <t xml:space="preserve">Датчик света </t>
  </si>
  <si>
    <t>тип ВРП 200 М4РУ25, 1500 об/мин., зав.№ 8936. КНС - 1  "Мысль"</t>
  </si>
  <si>
    <t>Агрегат насосный СМ 150-125-315Е с электродвигателем</t>
  </si>
  <si>
    <t>инв.№ 89422456. Тип 5АМХ180S4У3, 1500 об/мин.,  КНС - 1  "Мысль"</t>
  </si>
  <si>
    <t>30 кВт, 900 об/мин. КНС - 1  "Мысль"</t>
  </si>
  <si>
    <t>04-2011</t>
  </si>
  <si>
    <t>Насос типа "Гном"</t>
  </si>
  <si>
    <t xml:space="preserve">хозяйственное ведение </t>
  </si>
  <si>
    <t>2.4.2330</t>
  </si>
  <si>
    <t>2.4.2331</t>
  </si>
  <si>
    <t>инв.10104237</t>
  </si>
  <si>
    <t xml:space="preserve">Фотоаппарат цифровой Conon PowerShot SX120 IS </t>
  </si>
  <si>
    <t>инв.10104235, black</t>
  </si>
  <si>
    <t xml:space="preserve">Фоторамка Digma TFT PF-1003 10" </t>
  </si>
  <si>
    <t>871</t>
  </si>
  <si>
    <t>870</t>
  </si>
  <si>
    <t>распоряжение (край); акт приема-передачи; решение ГСД</t>
  </si>
  <si>
    <t>18.05.2015;  11.06.2015; 25.08.2015</t>
  </si>
  <si>
    <t>241; 35</t>
  </si>
  <si>
    <t>Дата</t>
  </si>
  <si>
    <t>инв.10106349</t>
  </si>
  <si>
    <t>инв.10106351</t>
  </si>
  <si>
    <t>2.4.0746</t>
  </si>
  <si>
    <t>инв.10104234, black</t>
  </si>
  <si>
    <t>инв.10104355, цвет черный</t>
  </si>
  <si>
    <t>инв.10104374</t>
  </si>
  <si>
    <t>Принтер-копир-сканер лазерный Kyocera FS-1035MFP/DP</t>
  </si>
  <si>
    <t>инв.10104274</t>
  </si>
  <si>
    <t>инв.10104092к. Кв.А, ТП 255,ПР-24-7207;0,4кВ</t>
  </si>
  <si>
    <t>2.4.0942</t>
  </si>
  <si>
    <t>2.4.0943</t>
  </si>
  <si>
    <t>51300-71007635</t>
  </si>
  <si>
    <t>акт купли-продажи</t>
  </si>
  <si>
    <t>2.4.1959</t>
  </si>
  <si>
    <t>2.4.1386</t>
  </si>
  <si>
    <t>2.4.1387</t>
  </si>
  <si>
    <t>инв.902219</t>
  </si>
  <si>
    <t>Принтер/копир/сканер Canon MF3010 лазерный</t>
  </si>
  <si>
    <t>инв.10106792</t>
  </si>
  <si>
    <t>Ионизатор с подстветкой "Мелодия"</t>
  </si>
  <si>
    <t>инв.10106184.</t>
  </si>
  <si>
    <t>Персональный компьютер  Сeleron 2,0</t>
  </si>
  <si>
    <t>Колонки AC JBL VR*15</t>
  </si>
  <si>
    <t>инв.10106585-89 (1х4490,1х3390,2х3690,1х4090)</t>
  </si>
  <si>
    <t xml:space="preserve">Золошлакопровод </t>
  </si>
  <si>
    <t>инв.37000906</t>
  </si>
  <si>
    <t>инв.37039509</t>
  </si>
  <si>
    <t>353</t>
  </si>
  <si>
    <t>13.03.2015</t>
  </si>
  <si>
    <t>2.4.1170</t>
  </si>
  <si>
    <t>2.4.1171</t>
  </si>
  <si>
    <t>2.4.1172</t>
  </si>
  <si>
    <t>2.4.1173</t>
  </si>
  <si>
    <t>инв.89003406. Мощность 4,5квт, ул.Северная, 2 водозабор</t>
  </si>
  <si>
    <t>инв.10106170 . В комплект входит: светофор-6; жезл-1; жилетки-7; полоса разд.-6; дорож.знаки-13; пеш. переход-4; машины-6</t>
  </si>
  <si>
    <t xml:space="preserve">Конструктор мягкий "Грузовик" </t>
  </si>
  <si>
    <t>инв.10106171. 30 элементов</t>
  </si>
  <si>
    <t>Распределительное уст-во</t>
  </si>
  <si>
    <t>инв.210106300014. АОП-21-436, 50Гц, 1400об/мин, 220/360В</t>
  </si>
  <si>
    <t>2.4.1335</t>
  </si>
  <si>
    <t>10.2008</t>
  </si>
  <si>
    <t>11.2008</t>
  </si>
  <si>
    <t>Компьютер СTR Office Celeron</t>
  </si>
  <si>
    <t>06.11.2014</t>
  </si>
  <si>
    <t>28.10.2014</t>
  </si>
  <si>
    <t>инв.010106031</t>
  </si>
  <si>
    <t>Стенка "Паровозик"</t>
  </si>
  <si>
    <t>Выпрямительное устр-во</t>
  </si>
  <si>
    <t>Принтер "Самсунг 1710Р"</t>
  </si>
  <si>
    <t>инв.1380063</t>
  </si>
  <si>
    <t>09.12.2014</t>
  </si>
  <si>
    <t>Силовой тренажер детский</t>
  </si>
  <si>
    <t xml:space="preserve">Принтер лазерный
</t>
  </si>
  <si>
    <t>Барабан Sonor N 21737</t>
  </si>
  <si>
    <t>VIII - 2006</t>
  </si>
  <si>
    <t>Принтер НР LJ P1005</t>
  </si>
  <si>
    <t>инв.10104072</t>
  </si>
  <si>
    <t>Моторез "STILL" ТС-460</t>
  </si>
  <si>
    <t>Комплект компьютерной техники DEPO</t>
  </si>
  <si>
    <t>инв.10104042</t>
  </si>
  <si>
    <t>2.4.1665</t>
  </si>
  <si>
    <t>2.4.1666</t>
  </si>
  <si>
    <t>2.4.1165</t>
  </si>
  <si>
    <t>2.4.1166</t>
  </si>
  <si>
    <t>10.11.2006</t>
  </si>
  <si>
    <t>№ 89422419,оценка 2011</t>
  </si>
  <si>
    <t>№ 89422418,оценка 2011</t>
  </si>
  <si>
    <t>инв.89422416,оценка 2011</t>
  </si>
  <si>
    <t>Цифровая лаборатория Архимедс 4.0. (USB-Link) и набор датчиков</t>
  </si>
  <si>
    <t xml:space="preserve">Экран проекционный </t>
  </si>
  <si>
    <t>инв.2040989</t>
  </si>
  <si>
    <t>2.4.0226</t>
  </si>
  <si>
    <t>2.4.0233</t>
  </si>
  <si>
    <t>Пианино  "Элегия"</t>
  </si>
  <si>
    <t>инв. 10106654</t>
  </si>
  <si>
    <t>инв. 10106660</t>
  </si>
  <si>
    <t>инв. 10106653</t>
  </si>
  <si>
    <t>229/272015099</t>
  </si>
  <si>
    <t>994</t>
  </si>
  <si>
    <t>2.4.1334</t>
  </si>
  <si>
    <t>Ростомер</t>
  </si>
  <si>
    <t>2001</t>
  </si>
  <si>
    <t>Трансформатор ТМ400-6/0,4, ТП-290 (47068707)</t>
  </si>
  <si>
    <t>инв.10000656. Ул.40 лет Октября, ТП-290</t>
  </si>
  <si>
    <t>Трансформатор ТМ400-6/0,4, ТП-266/1 (47068907)</t>
  </si>
  <si>
    <t>МФУ</t>
  </si>
  <si>
    <t xml:space="preserve">Стол   </t>
  </si>
  <si>
    <t>Трансформатор ТАМ 1000/6 ТП 13/1 (47022307)</t>
  </si>
  <si>
    <t>Облучатель передвижной 3х</t>
  </si>
  <si>
    <t>инв.10106581</t>
  </si>
  <si>
    <t>инв.10104155</t>
  </si>
  <si>
    <t>инв.10106574</t>
  </si>
  <si>
    <t>инв.89040259 (оценка 2011). 200-150-315-4л</t>
  </si>
  <si>
    <t>2.5.1059</t>
  </si>
  <si>
    <t>2.4.2029</t>
  </si>
  <si>
    <t>2.4.2030</t>
  </si>
  <si>
    <t>2.4.2031</t>
  </si>
  <si>
    <t>164; 114/09-004; 213-р</t>
  </si>
  <si>
    <t>инв.10000397, 10000398, 10000399. ОАО "АХП", корп.94</t>
  </si>
  <si>
    <t>инв.10000525. ул.Ленина,18 ТП - 287</t>
  </si>
  <si>
    <t>инв.010106069-71</t>
  </si>
  <si>
    <t>Мольберт двухсторонний</t>
  </si>
  <si>
    <t>2.4.0515.К</t>
  </si>
  <si>
    <t>11.01.2007г.</t>
  </si>
  <si>
    <t>2.4.0121.К</t>
  </si>
  <si>
    <t xml:space="preserve">Горка малая с лестницей </t>
  </si>
  <si>
    <t>Качели маятник</t>
  </si>
  <si>
    <t>инв.010106136-43</t>
  </si>
  <si>
    <t>Игровой элемент "Петушок"</t>
  </si>
  <si>
    <t xml:space="preserve">Музыкальный клавишный инструмент "Ямаха-PSR -1500" </t>
  </si>
  <si>
    <t>Сетевой фильтр</t>
  </si>
  <si>
    <t>2.4.2037</t>
  </si>
  <si>
    <t>2.4.2038</t>
  </si>
  <si>
    <t>2.4.2039</t>
  </si>
  <si>
    <t>2.4.2040</t>
  </si>
  <si>
    <t>2.4.2041</t>
  </si>
  <si>
    <t>2.4.2043</t>
  </si>
  <si>
    <t>2.4.2044</t>
  </si>
  <si>
    <t xml:space="preserve"> 03.02.2014</t>
  </si>
  <si>
    <t>2.4.2046</t>
  </si>
  <si>
    <t>Овощерезка МПР-350-02</t>
  </si>
  <si>
    <t>14.11.2001; 17.11.2001</t>
  </si>
  <si>
    <t>2.5.1170</t>
  </si>
  <si>
    <t>акт приема-передачи (безвозмездно)</t>
  </si>
  <si>
    <t>2.4.0326</t>
  </si>
  <si>
    <t>2.4.0327</t>
  </si>
  <si>
    <t>2.4.0328</t>
  </si>
  <si>
    <t>2.4.0330</t>
  </si>
  <si>
    <t>Аккордеон "Сюита"</t>
  </si>
  <si>
    <t>Радиосистема Schure</t>
  </si>
  <si>
    <t>Штатив в комплекте с кофром</t>
  </si>
  <si>
    <t>2.4.0410.К</t>
  </si>
  <si>
    <t>Субноутбук Aser Aspire</t>
  </si>
  <si>
    <t>2.5.0695</t>
  </si>
  <si>
    <t>2.4.0564</t>
  </si>
  <si>
    <t>2.4.0565</t>
  </si>
  <si>
    <t>Набор мод.по стр.беспоз</t>
  </si>
  <si>
    <t>Автобус пригородный, гос.номер Е 442 СМ (инв.10105070к)</t>
  </si>
  <si>
    <t>Принтер HP LaserJet Pro400</t>
  </si>
  <si>
    <t>M401dn</t>
  </si>
  <si>
    <t>Микрокалькулятор</t>
  </si>
  <si>
    <t>Цифровой фотоаппарат Olympus VS-160  в комплекте  с картой памяти 16 GbA-Data и сумкой PCPET</t>
  </si>
  <si>
    <t>Масляный ввод ГБМЛПУ 110/1</t>
  </si>
  <si>
    <t>для регулировки напряжения</t>
  </si>
  <si>
    <t>инв. 10106662</t>
  </si>
  <si>
    <t>инв. 10106656</t>
  </si>
  <si>
    <t>инв. 10106658</t>
  </si>
  <si>
    <t>инв. 10106987</t>
  </si>
  <si>
    <t>инв.10104032</t>
  </si>
  <si>
    <t>инв.10104033</t>
  </si>
  <si>
    <t>2.5.0956</t>
  </si>
  <si>
    <t>2.5.0957</t>
  </si>
  <si>
    <t>инв.10106708. Пластмассовый, зеленый, стойки металлические белые</t>
  </si>
  <si>
    <t xml:space="preserve">Стенд напольный  </t>
  </si>
  <si>
    <t>2.5.0615</t>
  </si>
  <si>
    <t>Микрофон SHURE SM 58</t>
  </si>
  <si>
    <t>2.5.1241</t>
  </si>
  <si>
    <t>инв.101061041-52. Детали деревянные, пустотелые</t>
  </si>
  <si>
    <t>инв.10000663. Школа № 19, ТП-267</t>
  </si>
  <si>
    <t>Трансформатор ТМ400-6/04, ТП-267 (47099807, 47099907)</t>
  </si>
  <si>
    <t>инв.10000664, 10000665. Школа № 19, ТП-267</t>
  </si>
  <si>
    <t>Холодильник "STINOL-2560"</t>
  </si>
  <si>
    <t>Стол учительский</t>
  </si>
  <si>
    <t>Телефакс Panasonic KX-FT 982</t>
  </si>
  <si>
    <t>инв.10106791</t>
  </si>
  <si>
    <t>Набор эл.измерит.приборов</t>
  </si>
  <si>
    <t>Трансформатор ТМ 400-6/0,4 ТП 255/2 (47052007)</t>
  </si>
  <si>
    <t>инв.10000589. Кв. "А" д.35</t>
  </si>
  <si>
    <t>Трансформатор ТМ 400-6/04, ТП-289/1 (47053707)</t>
  </si>
  <si>
    <t>Принтер лазерный LG  1300</t>
  </si>
  <si>
    <t>№ 89161504,оценка 2011</t>
  </si>
  <si>
    <t>Стол секретарский</t>
  </si>
  <si>
    <t>Стол библиотекаря</t>
  </si>
  <si>
    <t>инв.10104028</t>
  </si>
  <si>
    <t>Кукла ростовая</t>
  </si>
  <si>
    <t>инв.3061045</t>
  </si>
  <si>
    <t>Раздел 2</t>
  </si>
  <si>
    <t>2.2.0004</t>
  </si>
  <si>
    <t>2.2.0010</t>
  </si>
  <si>
    <t>2.2.0018</t>
  </si>
  <si>
    <t>Автомобиль, гос.номер Х 854 РУ (инв.0151002)</t>
  </si>
  <si>
    <t>Синтезатор Yamaha</t>
  </si>
  <si>
    <t>Стол секретаря угловой</t>
  </si>
  <si>
    <t>2.4.1604</t>
  </si>
  <si>
    <t>2.4.1605</t>
  </si>
  <si>
    <t>2.4.1606</t>
  </si>
  <si>
    <t>2.4.1607</t>
  </si>
  <si>
    <t>2.4.1608</t>
  </si>
  <si>
    <t>2.4.1609</t>
  </si>
  <si>
    <t>2.4.1610</t>
  </si>
  <si>
    <t>Факс</t>
  </si>
  <si>
    <t>Тисы</t>
  </si>
  <si>
    <t>2.4.1330</t>
  </si>
  <si>
    <t>2.4.0952</t>
  </si>
  <si>
    <t>Герб РФ</t>
  </si>
  <si>
    <t>2.4.0587</t>
  </si>
  <si>
    <t>2.4.0614</t>
  </si>
  <si>
    <t>2.4.0615</t>
  </si>
  <si>
    <t>2.4.0616</t>
  </si>
  <si>
    <t>2.4.0619</t>
  </si>
  <si>
    <t>инв.504</t>
  </si>
  <si>
    <t>инв.506</t>
  </si>
  <si>
    <t>2.4.2332</t>
  </si>
  <si>
    <t>2.4.2333</t>
  </si>
  <si>
    <t>2.4.2334</t>
  </si>
  <si>
    <t>2.4.2335</t>
  </si>
  <si>
    <t>2.4.2336</t>
  </si>
  <si>
    <t>2.4.2337</t>
  </si>
  <si>
    <t>2.4.2338</t>
  </si>
  <si>
    <t>2.4.2340</t>
  </si>
  <si>
    <t>2.4.2341</t>
  </si>
  <si>
    <t>2.4.2343</t>
  </si>
  <si>
    <t>2.4.2344</t>
  </si>
  <si>
    <t>Комплектное распред. устр-во ТП-266 (камер КСО 4 шт.) (47069607)</t>
  </si>
  <si>
    <t>Комплектное распред. устр-во ТП-267 (камеры КСО 5 шт.) (47099707)</t>
  </si>
  <si>
    <t>Проектор BENQ MX505</t>
  </si>
  <si>
    <t>Таль электрический</t>
  </si>
  <si>
    <t>2.4.0773</t>
  </si>
  <si>
    <t>2.4.0774</t>
  </si>
  <si>
    <t>2.4.0775</t>
  </si>
  <si>
    <t>2.5.0558</t>
  </si>
  <si>
    <t>2.5.0559</t>
  </si>
  <si>
    <t>2002</t>
  </si>
  <si>
    <t>инв.10106712. Изготовлен из ЛДСП. 6 выдвижных ящиков с хромированными ручками.</t>
  </si>
  <si>
    <t>1991</t>
  </si>
  <si>
    <t>2.4.1906</t>
  </si>
  <si>
    <t>2.4.1908</t>
  </si>
  <si>
    <t>2.4.1910</t>
  </si>
  <si>
    <t>2.4.0764</t>
  </si>
  <si>
    <t>2.4.0765</t>
  </si>
  <si>
    <t>2.4.0766</t>
  </si>
  <si>
    <t>07.11.2014; 14.08.2015</t>
  </si>
  <si>
    <t>1012; 692</t>
  </si>
  <si>
    <t>Усилитель "Caowue" CW 2160</t>
  </si>
  <si>
    <t>инв.10104328</t>
  </si>
  <si>
    <t>Принтер лазерный HP LJ P1102</t>
  </si>
  <si>
    <t>Стенка детская</t>
  </si>
  <si>
    <t>Ресивер</t>
  </si>
  <si>
    <t>Весы  CAS SW-5</t>
  </si>
  <si>
    <t>Музыкальный центр  05,05</t>
  </si>
  <si>
    <t>2.5.0982</t>
  </si>
  <si>
    <t>2.5.0983</t>
  </si>
  <si>
    <t>2.5.0984</t>
  </si>
  <si>
    <t>2.5.0985</t>
  </si>
  <si>
    <t>2.5.0986</t>
  </si>
  <si>
    <t>2.5.0987</t>
  </si>
  <si>
    <t>2.5.0988</t>
  </si>
  <si>
    <t>2.5.0989</t>
  </si>
  <si>
    <t>2.5.0990</t>
  </si>
  <si>
    <t>2.5.0530</t>
  </si>
  <si>
    <t>940</t>
  </si>
  <si>
    <t>2.5.0445</t>
  </si>
  <si>
    <t>2.5.0446</t>
  </si>
  <si>
    <t>2.5.0447</t>
  </si>
  <si>
    <t>2.5.0448</t>
  </si>
  <si>
    <t>2.5.0449</t>
  </si>
  <si>
    <t>2.5.0450</t>
  </si>
  <si>
    <t>2.5.0451</t>
  </si>
  <si>
    <t>2.5.0452</t>
  </si>
  <si>
    <t>2.5.0453</t>
  </si>
  <si>
    <t>2.5.0454</t>
  </si>
  <si>
    <t>2.5.0455</t>
  </si>
  <si>
    <t>2.5.0456</t>
  </si>
  <si>
    <t>2.5.0457</t>
  </si>
  <si>
    <t>2.5.0458</t>
  </si>
  <si>
    <t>2.5.0459</t>
  </si>
  <si>
    <t>2.5.0460</t>
  </si>
  <si>
    <t>2.5.0461</t>
  </si>
  <si>
    <t>2.5.0462</t>
  </si>
  <si>
    <t>2.5.0463</t>
  </si>
  <si>
    <t>2.5.0464</t>
  </si>
  <si>
    <t>2.5.0465</t>
  </si>
  <si>
    <t>2.5.0466</t>
  </si>
  <si>
    <t>2.5.0467</t>
  </si>
  <si>
    <t>VIII - 2003</t>
  </si>
  <si>
    <t>Лазер BIG DIPPER Seven Star К800</t>
  </si>
  <si>
    <t>инв.10104037. DENN DEK 885 710905998. Цвет серый на подставке.</t>
  </si>
  <si>
    <t xml:space="preserve">Акустическая система РОАД 215 600 w </t>
  </si>
  <si>
    <t>Холодильник ШХ</t>
  </si>
  <si>
    <t>Подраздел 2.5 "Иное движимое имущество"</t>
  </si>
  <si>
    <t>инв.10106803</t>
  </si>
  <si>
    <t>ХII -2004г.</t>
  </si>
  <si>
    <t>Телевизор "SAMSUNG"</t>
  </si>
  <si>
    <t>Шкаф серверный</t>
  </si>
  <si>
    <t>2.5.0358</t>
  </si>
  <si>
    <t>2.5.0359</t>
  </si>
  <si>
    <t>2.5.0362</t>
  </si>
  <si>
    <t>2.5.0364</t>
  </si>
  <si>
    <t>2.5.0366</t>
  </si>
  <si>
    <t>2.5.0367</t>
  </si>
  <si>
    <t>2.5.0369</t>
  </si>
  <si>
    <t>2.5.0370</t>
  </si>
  <si>
    <t>2.5.0371</t>
  </si>
  <si>
    <t>2.5.0372</t>
  </si>
  <si>
    <t>2.5.0373</t>
  </si>
  <si>
    <t>2.5.0374</t>
  </si>
  <si>
    <t>2.5.0375</t>
  </si>
  <si>
    <t>2.5.0101</t>
  </si>
  <si>
    <t>2.5.0102</t>
  </si>
  <si>
    <t>2.5.0105</t>
  </si>
  <si>
    <t>2.5.0107</t>
  </si>
  <si>
    <t>2.5.0108</t>
  </si>
  <si>
    <t>2.5.0109</t>
  </si>
  <si>
    <t>Монитор ЖК Asus 19</t>
  </si>
  <si>
    <t>Системный блок AMD/S-939/3800/1024/</t>
  </si>
  <si>
    <t>инв.010106084</t>
  </si>
  <si>
    <t>Шкаф д/уборочного инвент.</t>
  </si>
  <si>
    <t>Доска 3-х элементная</t>
  </si>
  <si>
    <t>VIII -2003 г.</t>
  </si>
  <si>
    <t>Разъединитель трехполосный РАНД 110 (47017207, 47017307, 47017407)</t>
  </si>
  <si>
    <t>инв.10000422, 10000423, 10000424. РТП 110/6</t>
  </si>
  <si>
    <t>Реактор  бетонный РБАС М /РТП/ (47017807-47018607)</t>
  </si>
  <si>
    <t>инв.10000425-10000433. РТП 110/6</t>
  </si>
  <si>
    <t>Трансформатор ТМ 250 -6/0,4 ТП 256/2  (47019307)</t>
  </si>
  <si>
    <t>Стенка витринная</t>
  </si>
  <si>
    <t>счет-фактура (край)</t>
  </si>
  <si>
    <t>Мотокоса КРБ 23/33</t>
  </si>
  <si>
    <t>Конвейер ленточный стац.</t>
  </si>
  <si>
    <t>Шарп</t>
  </si>
  <si>
    <t>583</t>
  </si>
  <si>
    <t xml:space="preserve"> 28.03.2008</t>
  </si>
  <si>
    <t>КМ-00472</t>
  </si>
  <si>
    <t>акт по результатов инвентаризации</t>
  </si>
  <si>
    <t>168-р</t>
  </si>
  <si>
    <t>инв.010106160-61</t>
  </si>
  <si>
    <t>2.4.1512</t>
  </si>
  <si>
    <t>2.4.1513</t>
  </si>
  <si>
    <t>2.4.1514</t>
  </si>
  <si>
    <t>2.4.1516</t>
  </si>
  <si>
    <t>2.4.1517</t>
  </si>
  <si>
    <t>2.4.1518</t>
  </si>
  <si>
    <t>2.4.1520</t>
  </si>
  <si>
    <t>2.4.1522</t>
  </si>
  <si>
    <t>2.4.1523</t>
  </si>
  <si>
    <t>2.4.1524</t>
  </si>
  <si>
    <t>2.4.1526</t>
  </si>
  <si>
    <t>2.4.1527</t>
  </si>
  <si>
    <t>Х1М4234К090000363</t>
  </si>
  <si>
    <t xml:space="preserve">постановление; договор аренды </t>
  </si>
  <si>
    <t>13-08-18</t>
  </si>
  <si>
    <t>Пункт рапределительный</t>
  </si>
  <si>
    <t>инв.010106150-51</t>
  </si>
  <si>
    <t>Шведская стенка с кольцами</t>
  </si>
  <si>
    <t>инв.010106153-54</t>
  </si>
  <si>
    <t xml:space="preserve">Интерактивный USB- микроскоп </t>
  </si>
  <si>
    <t>Газоанализатор "Полар"</t>
  </si>
  <si>
    <t>Принтер Xerox Phaser  3124</t>
  </si>
  <si>
    <t xml:space="preserve">Стол угловой </t>
  </si>
  <si>
    <t>Доска классная трехствор.</t>
  </si>
  <si>
    <t>Набор мягких модулей</t>
  </si>
  <si>
    <t>Батут с держателем</t>
  </si>
  <si>
    <t>инв.10106958</t>
  </si>
  <si>
    <t>Горка модульная</t>
  </si>
  <si>
    <t>инв. 10106743</t>
  </si>
  <si>
    <t>Компьютер "USN-BUSINES"</t>
  </si>
  <si>
    <t>Комплект посуды д/пров.эксп</t>
  </si>
  <si>
    <t>инв.210106300087</t>
  </si>
  <si>
    <t>инв.210106300065</t>
  </si>
  <si>
    <t>Стол угловой приставной</t>
  </si>
  <si>
    <t>Насос НИР-60 Сатурн для опрессовки</t>
  </si>
  <si>
    <t>Доска интерактивная с мультимедиа.проектором</t>
  </si>
  <si>
    <t xml:space="preserve">Стенка детская </t>
  </si>
  <si>
    <t>инв.10106706. 3000мм, салатовый цвет, оранжевый фасад</t>
  </si>
  <si>
    <t xml:space="preserve">Стенд напольный </t>
  </si>
  <si>
    <t>Сковорода электрическая СЭ-8</t>
  </si>
  <si>
    <t>Трансформатор сил. ТМ 400-6/0,4  ТП-261/1  (47041007)</t>
  </si>
  <si>
    <t>Кондиционер LG WO7</t>
  </si>
  <si>
    <t>инв.2060982</t>
  </si>
  <si>
    <t>до 01.09.10 в Вод-ле</t>
  </si>
  <si>
    <t>09.2014</t>
  </si>
  <si>
    <t>Детская полоса препятствий</t>
  </si>
  <si>
    <t>инв.10106878</t>
  </si>
  <si>
    <t>приказ Управления Алтайского края по транспорту, дорожного хоз.-ва и связи; акт приема -передачи; постановление</t>
  </si>
  <si>
    <t>12.10.2010; 12.11.2010</t>
  </si>
  <si>
    <t>Брусья</t>
  </si>
  <si>
    <t>инв.89422412 (оценка 2011). Произв-ть уст-ки 0,56 м3 за 6час, эл.шкаф управл,электролиз.ванна,наполнит.ванна,габариты 860*8,эл.шкаф1,2*04*0,2м,вес 1500 кг</t>
  </si>
  <si>
    <t>Бетоносмеситель Сбр-500 380В</t>
  </si>
  <si>
    <t>Спортивный комплекс ЮНГА</t>
  </si>
  <si>
    <t>инв.10106582-83</t>
  </si>
  <si>
    <t>Принтер лазерный SAMSUNG</t>
  </si>
  <si>
    <t>2.4.1995</t>
  </si>
  <si>
    <t>2.4.1996</t>
  </si>
  <si>
    <t>2.4.1997</t>
  </si>
  <si>
    <t>2.4.1999</t>
  </si>
  <si>
    <t>2.5.0152</t>
  </si>
  <si>
    <t>2.5.0153</t>
  </si>
  <si>
    <t>инв.010106149</t>
  </si>
  <si>
    <t>2.4.0617</t>
  </si>
  <si>
    <t>2.4.0926</t>
  </si>
  <si>
    <t>Набор по измерен.постоянн.</t>
  </si>
  <si>
    <t>Набор датчиков иониз.излуч</t>
  </si>
  <si>
    <t>Кондиционер LG WO9</t>
  </si>
  <si>
    <t>2.4.0794.К</t>
  </si>
  <si>
    <t>инв.10104582</t>
  </si>
  <si>
    <t>Электронный конструктор</t>
  </si>
  <si>
    <t>инв.10104148к</t>
  </si>
  <si>
    <t>Наименование объекта</t>
  </si>
  <si>
    <t>Ноутбук ASN-K50IJ/COT3000/2040/250/DVD-RW</t>
  </si>
  <si>
    <t>2.5.0764</t>
  </si>
  <si>
    <t>2.5.0765</t>
  </si>
  <si>
    <t>2.5.0766</t>
  </si>
  <si>
    <t>2.5.0767</t>
  </si>
  <si>
    <t>2.5.0768</t>
  </si>
  <si>
    <t>2.5.0769</t>
  </si>
  <si>
    <t>2.5.0770</t>
  </si>
  <si>
    <t>2.5.0772</t>
  </si>
  <si>
    <t>Трансформатор ТМ160-6/0,4 /ТП 203/ (47021007)</t>
  </si>
  <si>
    <t>Станок СКД</t>
  </si>
  <si>
    <t>Компьютер Athlon IIX3 450</t>
  </si>
  <si>
    <t xml:space="preserve">Модели цветков </t>
  </si>
  <si>
    <t>09-2007</t>
  </si>
  <si>
    <t>2.4.1578</t>
  </si>
  <si>
    <t>2.4.1579</t>
  </si>
  <si>
    <t>2.4.1669</t>
  </si>
  <si>
    <t>2.4.1670</t>
  </si>
  <si>
    <t>6291</t>
  </si>
  <si>
    <t>2.5.0639</t>
  </si>
  <si>
    <t>2.5.0640</t>
  </si>
  <si>
    <t>2.5.0641</t>
  </si>
  <si>
    <t>2.5.0642</t>
  </si>
  <si>
    <t>инв.10104013</t>
  </si>
  <si>
    <t>374100     202668</t>
  </si>
  <si>
    <t>УМЗ-4178 № Y0302881</t>
  </si>
  <si>
    <t>850</t>
  </si>
  <si>
    <t>инв.10106565-66</t>
  </si>
  <si>
    <t>Стол ученич.д/каб.химии</t>
  </si>
  <si>
    <t>2.4.0609</t>
  </si>
  <si>
    <t>2.4.0610</t>
  </si>
  <si>
    <t>Автомат/макет</t>
  </si>
  <si>
    <t>2.5.0390</t>
  </si>
  <si>
    <t>2.5.0391</t>
  </si>
  <si>
    <t>2.5.0392</t>
  </si>
  <si>
    <t>2.5.0405</t>
  </si>
  <si>
    <t>УАЗ-31512</t>
  </si>
  <si>
    <t>Детский уголок</t>
  </si>
  <si>
    <t>инв.10106592</t>
  </si>
  <si>
    <t>Столик детский</t>
  </si>
  <si>
    <t>инв.10106593</t>
  </si>
  <si>
    <t>Тумба выкатная</t>
  </si>
  <si>
    <t>2.5.1042</t>
  </si>
  <si>
    <t>2.5.1043</t>
  </si>
  <si>
    <t>2.5.1044</t>
  </si>
  <si>
    <t>Принтер Xerox</t>
  </si>
  <si>
    <t>муниципальная казна</t>
  </si>
  <si>
    <t>Принтер лаз.Samsung ML-1641</t>
  </si>
  <si>
    <t>Мебель-стенка "Паровозик"</t>
  </si>
  <si>
    <t>Уничтожитель документов</t>
  </si>
  <si>
    <t>Рукоход</t>
  </si>
  <si>
    <t>Гарнитур стенка</t>
  </si>
  <si>
    <t>Мебель детская игровая</t>
  </si>
  <si>
    <t>2.4.1042</t>
  </si>
  <si>
    <t>Книжная полка</t>
  </si>
  <si>
    <t>инв.1631925. Длина - 1850 мм, с 1 одноств.и 1 двухств.шкафч. и 2 полочками</t>
  </si>
  <si>
    <t>инв.1631931. Длина - 1100 мм, с 3 открытыми полками</t>
  </si>
  <si>
    <t>Музыкальный театр</t>
  </si>
  <si>
    <t>инв.1631928. Мебель стенка, длина - 2400 мм, с 7 открытыми полками, 2 выдвиж-ными ящиками, 1 двухств. и 1 одноств. шкафчиками</t>
  </si>
  <si>
    <t>Стол дидактический</t>
  </si>
  <si>
    <t>инв.1631932. Мебель стенка, длина - 2000 мм, с 2 открытыми полочками, двухств.шкафчиком и 4 навесными полочками</t>
  </si>
  <si>
    <t>2.5.0872</t>
  </si>
  <si>
    <t>2.5.0873</t>
  </si>
  <si>
    <t>2.5.0874</t>
  </si>
  <si>
    <t>2.5.0875</t>
  </si>
  <si>
    <t>2.5.0876</t>
  </si>
  <si>
    <t>2.5.0877</t>
  </si>
  <si>
    <t>2.5.0878</t>
  </si>
  <si>
    <t>2.5.0879</t>
  </si>
  <si>
    <t>2.5.0880</t>
  </si>
  <si>
    <t>2.5.0881</t>
  </si>
  <si>
    <t>2.5.0882</t>
  </si>
  <si>
    <t>Агрегат насосный с двигателем 37 кВт</t>
  </si>
  <si>
    <t>Пресс</t>
  </si>
  <si>
    <t>не стандартное оборудование. ул.Заводская,10 (мастерская)</t>
  </si>
  <si>
    <t>ул.Заводская,10 (мастерская)</t>
  </si>
  <si>
    <t>2.4.1617</t>
  </si>
  <si>
    <t>настольный. ул.Заводская,10 (мастерская)</t>
  </si>
  <si>
    <t>МБУ "Информационный центр г.Яровое"</t>
  </si>
  <si>
    <t>инв.10104746,47</t>
  </si>
  <si>
    <t>Скрипка "Фантазия" 4/4</t>
  </si>
  <si>
    <t>2.5.0111</t>
  </si>
  <si>
    <t>2.5.0867</t>
  </si>
  <si>
    <t>2.5.0868</t>
  </si>
  <si>
    <t>2.4.1973</t>
  </si>
  <si>
    <t>2.4.1974</t>
  </si>
  <si>
    <t>2.4.1975</t>
  </si>
  <si>
    <t>2.4.1976</t>
  </si>
  <si>
    <t>2.4.1977</t>
  </si>
  <si>
    <t>2.4.1979</t>
  </si>
  <si>
    <t>2.4.1980</t>
  </si>
  <si>
    <t>2.4.1981</t>
  </si>
  <si>
    <t>инв.10000648. ЦРП-26</t>
  </si>
  <si>
    <t>Камера КСО 2ум 6 кв  /ЦРП 3/ (47010207, 47010307, 47010407, 47010507)</t>
  </si>
  <si>
    <t>2.5.0611</t>
  </si>
  <si>
    <t>VI - 1984</t>
  </si>
  <si>
    <t>2.4.1182</t>
  </si>
  <si>
    <t>2.4.1531</t>
  </si>
  <si>
    <t>модель MF 3228 Laser Base</t>
  </si>
  <si>
    <t>Мягкий комплекс "Тягач" ДМФ-МК-11.85.00</t>
  </si>
  <si>
    <t>2.4.0526</t>
  </si>
  <si>
    <t>инв.10000364, 10000365. ОАО "АХП", ЦРП-1, ЦРП-2</t>
  </si>
  <si>
    <t>LSD Aser 19</t>
  </si>
  <si>
    <t>инв.10106357</t>
  </si>
  <si>
    <t>инв.10104185</t>
  </si>
  <si>
    <t>Высоковольтное распределительное устройство (12 камер КСО, 3 шкафа ШМН 47001707)</t>
  </si>
  <si>
    <t>инв.10000367. ОАО "АХП", ЦРП-4</t>
  </si>
  <si>
    <t>Трансформатор сил. ТМ200-6/0,4 ТП-249/2 (47024107)</t>
  </si>
  <si>
    <t>инв.10000473. ул.Перекопская</t>
  </si>
  <si>
    <t>Усилитель звука</t>
  </si>
  <si>
    <t>контракт на поставку синтезатора</t>
  </si>
  <si>
    <t>Ноутбук DNS 15,6</t>
  </si>
  <si>
    <t>инв.10104038. 3110M (2,4)/4096/500/NV GT740M 2G/DVD-Smuti/WiFi/BT/Cam. Цвет черный.</t>
  </si>
  <si>
    <t>Принтер НР LJ 1018</t>
  </si>
  <si>
    <t>Принтер/копир/сканер Canon LB MF</t>
  </si>
  <si>
    <t>Набор по анатомии и физиологии</t>
  </si>
  <si>
    <t>RoverMateB02</t>
  </si>
  <si>
    <t>инв.30612131</t>
  </si>
  <si>
    <t>2.5.1214</t>
  </si>
  <si>
    <t>2.5.1215</t>
  </si>
  <si>
    <t>Шкаф вытяжной  ШВ-2-3</t>
  </si>
  <si>
    <t xml:space="preserve">Набор модульный № 4  </t>
  </si>
  <si>
    <t>черный</t>
  </si>
  <si>
    <t>Блок</t>
  </si>
  <si>
    <t xml:space="preserve">ВАЗ-21043 </t>
  </si>
  <si>
    <t>2.5.1052</t>
  </si>
  <si>
    <t>2.5.1053</t>
  </si>
  <si>
    <t>2.5.1054</t>
  </si>
  <si>
    <t>2.5.1055</t>
  </si>
  <si>
    <t>2.5.1056</t>
  </si>
  <si>
    <t>2.5.1057</t>
  </si>
  <si>
    <t>2.5.1058</t>
  </si>
  <si>
    <t>Гитара эл.полуаккустическая</t>
  </si>
  <si>
    <t>инв.10000659. кв"В"-12, ТП-266/2</t>
  </si>
  <si>
    <t xml:space="preserve">счет  </t>
  </si>
  <si>
    <t>СЛБК0000554</t>
  </si>
  <si>
    <t>2620130169; 6</t>
  </si>
  <si>
    <t>40210В*V3408636</t>
  </si>
  <si>
    <t>0071557</t>
  </si>
  <si>
    <t>Миксер Polaris  PHM 3006</t>
  </si>
  <si>
    <t>Утюг электрический Polaris  PIR 2446 AK</t>
  </si>
  <si>
    <t>Системный блок Celeron</t>
  </si>
  <si>
    <t>IV - 1993</t>
  </si>
  <si>
    <t>V - 1988</t>
  </si>
  <si>
    <t>Монитор</t>
  </si>
  <si>
    <t xml:space="preserve">Комплект № 1 (1 ноутбук, 1 проектор, 1 экран, 1 акустическая система, МФУ) </t>
  </si>
  <si>
    <t>Принтер Laser Jet M1132</t>
  </si>
  <si>
    <t>Принтер HP Laser Jet P1606dn</t>
  </si>
  <si>
    <t>инв.10106151</t>
  </si>
  <si>
    <t>Система тестирования и голосования ActivExpression</t>
  </si>
  <si>
    <t>Сканер НР ScanJet G 3010</t>
  </si>
  <si>
    <t>Световой эффект Файербол</t>
  </si>
  <si>
    <t>Принтер лазерный HPL S Pro1102</t>
  </si>
  <si>
    <t>Ширма д/кукольного театра</t>
  </si>
  <si>
    <t>инв.10106822</t>
  </si>
  <si>
    <t>инв.10106823-26</t>
  </si>
  <si>
    <t>Домик горка "Микки Маус"</t>
  </si>
  <si>
    <t>КНС-3, ул.Гагарина 1, (территория бывшего ОРСа)</t>
  </si>
  <si>
    <t>Щит управления 3</t>
  </si>
  <si>
    <t>Щит  ЩС-1</t>
  </si>
  <si>
    <t>2.5.0894</t>
  </si>
  <si>
    <t>2.5.0895</t>
  </si>
  <si>
    <t>2.5.0896</t>
  </si>
  <si>
    <t>2.5.0897</t>
  </si>
  <si>
    <t>2.5.0898</t>
  </si>
  <si>
    <t>2.5.1060</t>
  </si>
  <si>
    <t>2.5.1061</t>
  </si>
  <si>
    <t>Лестница-стремянка 3*10 высота 6,5м</t>
  </si>
  <si>
    <t>Кресло Фортуна 2-м</t>
  </si>
  <si>
    <t>742</t>
  </si>
  <si>
    <t>2.4.2056</t>
  </si>
  <si>
    <t>2.4.2057</t>
  </si>
  <si>
    <t>2.4.2058</t>
  </si>
  <si>
    <t>Монитор 19 LCD LG</t>
  </si>
  <si>
    <t>Кресло "Фортуна"</t>
  </si>
  <si>
    <t>2.4.1450</t>
  </si>
  <si>
    <t>2.4.1451</t>
  </si>
  <si>
    <t>2.5.1108</t>
  </si>
  <si>
    <t>2.5.1109</t>
  </si>
  <si>
    <t>2.5.1110</t>
  </si>
  <si>
    <t>2.5.1111</t>
  </si>
  <si>
    <t>2.2.0098</t>
  </si>
  <si>
    <t>2.2.0099</t>
  </si>
  <si>
    <t>инв.10000485. дачи, куст 4</t>
  </si>
  <si>
    <t xml:space="preserve">16.07.2008; 30.06.2008 </t>
  </si>
  <si>
    <t xml:space="preserve">Стол офисный  </t>
  </si>
  <si>
    <t>2.5.0443</t>
  </si>
  <si>
    <t>2.5.0444</t>
  </si>
  <si>
    <t>2.4.0750</t>
  </si>
  <si>
    <t>2.4.0751</t>
  </si>
  <si>
    <t>2.4.0752</t>
  </si>
  <si>
    <t>2.4.0753</t>
  </si>
  <si>
    <t>03.12.2007</t>
  </si>
  <si>
    <t>28.12.2007</t>
  </si>
  <si>
    <t>2.4.1350</t>
  </si>
  <si>
    <t>Компрессор</t>
  </si>
  <si>
    <t>инв.1380077</t>
  </si>
  <si>
    <t>29.01.2007</t>
  </si>
  <si>
    <t>1036</t>
  </si>
  <si>
    <t>2.5.0549</t>
  </si>
  <si>
    <t>2.5.0550</t>
  </si>
  <si>
    <t>Оборудование для монтажа видеоматериала</t>
  </si>
  <si>
    <t>инв.1.101.34.00137</t>
  </si>
  <si>
    <t>инв.1.101.34.001.35</t>
  </si>
  <si>
    <t>2.5.1239</t>
  </si>
  <si>
    <t>ХII -2006г.</t>
  </si>
  <si>
    <t>Компьютерное оборудование</t>
  </si>
  <si>
    <t>1981</t>
  </si>
  <si>
    <t>Телевизор "LD"</t>
  </si>
  <si>
    <t>Мультимедийный проектор</t>
  </si>
  <si>
    <t>Комплект измерительного блока</t>
  </si>
  <si>
    <t>в казне</t>
  </si>
  <si>
    <t>Таль ручная</t>
  </si>
  <si>
    <t>инв.89422438. NB 150-400/375, 75 квт. ул.Северная,2 водозабор</t>
  </si>
  <si>
    <t>инв. 89422440 (оценка 2013). ACS550.IP21, 75 квт со шкафом управления УХЛЗ. ул.Северная,2 водозабор</t>
  </si>
  <si>
    <t>инв.2060975</t>
  </si>
  <si>
    <t>Басгитара Мелодия</t>
  </si>
  <si>
    <t>809</t>
  </si>
  <si>
    <t>807</t>
  </si>
  <si>
    <t>806</t>
  </si>
  <si>
    <t xml:space="preserve">Набор моделей органов человека и животных </t>
  </si>
  <si>
    <t>2.4.1649</t>
  </si>
  <si>
    <t>2.4.1650</t>
  </si>
  <si>
    <t>Скелет человека разборный</t>
  </si>
  <si>
    <t>инв.10106640. Состоит из 14 паролоновых частей, обтянутых цветным дермантином</t>
  </si>
  <si>
    <t>2.4.1307</t>
  </si>
  <si>
    <t>2013</t>
  </si>
  <si>
    <t>1986</t>
  </si>
  <si>
    <t>инв.10104037</t>
  </si>
  <si>
    <t>инв.10104704</t>
  </si>
  <si>
    <t>2.5.0527</t>
  </si>
  <si>
    <t>Стенд "Лесенка 2"</t>
  </si>
  <si>
    <t>Стенд "Антитеррор"</t>
  </si>
  <si>
    <t>2.5.0528</t>
  </si>
  <si>
    <t>Стенд для кабинета</t>
  </si>
  <si>
    <t>договор оказания услуг для муниципальных нужд</t>
  </si>
  <si>
    <t xml:space="preserve">постановление;       акт приема-передачи </t>
  </si>
  <si>
    <t>288</t>
  </si>
  <si>
    <t xml:space="preserve">счёт-фактура </t>
  </si>
  <si>
    <t>64</t>
  </si>
  <si>
    <t xml:space="preserve">акт приема- передачи </t>
  </si>
  <si>
    <t>инв.37037707</t>
  </si>
  <si>
    <t>инв.3061096</t>
  </si>
  <si>
    <t>Станция частотного регулирования насосами</t>
  </si>
  <si>
    <t>инв.42022709</t>
  </si>
  <si>
    <t>инв.43018909-43019009</t>
  </si>
  <si>
    <t>Камера КСО 272 (47044307, 47044407)</t>
  </si>
  <si>
    <t>инв.10000533, 10000534. ОАО "АХП", ЦРП-7</t>
  </si>
  <si>
    <t xml:space="preserve">инв.10000436. "Б"-25 </t>
  </si>
  <si>
    <t>инв.10106644. Размер 2000х400,3х1484,1. Состоит из 1 шкафа, цвет оранжевый, салатный, кофейный</t>
  </si>
  <si>
    <t>Мебель стенка трюмо</t>
  </si>
  <si>
    <t>в комплекте</t>
  </si>
  <si>
    <t>0594130</t>
  </si>
  <si>
    <t>308888 (Д-144) в агрегате</t>
  </si>
  <si>
    <t>Стенка офисная</t>
  </si>
  <si>
    <t>Набор "генетика человека"</t>
  </si>
  <si>
    <t>Остаточная, руб.</t>
  </si>
  <si>
    <t>Станок вертикально-сверлильный</t>
  </si>
  <si>
    <t>Станок трубогибочный</t>
  </si>
  <si>
    <t>Трансформатор собственных нужд ТСН №2, 750 кВа</t>
  </si>
  <si>
    <t>Трансформатор собственных нужд ТСН №4 2-я очередь</t>
  </si>
  <si>
    <t>Трансформатор собственных нужд ТСН №5 3-я очередь</t>
  </si>
  <si>
    <t>инв.1034102. На пересечении ул.Мира и ул.Кулундинская. Светофор дорожный светодиодный-8 шт.; светофор пешеходный светодиодный - 4 шт.; контроллер дорожный универсальный - 1 шт.; автоматич.выключатель - 2шт.; щит учетный - 1шт.; счетчик э/эн однофазный - 1 шт.; кабели, провода, канат стальной, стойки, крепления, дорожные знаки - 16 шт.</t>
  </si>
  <si>
    <t>2.4.1456</t>
  </si>
  <si>
    <t>2.4.1457</t>
  </si>
  <si>
    <t>Набор "Спортивный комплекс"</t>
  </si>
  <si>
    <t>инв.10106877</t>
  </si>
  <si>
    <t>2008</t>
  </si>
  <si>
    <t>13.08.2015; 30.10.2015</t>
  </si>
  <si>
    <t>2920150078; б/н</t>
  </si>
  <si>
    <t>Генератор бензиновый Кратон GG-0,95 (772)</t>
  </si>
  <si>
    <t>Мебель для детского сада</t>
  </si>
  <si>
    <t>Т-40 М</t>
  </si>
  <si>
    <t>Установка  УК 2/50</t>
  </si>
  <si>
    <t>2.5.1126</t>
  </si>
  <si>
    <t>2.5.1127</t>
  </si>
  <si>
    <t>2.5.1128</t>
  </si>
  <si>
    <t xml:space="preserve">                           13.11.2010</t>
  </si>
  <si>
    <t>2.4.1167</t>
  </si>
  <si>
    <t>2.4.0772</t>
  </si>
  <si>
    <t>инв.10106165. 16 элементов: арка прямая-2;цилиндр-1;брус-2;куб-1; ступенька-2; таблетка-8</t>
  </si>
  <si>
    <t xml:space="preserve">Мягкий спортивный модуль "Полоса препятствий" </t>
  </si>
  <si>
    <t>акт инвентаризации</t>
  </si>
  <si>
    <t>00000266</t>
  </si>
  <si>
    <t>00000214</t>
  </si>
  <si>
    <t>008</t>
  </si>
  <si>
    <t>248</t>
  </si>
  <si>
    <t>2.5.0414</t>
  </si>
  <si>
    <t>2.5.0415</t>
  </si>
  <si>
    <t>2.5.0416</t>
  </si>
  <si>
    <t>стоимость 1 шт. вазона - 2100 руб.; приобретено по - сч.ф. № 19 от 03.06.08г.12600=;  и № 29 от 24.06.08г. 18900=№8900005-19,1 списпн 04.02.09</t>
  </si>
  <si>
    <t>г/п  0,5т, ул.Северная, 2 водозабор</t>
  </si>
  <si>
    <t>инв.10104039</t>
  </si>
  <si>
    <t>Кондиционер Midea (R22) MSE-07HR</t>
  </si>
  <si>
    <t>Стеллаж СТК-1200/600</t>
  </si>
  <si>
    <t>2007</t>
  </si>
  <si>
    <t>Агрегат насосный с электродвигателем</t>
  </si>
  <si>
    <t>Резак</t>
  </si>
  <si>
    <t>Библиотечный фонд</t>
  </si>
  <si>
    <t>Стол прямой с приставным бл</t>
  </si>
  <si>
    <t xml:space="preserve">договор розничной купли-продажи № </t>
  </si>
  <si>
    <t>Шведская стенка "Домик"</t>
  </si>
  <si>
    <t>Принтер МФУ</t>
  </si>
  <si>
    <t>899</t>
  </si>
  <si>
    <t>2.4.2399</t>
  </si>
  <si>
    <t>Пресс форма для скорлупы ППУ 630(50 мм)</t>
  </si>
  <si>
    <t>09/03-1</t>
  </si>
  <si>
    <t>СЕРВЕР STSS Flagman RX226.3-008LH</t>
  </si>
  <si>
    <t>28.02.2013</t>
  </si>
  <si>
    <t>OFFICE 2140/1024/160/DVD/FDD</t>
  </si>
  <si>
    <t>Рекламный баннер</t>
  </si>
  <si>
    <t>Игровой дабиринт "Гусеница"</t>
  </si>
  <si>
    <t>инв.10106169. 5 элементов</t>
  </si>
  <si>
    <t xml:space="preserve">Модуль развивающий "Главная дорога" ПДД  </t>
  </si>
  <si>
    <t>Водонагреватель ЭВПЗ-15</t>
  </si>
  <si>
    <t>Аста Мармит ЭМК 70КМУ</t>
  </si>
  <si>
    <t>Набор" происх человека"</t>
  </si>
  <si>
    <t xml:space="preserve">Нетбук ICL RayBook Bil49 </t>
  </si>
  <si>
    <t>инв.10000464. кв."Б", д.13</t>
  </si>
  <si>
    <t>инв.10000463. кв."Б", д.13</t>
  </si>
  <si>
    <t>Дробилка молотковая однороторная СМ-170В</t>
  </si>
  <si>
    <t>395</t>
  </si>
  <si>
    <t>126-р</t>
  </si>
  <si>
    <t>457</t>
  </si>
  <si>
    <t>165-р</t>
  </si>
  <si>
    <t>423</t>
  </si>
  <si>
    <t>609</t>
  </si>
  <si>
    <t>Магнитола LG LPC-14</t>
  </si>
  <si>
    <t>инв.3051042</t>
  </si>
  <si>
    <t>Стол директорский</t>
  </si>
  <si>
    <t>2.4.1622</t>
  </si>
  <si>
    <t>Насос ПЭ-150-53</t>
  </si>
  <si>
    <t>Насос ПЭ-150x67</t>
  </si>
  <si>
    <t xml:space="preserve">Системный блок </t>
  </si>
  <si>
    <t xml:space="preserve">Оргтехника </t>
  </si>
  <si>
    <t>инв.010104013-14</t>
  </si>
  <si>
    <t>Котел КПЭМ-60</t>
  </si>
  <si>
    <t>2.5.1229</t>
  </si>
  <si>
    <t>2.5.1230</t>
  </si>
  <si>
    <t>2.5.1231</t>
  </si>
  <si>
    <t>2.5.1232</t>
  </si>
  <si>
    <t>хозяйственное ведение (уставной фонд)</t>
  </si>
  <si>
    <t>2.4.1600</t>
  </si>
  <si>
    <t>Контрабас</t>
  </si>
  <si>
    <t>Качеля - игрушка Крепыш Б</t>
  </si>
  <si>
    <t>инв.101041015. Canon LBP-6020 буферная память USB 2,0</t>
  </si>
  <si>
    <t>инв.010106072-77</t>
  </si>
  <si>
    <t>инв.010106078-83</t>
  </si>
  <si>
    <t>на Заводской,10</t>
  </si>
  <si>
    <t>XI - 1981</t>
  </si>
  <si>
    <t>определение электрической прочности трансформаторного масла и любой другой жидкой изоляции</t>
  </si>
  <si>
    <t>02.06.2014</t>
  </si>
  <si>
    <t xml:space="preserve">зав.№ 1П 38. КНС-2, ул.Кулундинская </t>
  </si>
  <si>
    <t>2.4.1340</t>
  </si>
  <si>
    <t>2.4.1343</t>
  </si>
  <si>
    <t>2.4.1345</t>
  </si>
  <si>
    <t>2.4.1346</t>
  </si>
  <si>
    <t>инв.3061068/1</t>
  </si>
  <si>
    <t>инв.3061067</t>
  </si>
  <si>
    <t>инв.210106300048</t>
  </si>
  <si>
    <t>инв.210104200033</t>
  </si>
  <si>
    <t>инв.1380802</t>
  </si>
  <si>
    <t>инв.1380900</t>
  </si>
  <si>
    <t>МФУ Xerox WC3045NI (A4)</t>
  </si>
  <si>
    <t>Автоматизированное рабочее место (АРМ)</t>
  </si>
  <si>
    <t>2.5.1221</t>
  </si>
  <si>
    <t>2.5.1222</t>
  </si>
  <si>
    <t>2.5.1223</t>
  </si>
  <si>
    <t>2.5.1224</t>
  </si>
  <si>
    <t>2.5.1225</t>
  </si>
  <si>
    <t>2.5.1226</t>
  </si>
  <si>
    <t>Сухой бассейн ДМФ-МК 02.51.01</t>
  </si>
  <si>
    <t>Сухой бассейн ДМФ-МК 09.48.00</t>
  </si>
  <si>
    <t>Машина стиральная "Авест"</t>
  </si>
  <si>
    <t>Пианино "Иртыш"</t>
  </si>
  <si>
    <t>Электродвигатель АИР 112М4</t>
  </si>
  <si>
    <t>2.5.1250</t>
  </si>
  <si>
    <t>Конструктор Поликарпова 68 элементов</t>
  </si>
  <si>
    <t>Радиотрансляционная установка</t>
  </si>
  <si>
    <t>Комплект по механике поступ.прям.движ</t>
  </si>
  <si>
    <t>84</t>
  </si>
  <si>
    <t>85</t>
  </si>
  <si>
    <t>86</t>
  </si>
  <si>
    <t>87</t>
  </si>
  <si>
    <t>5</t>
  </si>
  <si>
    <t xml:space="preserve">29.06.2006 </t>
  </si>
  <si>
    <t>6</t>
  </si>
  <si>
    <t>7</t>
  </si>
  <si>
    <t>9</t>
  </si>
  <si>
    <t>10</t>
  </si>
  <si>
    <t>13</t>
  </si>
  <si>
    <t>12</t>
  </si>
  <si>
    <t>8</t>
  </si>
  <si>
    <t>Canon  IR 2016</t>
  </si>
  <si>
    <t>III / 2008</t>
  </si>
  <si>
    <t>2.4.0377</t>
  </si>
  <si>
    <t>2.4.0378</t>
  </si>
  <si>
    <t>2.4.0379</t>
  </si>
  <si>
    <t>Шкаф для игрушек</t>
  </si>
  <si>
    <t>Мебель стенка детская 1</t>
  </si>
  <si>
    <t>инв.10106643. Размер 1350х300х1168. Состоит из 1 шкафа, цвет салатный, кофе</t>
  </si>
  <si>
    <t>инв.10106649. Размер 500х400х978. Состоит из 5 шкафов, 2 шкафа с дверцами, цвет салатный, желтый</t>
  </si>
  <si>
    <t>Мебель стенка детская 2</t>
  </si>
  <si>
    <t>2.5.0840</t>
  </si>
  <si>
    <t>2.5.0841</t>
  </si>
  <si>
    <t>инв.8940255. 2М  112, ул.Северная, 2 водозабор</t>
  </si>
  <si>
    <t>инв.10104084к. 57квт,3000 об/мин,станция смешивания "Алтайская"</t>
  </si>
  <si>
    <t>инв.89001104. Мощность 4,5квт, ул.Северная, 2 водозабор (узел приготовления)</t>
  </si>
  <si>
    <t>2.5.1209</t>
  </si>
  <si>
    <t>Шкаф секретаря</t>
  </si>
  <si>
    <t>инв.3120161</t>
  </si>
  <si>
    <t>инв.1380009</t>
  </si>
  <si>
    <t>2003</t>
  </si>
  <si>
    <t>2.5.0523</t>
  </si>
  <si>
    <t>09.09.2014</t>
  </si>
  <si>
    <t>2.4.2392</t>
  </si>
  <si>
    <t>02.11.2007</t>
  </si>
  <si>
    <t xml:space="preserve">Холодильник "Бирюса-6" </t>
  </si>
  <si>
    <t>инв.1380360</t>
  </si>
  <si>
    <t>инв.10104034</t>
  </si>
  <si>
    <t>Ноутбук Samsung R-518 15.6" HD/Cel-900(2.2Ghz)/1Gb/160G/ DVDRW/WiFi/Dos</t>
  </si>
  <si>
    <t>Правообладатель муниципального имущества</t>
  </si>
  <si>
    <t>Объекты муниципальной казны</t>
  </si>
  <si>
    <t xml:space="preserve">акт </t>
  </si>
  <si>
    <t>28; 615</t>
  </si>
  <si>
    <t>2.5.0502</t>
  </si>
  <si>
    <t>I - 1989</t>
  </si>
  <si>
    <t>Шкаф двухстворчатый</t>
  </si>
  <si>
    <t>МФУ НР LasrJet М1005</t>
  </si>
  <si>
    <t>Модем ZyXEL</t>
  </si>
  <si>
    <t>Холодильник "Бирюса 22-Е1"</t>
  </si>
  <si>
    <t>инв.1380035</t>
  </si>
  <si>
    <t xml:space="preserve">Преобразователь частоты </t>
  </si>
  <si>
    <t>акт приемки в эксплуатацию</t>
  </si>
  <si>
    <t>2.4.0965</t>
  </si>
  <si>
    <t>2.4.0966</t>
  </si>
  <si>
    <t>2.4.0967</t>
  </si>
  <si>
    <t>2.4.0968</t>
  </si>
  <si>
    <t>2.4.0969</t>
  </si>
  <si>
    <t>Комплект игровой "Магазин"</t>
  </si>
  <si>
    <t>МБОУ СОШ №12</t>
  </si>
  <si>
    <t>МБОУ СОШ №14</t>
  </si>
  <si>
    <t>2.4.1624</t>
  </si>
  <si>
    <t>2.4.1625</t>
  </si>
  <si>
    <t>2.4.1626</t>
  </si>
  <si>
    <t>МФУ лазерное HP</t>
  </si>
  <si>
    <t>контракт на поставку компьютерной техники</t>
  </si>
  <si>
    <t>2520140053</t>
  </si>
  <si>
    <t>Интерактивная доска Hitachi</t>
  </si>
  <si>
    <t>XII - 2001</t>
  </si>
  <si>
    <t>2.4.0911</t>
  </si>
  <si>
    <t>2.4.0912</t>
  </si>
  <si>
    <t>Компьютер в комплекте с монитором</t>
  </si>
  <si>
    <t>инв.3061024</t>
  </si>
  <si>
    <t>01.02.13г.</t>
  </si>
  <si>
    <t>Оргтехника</t>
  </si>
  <si>
    <t>инв.010106159</t>
  </si>
  <si>
    <t>инв.10106179-87</t>
  </si>
  <si>
    <t>Шкаф офисный</t>
  </si>
  <si>
    <t>026141</t>
  </si>
  <si>
    <t>инв.30610991</t>
  </si>
  <si>
    <t>Камера КРУ-6-15 /ЦРП-11/ (47062907)</t>
  </si>
  <si>
    <t>инв.10000618. ОАО "АХП", ЦРП-11</t>
  </si>
  <si>
    <t>инв.10000619. Корп.10 резерв</t>
  </si>
  <si>
    <t>инв.10104153к. 11квт 3000 об/мин, станция смешивания "Алтайская"</t>
  </si>
  <si>
    <t>инв.10104143к. Станция смешивания "Водозабор", п=1500об/мин</t>
  </si>
  <si>
    <t>2.5.0413</t>
  </si>
  <si>
    <t>контракт на выполнение работ</t>
  </si>
  <si>
    <t>инв.10106819-20</t>
  </si>
  <si>
    <t>Принтер НР КJ P USB</t>
  </si>
  <si>
    <t>1982</t>
  </si>
  <si>
    <t>1990</t>
  </si>
  <si>
    <t>1980</t>
  </si>
  <si>
    <t>Комплект игровой "кухня"</t>
  </si>
  <si>
    <t>Электрочайник Polaris  PWK 1795</t>
  </si>
  <si>
    <t>Набор по общей биологии</t>
  </si>
  <si>
    <t>Эл.гитара Джони</t>
  </si>
  <si>
    <t>Проектор</t>
  </si>
  <si>
    <t>инв.10104304</t>
  </si>
  <si>
    <t>2.5.1200</t>
  </si>
  <si>
    <t>инв.10106303</t>
  </si>
  <si>
    <t>2.5.1201</t>
  </si>
  <si>
    <t>Стенка-мебель</t>
  </si>
  <si>
    <t>инв.10106476</t>
  </si>
  <si>
    <t>инв.10106147</t>
  </si>
  <si>
    <t>09.08.2007</t>
  </si>
  <si>
    <t>44 коп/мин, автоподача</t>
  </si>
  <si>
    <t>Мясорубка МИМ-300Т</t>
  </si>
  <si>
    <t>2.4.1731</t>
  </si>
  <si>
    <t>2.4.1732</t>
  </si>
  <si>
    <t>2.4.1733</t>
  </si>
  <si>
    <t>2.4.1734</t>
  </si>
  <si>
    <t>2.4.1735</t>
  </si>
  <si>
    <t>2.4.1736</t>
  </si>
  <si>
    <t>2.4.1737</t>
  </si>
  <si>
    <t>2.4.1938</t>
  </si>
  <si>
    <t>инв.10104066</t>
  </si>
  <si>
    <t>2.4.1994</t>
  </si>
  <si>
    <t>Усилитель РВ 370</t>
  </si>
  <si>
    <t xml:space="preserve">Страховка для батута </t>
  </si>
  <si>
    <t>инв.10116321. Внешний д.135, внутр.д.95</t>
  </si>
  <si>
    <t xml:space="preserve">Туннель (сборно-разборный) </t>
  </si>
  <si>
    <t>инв.1630017. 210х70</t>
  </si>
  <si>
    <t>Костюм ростовой "Петух", "Нюша"</t>
  </si>
  <si>
    <t>Ковровое покрытие</t>
  </si>
  <si>
    <t>Трибуна д/проведения мероприятий</t>
  </si>
  <si>
    <t>инв.1040837</t>
  </si>
  <si>
    <t>инв.3061027/2</t>
  </si>
  <si>
    <t>инв.1062061</t>
  </si>
  <si>
    <t>инв.1052060</t>
  </si>
  <si>
    <t>инв.01660096</t>
  </si>
  <si>
    <t>инв.10106175</t>
  </si>
  <si>
    <t>инв.10106192</t>
  </si>
  <si>
    <t>2.4.1637</t>
  </si>
  <si>
    <t>Система видеонаблюдения территории водозабора</t>
  </si>
  <si>
    <t>инв.10106909</t>
  </si>
  <si>
    <t>2.5.0608</t>
  </si>
  <si>
    <t>2.5.0609</t>
  </si>
  <si>
    <t>Болгарка</t>
  </si>
  <si>
    <t>Комплект фолий</t>
  </si>
  <si>
    <t>30.10.2012, 26.12.2012</t>
  </si>
  <si>
    <t>приказ Главного управления образования; акт приема-передачи</t>
  </si>
  <si>
    <t>30.10.2012, 26.12.2013</t>
  </si>
  <si>
    <t>инв.10000625. Ул.Заводская,10, ТП-212</t>
  </si>
  <si>
    <t>Трансформатор сил. 3 х фаз. ТМ320-6/0,4 ТП-253/1 (47023107)</t>
  </si>
  <si>
    <t>Трансформатор сил. 3 х фаз. ТМ400-6/0,4  ТП-253/2 (47023207)</t>
  </si>
  <si>
    <t>Комплект АМ-2 Sempron-LE</t>
  </si>
  <si>
    <t xml:space="preserve">Микрофон конденсаторный </t>
  </si>
  <si>
    <t>2.4.2393</t>
  </si>
  <si>
    <t>2.4.2394</t>
  </si>
  <si>
    <t>2.4.2395</t>
  </si>
  <si>
    <t>2.4.2396</t>
  </si>
  <si>
    <t>МФУ лазерное HP LM1132</t>
  </si>
  <si>
    <t>инв.1.101.34.00134</t>
  </si>
  <si>
    <t xml:space="preserve">Ноутбук 15. 6 Lenovo </t>
  </si>
  <si>
    <t>инв.1.101.34.00136</t>
  </si>
  <si>
    <t>инв.10000749.  Корпус 10</t>
  </si>
  <si>
    <t>инв.10000751.  Корпус 10</t>
  </si>
  <si>
    <t>инв.10000753.  Корпус 10</t>
  </si>
  <si>
    <t>инв.10000466. Кв."Б", д.7</t>
  </si>
  <si>
    <t>2.4.1813</t>
  </si>
  <si>
    <t>2.4.1814</t>
  </si>
  <si>
    <t>2.4.1815</t>
  </si>
  <si>
    <t>2.4.1816</t>
  </si>
  <si>
    <t>2.4.1817</t>
  </si>
  <si>
    <t xml:space="preserve">Принтер Xerox Phaser  </t>
  </si>
  <si>
    <t>VII-2007г.</t>
  </si>
  <si>
    <t>2.4.1017</t>
  </si>
  <si>
    <t>2.4.0918</t>
  </si>
  <si>
    <t>Шкаф пекарный ШПСЭМ-З(М)</t>
  </si>
  <si>
    <t>.12.2008</t>
  </si>
  <si>
    <t>Плита электрическая ПЭ-726 ШК</t>
  </si>
  <si>
    <t>ГАЗ-3102</t>
  </si>
  <si>
    <t>VII - 2006</t>
  </si>
  <si>
    <t>ООО "Коммунальщик"</t>
  </si>
  <si>
    <t>Преобразователь частоты VACONO100-3L-0072-5-FLOW+FL04+DLU(37кВт 380V.IP21)</t>
  </si>
  <si>
    <t>Дг-СЛБ0000134/ 2520130082</t>
  </si>
  <si>
    <t>2.4.1098</t>
  </si>
  <si>
    <t>2.4.1580</t>
  </si>
  <si>
    <t>2.4.1581</t>
  </si>
  <si>
    <t>2.4.1088</t>
  </si>
  <si>
    <t>2.4.1089</t>
  </si>
  <si>
    <t>2.4.1091</t>
  </si>
  <si>
    <t>2.4.1092</t>
  </si>
  <si>
    <t>Стол производственный РПС-12/6-430</t>
  </si>
  <si>
    <t>Лимитр-компрессор</t>
  </si>
  <si>
    <t>Ванна моечная 1/700</t>
  </si>
  <si>
    <t>2.4.0556</t>
  </si>
  <si>
    <t>2.4.0557</t>
  </si>
  <si>
    <t>12-2004</t>
  </si>
  <si>
    <t>06-1983</t>
  </si>
  <si>
    <t>12-1983</t>
  </si>
  <si>
    <t>12-2011</t>
  </si>
  <si>
    <t>Canon</t>
  </si>
  <si>
    <t>Лестница</t>
  </si>
  <si>
    <t>распоряжение Администрации Алтайского края,акт .</t>
  </si>
  <si>
    <t>559; 10-11-32</t>
  </si>
  <si>
    <t>2.5.0340</t>
  </si>
  <si>
    <t>2.5.0341</t>
  </si>
  <si>
    <t>2.5.0342</t>
  </si>
  <si>
    <t>2.5.0343</t>
  </si>
  <si>
    <t xml:space="preserve">Персональный компьютер </t>
  </si>
  <si>
    <t>автоответчик</t>
  </si>
  <si>
    <t xml:space="preserve">Монитор </t>
  </si>
  <si>
    <t>Маршрутизатор беспроводной + коммутатор 4 портовый ZyXEL P-660HTW2</t>
  </si>
  <si>
    <t>инв.10104361</t>
  </si>
  <si>
    <t>Трансформатор ТМ400-6/04, ТП-258/2 (47061807)</t>
  </si>
  <si>
    <t>Ванна для мойки 2-х секционная</t>
  </si>
  <si>
    <t>Насос вакуумный с тарелкой</t>
  </si>
  <si>
    <t>Модуль "Гномик"</t>
  </si>
  <si>
    <t>100х100х10 (син/жел)</t>
  </si>
  <si>
    <t xml:space="preserve">Мат №4 складной </t>
  </si>
  <si>
    <t>114х112х71 см Bestway 75033</t>
  </si>
  <si>
    <t xml:space="preserve">Кресло-мяч надувное </t>
  </si>
  <si>
    <t>128/05/2420130078</t>
  </si>
  <si>
    <t>Стеллаж офисный</t>
  </si>
  <si>
    <t>30.09.2014</t>
  </si>
  <si>
    <t>Шкаф расстоечный РIRON L900</t>
  </si>
  <si>
    <t>2.4.1921</t>
  </si>
  <si>
    <t>2.4.1586</t>
  </si>
  <si>
    <t>Доска 3-х секционная</t>
  </si>
  <si>
    <t>2.4.1331</t>
  </si>
  <si>
    <t>2.4.1332</t>
  </si>
  <si>
    <t>2.4.1333</t>
  </si>
  <si>
    <t>Комплект компьютерного оборудования № 1</t>
  </si>
  <si>
    <t>2812</t>
  </si>
  <si>
    <t>Трансформатор ТМ 100-6/ 0,4 /ТП 97/ (47020307)</t>
  </si>
  <si>
    <t>инв.10000441. ТП-97 (куст 6)</t>
  </si>
  <si>
    <t>Трансформатор ТМ 400-6/0,4 /ТП 250/2 (47020407)</t>
  </si>
  <si>
    <t>2.5.0698</t>
  </si>
  <si>
    <t>2.5.0699</t>
  </si>
  <si>
    <t>2.5.0700</t>
  </si>
  <si>
    <t>2.5.0702</t>
  </si>
  <si>
    <t>2.5.0703</t>
  </si>
  <si>
    <t>2.5.0705</t>
  </si>
  <si>
    <t>2.5.0706</t>
  </si>
  <si>
    <t>2.5.0707</t>
  </si>
  <si>
    <t>инв.2060950</t>
  </si>
  <si>
    <t>аренда</t>
  </si>
  <si>
    <t>инв.10104064-66</t>
  </si>
  <si>
    <t>контракт на поставку стеллажа офисного</t>
  </si>
  <si>
    <t>08.08.2014</t>
  </si>
  <si>
    <t>2620140025</t>
  </si>
  <si>
    <t>2.5.0524</t>
  </si>
  <si>
    <t>2.5.0525</t>
  </si>
  <si>
    <t>2.5.0526</t>
  </si>
  <si>
    <t>Станок круглопильный</t>
  </si>
  <si>
    <t>инв.3061082</t>
  </si>
  <si>
    <t>Сканер HP ScanJet G2710 А4</t>
  </si>
  <si>
    <t>Кровать 2-спальная (гост)</t>
  </si>
  <si>
    <t xml:space="preserve">инв. 01380747 </t>
  </si>
  <si>
    <t>контракт на поставку товара</t>
  </si>
  <si>
    <t>Торговое оборудование стенка</t>
  </si>
  <si>
    <t>Станок сверлильный</t>
  </si>
  <si>
    <t>Оверлог</t>
  </si>
  <si>
    <t>Характеристика</t>
  </si>
  <si>
    <t>ксерокс Canon РС 128 Е-1</t>
  </si>
  <si>
    <t>2.4.1270</t>
  </si>
  <si>
    <t>2.4.1271</t>
  </si>
  <si>
    <t>2.4.1272</t>
  </si>
  <si>
    <t>2.4.1273</t>
  </si>
  <si>
    <t>2.4.1277</t>
  </si>
  <si>
    <t>2.4.1278</t>
  </si>
  <si>
    <t>2.4.1279</t>
  </si>
  <si>
    <t>2.4.1282</t>
  </si>
  <si>
    <t>договор аренды</t>
  </si>
  <si>
    <t>2.4.1528</t>
  </si>
  <si>
    <t>Стойка световая</t>
  </si>
  <si>
    <t>Объектовый блок "Сержант"</t>
  </si>
  <si>
    <t>инв.10104138</t>
  </si>
  <si>
    <t>инв.10106134</t>
  </si>
  <si>
    <t xml:space="preserve">Ванна для мойки </t>
  </si>
  <si>
    <t>Диван</t>
  </si>
  <si>
    <t>2.4.1102</t>
  </si>
  <si>
    <t>инв.10104023</t>
  </si>
  <si>
    <t xml:space="preserve">Фотоаппарат Nikon CoolPix </t>
  </si>
  <si>
    <t>инв.10000372, 10000373, 10000374, 10000375, 10000376, 10000377, 10000378. ОАО "АХП"</t>
  </si>
  <si>
    <t>Камера КСО 266 /ЦРП 11/ (47004407, 47004507)</t>
  </si>
  <si>
    <t>инв.10000379, 10000380. ОАО "АХП", КСО-272</t>
  </si>
  <si>
    <t>Cплит-система (кондиционер)</t>
  </si>
  <si>
    <t>Дождевой чехол ALMI Teta DVX100</t>
  </si>
  <si>
    <t>Зимний чехол ALMI БМ DVX100</t>
  </si>
  <si>
    <t>Траспортный кофр С РD150</t>
  </si>
  <si>
    <t>Светильник камерный</t>
  </si>
  <si>
    <t>Машина стиральная LG F12B8VD1</t>
  </si>
  <si>
    <t>Дорожные знаки</t>
  </si>
  <si>
    <t>Камера холодильная</t>
  </si>
  <si>
    <t>2.4.1627</t>
  </si>
  <si>
    <t>2.2.0104</t>
  </si>
  <si>
    <t>2.2.0106</t>
  </si>
  <si>
    <t>2.2.0114</t>
  </si>
  <si>
    <t>2.2.0115</t>
  </si>
  <si>
    <t>2.2.0118</t>
  </si>
  <si>
    <t>2.2.0119</t>
  </si>
  <si>
    <t>29.09.2014</t>
  </si>
  <si>
    <t>Шкаф лабораторный</t>
  </si>
  <si>
    <t>инв.01630712</t>
  </si>
  <si>
    <t>инв.01630713</t>
  </si>
  <si>
    <t>Комплект мебели "Гномик"</t>
  </si>
  <si>
    <t>инв.10104333, в комплект входит: системный блок INTEL Pentium, ИБП, без монитора</t>
  </si>
  <si>
    <t>Монитор  LCD 18.5"</t>
  </si>
  <si>
    <t>инв.10104337</t>
  </si>
  <si>
    <t>МФУ лазерное Canon i-SENSYS MF4320d</t>
  </si>
  <si>
    <t>инв.10104335</t>
  </si>
  <si>
    <t>МФУ лазерное Xerox WC  5016</t>
  </si>
  <si>
    <t>инв.10104387</t>
  </si>
  <si>
    <t>X - 1995</t>
  </si>
  <si>
    <t>2.5.0921</t>
  </si>
  <si>
    <t>2.4.0019</t>
  </si>
  <si>
    <t>2.4.0023</t>
  </si>
  <si>
    <t>2.4.0035</t>
  </si>
  <si>
    <t>2.4.0040</t>
  </si>
  <si>
    <t>2.4.0045</t>
  </si>
  <si>
    <t>2.4.0046</t>
  </si>
  <si>
    <t>2.4.0079</t>
  </si>
  <si>
    <t>2.4.0085</t>
  </si>
  <si>
    <t>2.4.0117</t>
  </si>
  <si>
    <t>2.4.0119</t>
  </si>
  <si>
    <t>2.4.0120</t>
  </si>
  <si>
    <t>2.4.0125</t>
  </si>
  <si>
    <t>2.4.0127</t>
  </si>
  <si>
    <t>2.4.0131</t>
  </si>
  <si>
    <t>2.5.0708</t>
  </si>
  <si>
    <t>2.5.0709</t>
  </si>
  <si>
    <t>2.5.0710</t>
  </si>
  <si>
    <t>2.5.0711</t>
  </si>
  <si>
    <t>2.5.0712</t>
  </si>
  <si>
    <t>2.5.0713</t>
  </si>
  <si>
    <t>2.5.0714</t>
  </si>
  <si>
    <t>2.5.0715</t>
  </si>
  <si>
    <t>Методическая литература</t>
  </si>
  <si>
    <t>2.4.1928</t>
  </si>
  <si>
    <t>2.4.1301</t>
  </si>
  <si>
    <t>2.4.1303</t>
  </si>
  <si>
    <t>2.5.0512</t>
  </si>
  <si>
    <t>2.4.1323</t>
  </si>
  <si>
    <t>2.4.1324</t>
  </si>
  <si>
    <t>2.4.1325</t>
  </si>
  <si>
    <t>36</t>
  </si>
  <si>
    <t>588</t>
  </si>
  <si>
    <t>2.4.2018</t>
  </si>
  <si>
    <t>Доска аудиторная школьная</t>
  </si>
  <si>
    <t>Кубики алфавит</t>
  </si>
  <si>
    <t>инв.10106847</t>
  </si>
  <si>
    <t>инв.10106564,65</t>
  </si>
  <si>
    <t>инв.10001342. Т.Собственные нужды рапонасосной</t>
  </si>
  <si>
    <t>Трансформатор силовой 630 КВА 6/04 ТМЗ 630/10 (37044607)</t>
  </si>
  <si>
    <t>инв.10106585-589</t>
  </si>
  <si>
    <t>Кондиционер  Almacon ACH-07</t>
  </si>
  <si>
    <t>256/2420130116</t>
  </si>
  <si>
    <t>2.5.0521</t>
  </si>
  <si>
    <t>Планшет SamsungGalaxy Tab 4 10.1 16 Гб</t>
  </si>
  <si>
    <t>инв.302257</t>
  </si>
  <si>
    <t>инв.10104011</t>
  </si>
  <si>
    <t>инв.10104014</t>
  </si>
  <si>
    <t>Шуруповерт</t>
  </si>
  <si>
    <t>LX -350(A4,9 pin, 357 cps, USB. LPT, COM), цвет - черный</t>
  </si>
  <si>
    <t>Трансформатор ТМ400-6/04, ТП 254/1 (47061907)</t>
  </si>
  <si>
    <t>инв.10000611. Кв. "А", д.36</t>
  </si>
  <si>
    <t>инв.10106353</t>
  </si>
  <si>
    <t>40815</t>
  </si>
  <si>
    <t>Столик с 2-мя полками</t>
  </si>
  <si>
    <t>2.4.1645</t>
  </si>
  <si>
    <t>2.4.1646</t>
  </si>
  <si>
    <t>08-2005</t>
  </si>
  <si>
    <t>02-2006</t>
  </si>
  <si>
    <t>04-2007</t>
  </si>
  <si>
    <t>договор розничной купли-продажи; договор пожертвования</t>
  </si>
  <si>
    <t>Цифровой микроскоп</t>
  </si>
  <si>
    <t>2006г.</t>
  </si>
  <si>
    <t>инв.10000600, 10000601, 10000602. ОАО "АХП", ЦРП-10</t>
  </si>
  <si>
    <t>Машина швейная</t>
  </si>
  <si>
    <t>2.4.1591</t>
  </si>
  <si>
    <t>Источник пост.и перем.напряжения</t>
  </si>
  <si>
    <t>2.4.0957</t>
  </si>
  <si>
    <t>инв. 01660012. Прессов.дерев.стек.двери</t>
  </si>
  <si>
    <t>инв.10000412-10000415.ОАО "АХП"</t>
  </si>
  <si>
    <t>Кейс под обработку GATOR</t>
  </si>
  <si>
    <t>2.5.1244</t>
  </si>
  <si>
    <t>2.5.1245</t>
  </si>
  <si>
    <t>Вазон "Короб В- 15"</t>
  </si>
  <si>
    <t>VII -2008</t>
  </si>
  <si>
    <t>Насос №1 Д315-71 с эл.двигателемТип 4Ам 250S2У2</t>
  </si>
  <si>
    <t xml:space="preserve">2769/155 </t>
  </si>
  <si>
    <t>постановление; постановление; постановление</t>
  </si>
  <si>
    <t>Ключ для фортепиано</t>
  </si>
  <si>
    <t>акт передачи б/н</t>
  </si>
  <si>
    <t>2.4.1464</t>
  </si>
  <si>
    <t>1V   029176</t>
  </si>
  <si>
    <t>Электросковорода</t>
  </si>
  <si>
    <t>Потолочный кронштейн для проектора</t>
  </si>
  <si>
    <t>Программный дидакт.комплекс</t>
  </si>
  <si>
    <t>10.06.2013; 12.03.2013</t>
  </si>
  <si>
    <t>796; 1054</t>
  </si>
  <si>
    <t xml:space="preserve">счет - фактура; приказ (край) </t>
  </si>
  <si>
    <t>2.5.0538</t>
  </si>
  <si>
    <t>1833; 1835</t>
  </si>
  <si>
    <t>10.11.2014</t>
  </si>
  <si>
    <t>31.10.2014</t>
  </si>
  <si>
    <t>инв. 01660014 (стол в приёмной (7,05)</t>
  </si>
  <si>
    <t>инв. 01360116 (в подвале)</t>
  </si>
  <si>
    <t>Я000000435</t>
  </si>
  <si>
    <t>100</t>
  </si>
  <si>
    <t xml:space="preserve">счет </t>
  </si>
  <si>
    <t>6149</t>
  </si>
  <si>
    <t>постановление (край)</t>
  </si>
  <si>
    <t>1088</t>
  </si>
  <si>
    <t>инв.10000527. кв."Б"-30  ТП-257/2</t>
  </si>
  <si>
    <t>Трансформатор ТМФ400-6/0,4  ТП-202 (47041807)</t>
  </si>
  <si>
    <t>инв.10000528. ул.Чапаева ТП-202</t>
  </si>
  <si>
    <t>Электродвигатель АИР 160 S8 IM 1081</t>
  </si>
  <si>
    <t>инв.10104006</t>
  </si>
  <si>
    <t>Рулетка лазерная</t>
  </si>
  <si>
    <t>сч-ф № 92</t>
  </si>
  <si>
    <t xml:space="preserve">Винтовка </t>
  </si>
  <si>
    <t>Дымогенератор РТ-1500</t>
  </si>
  <si>
    <t>инв.1380595</t>
  </si>
  <si>
    <t>инв.10106935</t>
  </si>
  <si>
    <t>инв.10106826</t>
  </si>
  <si>
    <t>инв.1380473-507</t>
  </si>
  <si>
    <t>инв.1380097</t>
  </si>
  <si>
    <t>инв.1380042</t>
  </si>
  <si>
    <t>инв.1380111</t>
  </si>
  <si>
    <t>06.02.2007</t>
  </si>
  <si>
    <t>инв.66</t>
  </si>
  <si>
    <t>Холодильник "Бирюса 10 ЕК"</t>
  </si>
  <si>
    <t>24584</t>
  </si>
  <si>
    <t>35</t>
  </si>
  <si>
    <t>09</t>
  </si>
  <si>
    <t>475</t>
  </si>
  <si>
    <t>Принтер А4 XEROX Phaser 3140</t>
  </si>
  <si>
    <t>2.5.0293</t>
  </si>
  <si>
    <t>2.5.0294</t>
  </si>
  <si>
    <t>2.5.0300</t>
  </si>
  <si>
    <t>2.5.0301</t>
  </si>
  <si>
    <t>2.5.0303</t>
  </si>
  <si>
    <t>2.5.0305</t>
  </si>
  <si>
    <t>2.5.0306</t>
  </si>
  <si>
    <t>14.09.2010; 12.11.2010</t>
  </si>
  <si>
    <t>99; 202/10-09; 633</t>
  </si>
  <si>
    <t>2.2.0145</t>
  </si>
  <si>
    <t>акт об оценке имущества</t>
  </si>
  <si>
    <t>Машина шлакоуборочная "ШУМ" (инв.39000685)</t>
  </si>
  <si>
    <t>Посудомоечная машина ПММ К1</t>
  </si>
  <si>
    <t>МФУ лазерное</t>
  </si>
  <si>
    <t>26.04.2007</t>
  </si>
  <si>
    <t>Y0006399</t>
  </si>
  <si>
    <t>Y0006032</t>
  </si>
  <si>
    <t>инв.101041013-101041014. Принтер LJ PRO M125 многофункциональный (копир, сканер)</t>
  </si>
  <si>
    <t>инв.104013</t>
  </si>
  <si>
    <t>инв.104014</t>
  </si>
  <si>
    <t>1985</t>
  </si>
  <si>
    <t>18.09.08</t>
  </si>
  <si>
    <t xml:space="preserve">Решение МС СНД </t>
  </si>
  <si>
    <t>Факсимильный аппарат Samsung SF 800</t>
  </si>
  <si>
    <t>XII / 2000</t>
  </si>
  <si>
    <t>2.5.1067</t>
  </si>
  <si>
    <t>2.5.1068</t>
  </si>
  <si>
    <t>2.5.1069</t>
  </si>
  <si>
    <t>2.5.1070</t>
  </si>
  <si>
    <t>2.5.1071</t>
  </si>
  <si>
    <t>2.5.1072</t>
  </si>
  <si>
    <t>2.5.1073</t>
  </si>
  <si>
    <t>2.5.1074</t>
  </si>
  <si>
    <t>Набор для кухни</t>
  </si>
  <si>
    <t>Стенд</t>
  </si>
  <si>
    <t>Стенд спорт.комитета</t>
  </si>
  <si>
    <t>Стенд истории ПЛ-39</t>
  </si>
  <si>
    <t>Карта-география г.Яровое</t>
  </si>
  <si>
    <t>2.4.1983</t>
  </si>
  <si>
    <t>2.4.1984</t>
  </si>
  <si>
    <t>2.4.1985</t>
  </si>
  <si>
    <t>2.4.1986</t>
  </si>
  <si>
    <t>2.4.1987</t>
  </si>
  <si>
    <t>2.4.1988</t>
  </si>
  <si>
    <t xml:space="preserve">Шкаф с автоматами </t>
  </si>
  <si>
    <t>ГАЗ-330700</t>
  </si>
  <si>
    <t>Стенка мебельная</t>
  </si>
  <si>
    <t>2.4.0839</t>
  </si>
  <si>
    <t>2.4.0840</t>
  </si>
  <si>
    <t>2.4.0841</t>
  </si>
  <si>
    <t xml:space="preserve">Низковольтное распредустройство </t>
  </si>
  <si>
    <t>инв.010104046-49</t>
  </si>
  <si>
    <t>инв.10104579</t>
  </si>
  <si>
    <t>Комплект гербариев с электронным пособием</t>
  </si>
  <si>
    <t>06.11.2014; 18.12.2014</t>
  </si>
  <si>
    <t xml:space="preserve">инв. 10106650 </t>
  </si>
  <si>
    <t>инв. 10106645. Без шаров 100*70*30</t>
  </si>
  <si>
    <t>инв. 10106932-10106934</t>
  </si>
  <si>
    <t>инв. 10106827</t>
  </si>
  <si>
    <t>Павильон скважины № 35</t>
  </si>
  <si>
    <t>инв.№ 89422441. скважина 35, ул.Северная, 2 водозабор</t>
  </si>
  <si>
    <t xml:space="preserve">Насос водозаборный 2-го подъема </t>
  </si>
  <si>
    <t>инв.89422437. NB 150-400/375, 75 квт. ул.Северная,2 водозабор</t>
  </si>
  <si>
    <t>Насос №4 БК-8 с эл.двигателем Тип Б 180 54У25</t>
  </si>
  <si>
    <t>инв.210104200036</t>
  </si>
  <si>
    <t>2.5.1188</t>
  </si>
  <si>
    <t>Мотокоса КРБ-23/33/1,3 л.с23/43</t>
  </si>
  <si>
    <t>инв.10000513. дачи</t>
  </si>
  <si>
    <t>инв. 01660007. Гостиница,темно- коричневого цвета с антр.(4шкафа)</t>
  </si>
  <si>
    <t xml:space="preserve">Стол "Аленсио" </t>
  </si>
  <si>
    <t>Жалюзи В-3,00 Ш-2,65</t>
  </si>
  <si>
    <t>Электромясорубка "Экстра"</t>
  </si>
  <si>
    <t xml:space="preserve">Компьютер в сборе </t>
  </si>
  <si>
    <t xml:space="preserve">инв.10134106. {AMD A8/4Gb RAM/500Gb HDD/DVDRW/монитор LCD Samsung 21,5 клавиатура+мышь </t>
  </si>
  <si>
    <t>контракт на поставку компьютерной и оргтехники</t>
  </si>
  <si>
    <t>0120140109</t>
  </si>
  <si>
    <t>инв.13601336. Мощность 37 кВт, напряжение 380В. Зав.V00000841811</t>
  </si>
  <si>
    <t>57-юр</t>
  </si>
  <si>
    <t>2.5.1181</t>
  </si>
  <si>
    <t>2.5.1182</t>
  </si>
  <si>
    <t>Стойка-рецепшен</t>
  </si>
  <si>
    <t>инв.210106300105</t>
  </si>
  <si>
    <t>инв.210106300107</t>
  </si>
  <si>
    <t>07/6220150036</t>
  </si>
  <si>
    <t>Мебель</t>
  </si>
  <si>
    <t>Аккумуляторная дрель</t>
  </si>
  <si>
    <t>2.5.0594</t>
  </si>
  <si>
    <t>инв.010104028</t>
  </si>
  <si>
    <t>Принтер  Xerox Phaser 3117</t>
  </si>
  <si>
    <t>2.4.1691</t>
  </si>
  <si>
    <t>2.4.1692</t>
  </si>
  <si>
    <t>2.4.1693</t>
  </si>
  <si>
    <t>2.4.1694</t>
  </si>
  <si>
    <t>2.4.1695</t>
  </si>
  <si>
    <t>2.4.1696</t>
  </si>
  <si>
    <t>инв. 011380031</t>
  </si>
  <si>
    <t>инв. 011380030</t>
  </si>
  <si>
    <t>инв. 01380614</t>
  </si>
  <si>
    <t>инв. 01380510</t>
  </si>
  <si>
    <t>инв. 3061011</t>
  </si>
  <si>
    <t>инв.10000568. МСЧ-128, ТП-258/1</t>
  </si>
  <si>
    <t>инв.10000571. МСЧ-128, ТП-258</t>
  </si>
  <si>
    <t>2.4.1388</t>
  </si>
  <si>
    <t>Влажные препараты</t>
  </si>
  <si>
    <t>инв.01380369</t>
  </si>
  <si>
    <t>инв.01380419</t>
  </si>
  <si>
    <t>Принтер Xerox Phaser  3121</t>
  </si>
  <si>
    <t>Холодильник "Смоленск"</t>
  </si>
  <si>
    <t>инв.1380037</t>
  </si>
  <si>
    <t>2.4.1948</t>
  </si>
  <si>
    <t>2.4.1951</t>
  </si>
  <si>
    <t>инв.1380004, 5</t>
  </si>
  <si>
    <t>2.4.1952</t>
  </si>
  <si>
    <t>2.4.1953</t>
  </si>
  <si>
    <t>2.4.1954</t>
  </si>
  <si>
    <t>2.4.1955</t>
  </si>
  <si>
    <t>2.4.1956</t>
  </si>
  <si>
    <t>2.4.1957</t>
  </si>
  <si>
    <t>контракт на поставку стенда напольного</t>
  </si>
  <si>
    <t>2820140035</t>
  </si>
  <si>
    <t>2.5.1083</t>
  </si>
  <si>
    <t>2.5.1086</t>
  </si>
  <si>
    <t>2.5.1087</t>
  </si>
  <si>
    <t>2.5.1088</t>
  </si>
  <si>
    <t>2.5.1090</t>
  </si>
  <si>
    <t>2.5.1093</t>
  </si>
  <si>
    <t>2.5.1094</t>
  </si>
  <si>
    <t>2.5.1095</t>
  </si>
  <si>
    <t>2.5.1096</t>
  </si>
  <si>
    <t>2.5.1097</t>
  </si>
  <si>
    <t>Стиральная машина "ВЕКО"</t>
  </si>
  <si>
    <t>инв.01380036</t>
  </si>
  <si>
    <t>2.4.1532</t>
  </si>
  <si>
    <t>2.4.1533</t>
  </si>
  <si>
    <t>2.4.1534</t>
  </si>
  <si>
    <t>2.4.1535</t>
  </si>
  <si>
    <t>2.4.1633</t>
  </si>
  <si>
    <t>05-1990</t>
  </si>
  <si>
    <t>Спортивно-пневматическая винтовка</t>
  </si>
  <si>
    <t>Видеокамера</t>
  </si>
  <si>
    <t>инв. 3120146. АРТИ2</t>
  </si>
  <si>
    <t>инв. 3120144. АРТИ1</t>
  </si>
  <si>
    <t>инв.10106183. Диаметр 70 см. Источник света в комплекте.</t>
  </si>
  <si>
    <t>1249</t>
  </si>
  <si>
    <t>инв.101040019. Microlab SOLO (2х30 Вт), материал дерево</t>
  </si>
  <si>
    <t>инв.10106421-25</t>
  </si>
  <si>
    <t>2.4.1657</t>
  </si>
  <si>
    <t>Шкаф холодильный</t>
  </si>
  <si>
    <t>Установка горизонтального бурения УГБ-2h</t>
  </si>
  <si>
    <t>2.4.0450</t>
  </si>
  <si>
    <t>2.4.0451</t>
  </si>
  <si>
    <t>2.4.0452</t>
  </si>
  <si>
    <t>Костюм "Джин"</t>
  </si>
  <si>
    <t>Кнопка тревож.сигнализации</t>
  </si>
  <si>
    <t>2420130213</t>
  </si>
  <si>
    <t>Пароконвектомат ПКА6-1/1ВМ</t>
  </si>
  <si>
    <t>Балалайка Альт</t>
  </si>
  <si>
    <t>ХII -1990 г.</t>
  </si>
  <si>
    <t>инв.10000476. МСЧ-128</t>
  </si>
  <si>
    <t>Распред пункт ПР -247206</t>
  </si>
  <si>
    <t>инв.3061035</t>
  </si>
  <si>
    <t>Радиосистема Karsect с 1 головн.передатчиком</t>
  </si>
  <si>
    <t>Холодильник "Свияга"</t>
  </si>
  <si>
    <t xml:space="preserve">Батут </t>
  </si>
  <si>
    <t>2.5.0606</t>
  </si>
  <si>
    <t>2.5.0607</t>
  </si>
  <si>
    <t>2.4.1218</t>
  </si>
  <si>
    <t>2.4.1219</t>
  </si>
  <si>
    <t>Бетономешалка 130 Е</t>
  </si>
  <si>
    <t>Комплект звукового оборудования</t>
  </si>
  <si>
    <t xml:space="preserve">Насос №2 315-71 с эл.двигателем </t>
  </si>
  <si>
    <t>2.4.1472</t>
  </si>
  <si>
    <t>2.4.1473</t>
  </si>
  <si>
    <t>121</t>
  </si>
  <si>
    <t>Ростомер с весами</t>
  </si>
  <si>
    <t>Сервиз чайный</t>
  </si>
  <si>
    <t>Трансформатор собственных нужд ТСН резерв 2-я очередь</t>
  </si>
  <si>
    <t>Спутниковая антенна</t>
  </si>
  <si>
    <t>Эл.сковорода СЭП-0,25 пт03</t>
  </si>
  <si>
    <t>инв.010106030</t>
  </si>
  <si>
    <t>50</t>
  </si>
  <si>
    <t>81</t>
  </si>
  <si>
    <t>79</t>
  </si>
  <si>
    <t>74</t>
  </si>
  <si>
    <t>383</t>
  </si>
  <si>
    <t>75</t>
  </si>
  <si>
    <t>59</t>
  </si>
  <si>
    <t>Шкаф силовой</t>
  </si>
  <si>
    <t>Гербарии иллюстр</t>
  </si>
  <si>
    <t>инв.13601044. Комплектация: установка, заливочный миксер УЗМ-20,30(ПАТ), бак промывочный БП-30,40, пистолет напылительный ПРС-10(б/ш), рукав 12-2,0, 6,3-2,0, 9-2,0</t>
  </si>
  <si>
    <t>инв.161013</t>
  </si>
  <si>
    <t>Комплект таб.по химии</t>
  </si>
  <si>
    <t>принтер/копир/сканер</t>
  </si>
  <si>
    <t>Саnon</t>
  </si>
  <si>
    <t>2.5.1251</t>
  </si>
  <si>
    <t>2.5.1252</t>
  </si>
  <si>
    <t>2.5.1253</t>
  </si>
  <si>
    <t>2.5.1254</t>
  </si>
  <si>
    <t>Дуга прямоугольная</t>
  </si>
  <si>
    <t>инв.1631935, 1631936</t>
  </si>
  <si>
    <t>Мешок для прыжков взрослый</t>
  </si>
  <si>
    <t>Набор из пластмассовых кирпичиков и обручей</t>
  </si>
  <si>
    <t>инв.1631940, 1631941. Материал - винил/ кожа</t>
  </si>
  <si>
    <t>инв.1631937, 1631938. Пластик</t>
  </si>
  <si>
    <t>инв.1631939. Состоит: тележка для спортивных принадл., палка гимнаст., обрус сборный, обруч, скакалка, набор кегли, игра "кольцеброс", мяч, набор "ракетки пляжные с мячом"</t>
  </si>
  <si>
    <t>муниципальный контракт на поставку товаров</t>
  </si>
  <si>
    <t>2.5.0938</t>
  </si>
  <si>
    <t>2.4.0787</t>
  </si>
  <si>
    <t>инв.10000456.ОАО "АХП", к.104</t>
  </si>
  <si>
    <t>Трансформатор ТМ 250-6/04 ТП 105 (47032307)</t>
  </si>
  <si>
    <t>инв.10000490.ОАО "АХП", БСХ</t>
  </si>
  <si>
    <t>2.4.1419</t>
  </si>
  <si>
    <t>2.4.1420</t>
  </si>
  <si>
    <t>Тумба+стол 08,05</t>
  </si>
  <si>
    <t>Тумба под ксерокс 08,05</t>
  </si>
  <si>
    <t>2.4.1551</t>
  </si>
  <si>
    <t>2.4.1552</t>
  </si>
  <si>
    <t>2.4.1553</t>
  </si>
  <si>
    <t>2.4.1554</t>
  </si>
  <si>
    <t>2.4.1555</t>
  </si>
  <si>
    <t>2.4.1556</t>
  </si>
  <si>
    <t>2.4.1557</t>
  </si>
  <si>
    <t>2.4.1211</t>
  </si>
  <si>
    <t>2.4.1212</t>
  </si>
  <si>
    <t>2.4.1213</t>
  </si>
  <si>
    <t>2.4.1214</t>
  </si>
  <si>
    <t>2.4.1161</t>
  </si>
  <si>
    <t>2.5.0244</t>
  </si>
  <si>
    <t>2.5.0245</t>
  </si>
  <si>
    <t>2.4.0824</t>
  </si>
  <si>
    <t>2.4.0825</t>
  </si>
  <si>
    <t>2.4.0826</t>
  </si>
  <si>
    <t>2.4.0827</t>
  </si>
  <si>
    <t>2.4.0828</t>
  </si>
  <si>
    <t>2.4.0829</t>
  </si>
  <si>
    <t>2.4.0830</t>
  </si>
  <si>
    <t>2.4.0831</t>
  </si>
  <si>
    <t>2.4.0832</t>
  </si>
  <si>
    <t>2.4.1389</t>
  </si>
  <si>
    <t>№ 89158604,оценка 2011</t>
  </si>
  <si>
    <t>2.4.0571</t>
  </si>
  <si>
    <t>2.4.0572</t>
  </si>
  <si>
    <t>2.4.0573</t>
  </si>
  <si>
    <t>2.4.0574</t>
  </si>
  <si>
    <t>2.4.0575</t>
  </si>
  <si>
    <t>2.5.0803</t>
  </si>
  <si>
    <t>2.5.0804</t>
  </si>
  <si>
    <t>2.5.0805</t>
  </si>
  <si>
    <t>2.5.0806</t>
  </si>
  <si>
    <t>2.5.0807</t>
  </si>
  <si>
    <t>2.5.0808</t>
  </si>
  <si>
    <t>2.5.0809</t>
  </si>
  <si>
    <t>2.5.0810</t>
  </si>
  <si>
    <t>2.5.0811</t>
  </si>
  <si>
    <t>2.5.0812</t>
  </si>
  <si>
    <t>2.5.0813</t>
  </si>
  <si>
    <t>2.5.0814</t>
  </si>
  <si>
    <t>2.5.0815</t>
  </si>
  <si>
    <t>2.5.0816</t>
  </si>
  <si>
    <t>2.5.0818</t>
  </si>
  <si>
    <t>2.5.0819</t>
  </si>
  <si>
    <t>2.5.0820</t>
  </si>
  <si>
    <t>2.5.0821</t>
  </si>
  <si>
    <t>2.5.0822</t>
  </si>
  <si>
    <t>2.5.1171</t>
  </si>
  <si>
    <t>инв.1380601</t>
  </si>
  <si>
    <t>Радиосистема</t>
  </si>
  <si>
    <t>1988</t>
  </si>
  <si>
    <t>Ширма для кукольного театра</t>
  </si>
  <si>
    <t>инв.10000550. Подсобное хозяйство, ТП-117</t>
  </si>
  <si>
    <t>инв.10000551. Корп.10 резерв</t>
  </si>
  <si>
    <t>инв.10000552. Дачи</t>
  </si>
  <si>
    <t>Трансформатор ТМ 250-6/0,4, ТП 121 (47051707)</t>
  </si>
  <si>
    <t>Трансформатор ТМ 250-6/0,4 ТП-260 (47051807)</t>
  </si>
  <si>
    <t>инв.10000553. Кв."А"-39, ТП-260</t>
  </si>
  <si>
    <t>Высоковольтное распределительное устройство камера КСО (47001607)</t>
  </si>
  <si>
    <t>Стенка "Кавказ"</t>
  </si>
  <si>
    <t>Стол компьютерный СК-2</t>
  </si>
  <si>
    <t>Ноутбук W914 ЕА НР</t>
  </si>
  <si>
    <t>инв.10106638. Качеля-бабочка, каркас метал. цветной. Высота 1,5 м, напольная</t>
  </si>
  <si>
    <t>2568; б/н</t>
  </si>
  <si>
    <t>Радиотелефон Панасоник</t>
  </si>
  <si>
    <t>Монитор ASER-V193</t>
  </si>
  <si>
    <t>МБУК "Городская библиотека" г.Яровое</t>
  </si>
  <si>
    <t>инв.1040015</t>
  </si>
  <si>
    <t>инв.01360210</t>
  </si>
  <si>
    <t>инв.1040019</t>
  </si>
  <si>
    <t>инв.1040022</t>
  </si>
  <si>
    <t>2.5.1099</t>
  </si>
  <si>
    <t>2.5.1100</t>
  </si>
  <si>
    <t>2.5.1101</t>
  </si>
  <si>
    <t>2.5.1102</t>
  </si>
  <si>
    <t>104; 204/10-08; 633</t>
  </si>
  <si>
    <t>приказ Управления Алтайского края по транспорту дорожного хоз.-ва и связи; акт приема-передачи; постановление</t>
  </si>
  <si>
    <t>Источник света к фибероптическому волокну "Мини"</t>
  </si>
  <si>
    <t>инв.10106179. Длина - 135мм, д.40мм</t>
  </si>
  <si>
    <t>2.5.0578</t>
  </si>
  <si>
    <t>26.09.2012</t>
  </si>
  <si>
    <t>Стенд для экспозиции "Истор.росс.немцев"</t>
  </si>
  <si>
    <t>Холодильник "Атлант"</t>
  </si>
  <si>
    <t>12-532</t>
  </si>
  <si>
    <t>2.4.1239</t>
  </si>
  <si>
    <t>2.4.1242</t>
  </si>
  <si>
    <t>2.4.1243</t>
  </si>
  <si>
    <t>2.5.0533.К</t>
  </si>
  <si>
    <t>2.5.0534.К</t>
  </si>
  <si>
    <t xml:space="preserve">Щит </t>
  </si>
  <si>
    <t>инв.10106295-309</t>
  </si>
  <si>
    <t>инв.010106097-99</t>
  </si>
  <si>
    <t>Уголок живой природы</t>
  </si>
  <si>
    <t>инв.010106103-105</t>
  </si>
  <si>
    <t xml:space="preserve">Синтезатор </t>
  </si>
  <si>
    <t>2.4.1582</t>
  </si>
  <si>
    <t>Ноутбук HP 2000-2d54SR</t>
  </si>
  <si>
    <t>2.4.1583</t>
  </si>
  <si>
    <t>Комплект "Вращение"</t>
  </si>
  <si>
    <t>инв.10104069-71</t>
  </si>
  <si>
    <t>Аккустическая система JMP 12</t>
  </si>
  <si>
    <t>инв.10104327</t>
  </si>
  <si>
    <t>2.5.1192</t>
  </si>
  <si>
    <t>Микроволновка MS 2080 Rolson</t>
  </si>
  <si>
    <t>2.5.1193</t>
  </si>
  <si>
    <t>Стол компьютерный с выдвижной панелью</t>
  </si>
  <si>
    <t>Реквизиты документа подтверждающего право владения объектом</t>
  </si>
  <si>
    <t>Номер</t>
  </si>
  <si>
    <t>распоряжение</t>
  </si>
  <si>
    <t>распоряжение; акт</t>
  </si>
  <si>
    <t>03.02.2009; 25.03.2009</t>
  </si>
  <si>
    <t>13-р; 1</t>
  </si>
  <si>
    <t>постановление</t>
  </si>
  <si>
    <t>№ 89160904,оценка 2011</t>
  </si>
  <si>
    <t>№ 89160804,оценка 2011</t>
  </si>
  <si>
    <t>2.5.0146</t>
  </si>
  <si>
    <t>Мегометр</t>
  </si>
  <si>
    <t>ЗМ340200М-50020732</t>
  </si>
  <si>
    <t>ХТН006615МО677685</t>
  </si>
  <si>
    <t>347544</t>
  </si>
  <si>
    <t>Р10-01Э</t>
  </si>
  <si>
    <t>2.4.0132</t>
  </si>
  <si>
    <t>2.4.0135</t>
  </si>
  <si>
    <t>2.4.0139</t>
  </si>
  <si>
    <t>инв.10104071, 10104073. В комплекте: системный блок N11S-1155 Celeron G1630 (2,8GHz/320Gb/4Gb/SVGA);монитор 18,5 SAMSUNG E 19A300N/Philips; клавиатура DEFENDER Element HB-520; манипулятор "мышь" Pointer MOP-10/01/01</t>
  </si>
  <si>
    <t>договор поставки оборудования</t>
  </si>
  <si>
    <t>Сварочный аппарат</t>
  </si>
  <si>
    <t>Монитор,системный блок, кл-ва,мышь, ИПБ, сет.фильтр</t>
  </si>
  <si>
    <t>R 3388174</t>
  </si>
  <si>
    <t>Скамья гимнастическая</t>
  </si>
  <si>
    <t>Доска интерактивная</t>
  </si>
  <si>
    <t xml:space="preserve">Контрольно-кассовый аппарат </t>
  </si>
  <si>
    <t>стоимость 1 шт. вазона - 2675,20 руб.;инв.89000031-35</t>
  </si>
  <si>
    <t>Пианино "Ритм"</t>
  </si>
  <si>
    <t>Монитор Самсунг 753</t>
  </si>
  <si>
    <t>2.4.1748</t>
  </si>
  <si>
    <t>2.4.1749</t>
  </si>
  <si>
    <t>2.4.1750</t>
  </si>
  <si>
    <t>2.4.1751</t>
  </si>
  <si>
    <t>2.4.1752</t>
  </si>
  <si>
    <t>2.4.1753</t>
  </si>
  <si>
    <t>2.4.1754</t>
  </si>
  <si>
    <t>2.4.1755</t>
  </si>
  <si>
    <t>Подраздел 2.4 "Машины и оборудование"</t>
  </si>
  <si>
    <t>2.4.1756</t>
  </si>
  <si>
    <t>2.4.1757</t>
  </si>
  <si>
    <t>2.4.1758</t>
  </si>
  <si>
    <t>2.4.1759</t>
  </si>
  <si>
    <t>2.4.1760</t>
  </si>
  <si>
    <t>2.4.1761</t>
  </si>
  <si>
    <t>2.4.1762</t>
  </si>
  <si>
    <t>2.4.1763</t>
  </si>
  <si>
    <t>2.4.1461</t>
  </si>
  <si>
    <t>Трансформатор ТМФ400-6/0,4 ТП-257/2 (47041707)</t>
  </si>
  <si>
    <t>30.07.2012</t>
  </si>
  <si>
    <t>Синтезатор "Ямаха - 230"</t>
  </si>
  <si>
    <t>Усилитель ROAD READY RB 250</t>
  </si>
  <si>
    <t xml:space="preserve">Стенд </t>
  </si>
  <si>
    <t>инв.10104157</t>
  </si>
  <si>
    <t>Гидробур</t>
  </si>
  <si>
    <t>152</t>
  </si>
  <si>
    <t>Батарея аккумуляторная БТ 350</t>
  </si>
  <si>
    <t>инв.10106804-10</t>
  </si>
  <si>
    <t>инв.10106559</t>
  </si>
  <si>
    <t>Аппарат д/УВЧ-терапии</t>
  </si>
  <si>
    <t>Шкаф расстоечный РШ-10Н</t>
  </si>
  <si>
    <t>инв.10106194</t>
  </si>
  <si>
    <t>2.5.1194</t>
  </si>
  <si>
    <t>Шкаф для бумаг со стеклом</t>
  </si>
  <si>
    <t>инв.10106168</t>
  </si>
  <si>
    <t>2.5.1195</t>
  </si>
  <si>
    <t>Набор мебели "Днепр"</t>
  </si>
  <si>
    <t>10-2006</t>
  </si>
  <si>
    <t>2.4.1204</t>
  </si>
  <si>
    <t>2.4.1205</t>
  </si>
  <si>
    <t>Торс человека</t>
  </si>
  <si>
    <t>инв.10104005</t>
  </si>
  <si>
    <t>инв.10106227-228</t>
  </si>
  <si>
    <t>инв.10106141</t>
  </si>
  <si>
    <t>инв.10106144</t>
  </si>
  <si>
    <t>инв.10106154</t>
  </si>
  <si>
    <t>инв.10106255</t>
  </si>
  <si>
    <t>944</t>
  </si>
  <si>
    <t>943</t>
  </si>
  <si>
    <t>16.10.2014</t>
  </si>
  <si>
    <t>942</t>
  </si>
  <si>
    <t>X - 2000</t>
  </si>
  <si>
    <t/>
  </si>
  <si>
    <t>Кондиционер CHIGO</t>
  </si>
  <si>
    <t>Принтер/сканер/копир LaserJet</t>
  </si>
  <si>
    <t>Трансформатор сил. 3 х фаз. ТП-283 ТМ560-6/0,4 (47022807)</t>
  </si>
  <si>
    <t>инв.10000460. район бани</t>
  </si>
  <si>
    <t>инв.10106021-23</t>
  </si>
  <si>
    <t>2.2.0048</t>
  </si>
  <si>
    <t>с/ф № 141</t>
  </si>
  <si>
    <t>Монитор Acer</t>
  </si>
  <si>
    <t>инв.11042013</t>
  </si>
  <si>
    <t>Тревожная сигнализация</t>
  </si>
  <si>
    <t>счет № 795</t>
  </si>
  <si>
    <t>инв.22012</t>
  </si>
  <si>
    <t>Эл. двигатель (лебедка)</t>
  </si>
  <si>
    <t>Световой прибор Mikro Color с лампой</t>
  </si>
  <si>
    <t>Ванна односекционная</t>
  </si>
  <si>
    <t>Агрегат бензоэлектрический АБ-4 (47100007)</t>
  </si>
  <si>
    <t>инв.10000666. РТП110/6, корп.157</t>
  </si>
  <si>
    <t>Усилитель высокочастотный ВЧУ-1 (47000109, 47000209)</t>
  </si>
  <si>
    <t>инв.10000667, 10000668. РТП110/6, корп.157</t>
  </si>
  <si>
    <t>2.4.1621</t>
  </si>
  <si>
    <t>8/2520140059</t>
  </si>
  <si>
    <t>инв.101041016.Canon LBR-6020, буферная память USB 2,0</t>
  </si>
  <si>
    <t>2.4.0143</t>
  </si>
  <si>
    <t>2.4.0202</t>
  </si>
  <si>
    <t>2.4.0203</t>
  </si>
  <si>
    <t>2.4.0212</t>
  </si>
  <si>
    <t>2.4.0217</t>
  </si>
  <si>
    <t>2.4.0218</t>
  </si>
  <si>
    <t>2.4.0219</t>
  </si>
  <si>
    <t>2.4.0220</t>
  </si>
  <si>
    <t>Пианино "Иртыш-2"</t>
  </si>
  <si>
    <t>Телевизор "Daewoo"</t>
  </si>
  <si>
    <t xml:space="preserve">Гитара </t>
  </si>
  <si>
    <t>Радиосистема SG-922 (2 микрофона)</t>
  </si>
  <si>
    <t>Балалайка "Альт"</t>
  </si>
  <si>
    <t>Балалайка "Прима"</t>
  </si>
  <si>
    <t>Домра бас</t>
  </si>
  <si>
    <t>Фортепиано Rolsen</t>
  </si>
  <si>
    <t>07.06.13</t>
  </si>
  <si>
    <t>инв.210106200060</t>
  </si>
  <si>
    <t>2.5.0476</t>
  </si>
  <si>
    <t>приказ</t>
  </si>
  <si>
    <t>2.4.0683</t>
  </si>
  <si>
    <t>2.4.0684</t>
  </si>
  <si>
    <t>2.4.0685</t>
  </si>
  <si>
    <t>2.4.0686</t>
  </si>
  <si>
    <t>2.4.0687</t>
  </si>
  <si>
    <t>2.4.0688</t>
  </si>
  <si>
    <t>2.4.0689</t>
  </si>
  <si>
    <t>2.4.0690</t>
  </si>
  <si>
    <t>2.4.0691</t>
  </si>
  <si>
    <t>2.4.0692</t>
  </si>
  <si>
    <t>2.4.0693</t>
  </si>
  <si>
    <t>2.4.0694</t>
  </si>
  <si>
    <t>2.4.0695</t>
  </si>
  <si>
    <t>2.4.0696</t>
  </si>
  <si>
    <t>2.4.0697</t>
  </si>
  <si>
    <t>2.4.0698</t>
  </si>
  <si>
    <t>2.4.0699</t>
  </si>
  <si>
    <t>инв.210104200011. ТУ-100У-101, зав. №001204</t>
  </si>
  <si>
    <t>инв.01340002. ПР-П-З08 зав. № 1931</t>
  </si>
  <si>
    <t>инв.0138046. Глубина от 60 до 100 м</t>
  </si>
  <si>
    <t>1989</t>
  </si>
  <si>
    <t>распоряжение Администрации Алтайского края; акт приемки-передачи</t>
  </si>
  <si>
    <t>13.05.2008; 02.06.2008</t>
  </si>
  <si>
    <t>Трансформатор сил-й ТМ250-6/04, ТП-235 (47065507)</t>
  </si>
  <si>
    <t>инв.10000627. Ул.Михайловская, ТП-235</t>
  </si>
  <si>
    <t>2.4.1879</t>
  </si>
  <si>
    <t>2.4.1880</t>
  </si>
  <si>
    <t>инв. 1380007</t>
  </si>
  <si>
    <t>2.4.1881</t>
  </si>
  <si>
    <t>2.4.1882</t>
  </si>
  <si>
    <t>инв. 210106200007. ДСП на 3 блока</t>
  </si>
  <si>
    <t xml:space="preserve">12.02.2007 </t>
  </si>
  <si>
    <t>HP LJ 1020</t>
  </si>
  <si>
    <t>Эквалайзер Behringer GEQ 3102</t>
  </si>
  <si>
    <t>2.5.0346</t>
  </si>
  <si>
    <t>2.5.0353</t>
  </si>
  <si>
    <t>2.5.0356</t>
  </si>
  <si>
    <t>2.5.0357</t>
  </si>
  <si>
    <t>Трансформатор ТМ250-6/0,4   ТП-106 дачи (47028207)</t>
  </si>
  <si>
    <t>инв.10000486. дачи</t>
  </si>
  <si>
    <t>инв.10000381, 10000382. ОАО "АХП"</t>
  </si>
  <si>
    <t xml:space="preserve">Видеопроектор </t>
  </si>
  <si>
    <t>2.4.1247</t>
  </si>
  <si>
    <t>Стол угловой 1800*1200</t>
  </si>
  <si>
    <t>инв.10106302</t>
  </si>
  <si>
    <t>2.5.1199</t>
  </si>
  <si>
    <t>Болгарка УШМ-125/1100Э/1100 Вт, 3000-1000 об/мин</t>
  </si>
  <si>
    <t>инв.10106170</t>
  </si>
  <si>
    <t>926</t>
  </si>
  <si>
    <t>Перфоратор</t>
  </si>
  <si>
    <t>Усилитель Yamaha Р2500S</t>
  </si>
  <si>
    <t>Пожарная сигнализация</t>
  </si>
  <si>
    <t>2.4.0833</t>
  </si>
  <si>
    <t>2.4.0834</t>
  </si>
  <si>
    <t>2.4.0835</t>
  </si>
  <si>
    <t>2.4.0836</t>
  </si>
  <si>
    <t>2.4.0837</t>
  </si>
  <si>
    <t>1605216</t>
  </si>
  <si>
    <t xml:space="preserve">Ноутбук 15.6" </t>
  </si>
  <si>
    <t>инв.3120136</t>
  </si>
  <si>
    <t>инв.312137</t>
  </si>
  <si>
    <t>цистерна</t>
  </si>
  <si>
    <t>918</t>
  </si>
  <si>
    <t>23.12.2011</t>
  </si>
  <si>
    <t>115; 341</t>
  </si>
  <si>
    <t>04.05.2011; 13.08.2011</t>
  </si>
  <si>
    <t>44; 7</t>
  </si>
  <si>
    <t>каркасной конструкции</t>
  </si>
  <si>
    <t>инв.10106578-80</t>
  </si>
  <si>
    <t>Источник бесперебойного питания</t>
  </si>
  <si>
    <t>366534</t>
  </si>
  <si>
    <t>Устройство дуговой защиты</t>
  </si>
  <si>
    <t>Эл.двигатель 250 кВт 1500 об/мин</t>
  </si>
  <si>
    <t>инв.210104200004. ЭКР 2102  К</t>
  </si>
  <si>
    <t>акт проверки факт.наличия насаждений в Городском парке Культуры и отдыха</t>
  </si>
  <si>
    <t>734</t>
  </si>
  <si>
    <t>Винтовка МР-512-26</t>
  </si>
  <si>
    <t>Балалайка мастеровая</t>
  </si>
  <si>
    <t>Книжный шкаф для библиотек</t>
  </si>
  <si>
    <t>Шар красный</t>
  </si>
  <si>
    <t>Шар золото</t>
  </si>
  <si>
    <t>Колокольчик красный</t>
  </si>
  <si>
    <t>Колокольчик золото</t>
  </si>
  <si>
    <t>Офисная мебель</t>
  </si>
  <si>
    <t>инв.</t>
  </si>
  <si>
    <t>Распред щит 51/РУТ</t>
  </si>
  <si>
    <t>Дрель ударная</t>
  </si>
  <si>
    <t>инв.10104147-49</t>
  </si>
  <si>
    <t>DVD BBK DV 15 Si</t>
  </si>
  <si>
    <t>инв. 210106300013. ЩСУ -3; ТУ-18-536-042-75</t>
  </si>
  <si>
    <t>2.4.2264</t>
  </si>
  <si>
    <t>Шкаф в кабинет</t>
  </si>
  <si>
    <t>инв.3120152</t>
  </si>
  <si>
    <t>2.4.1635</t>
  </si>
  <si>
    <t>контракт на поставку системных блоков, мониторов, клавиатур, манипуляторов "мышь"</t>
  </si>
  <si>
    <t>инв.10106639.Каркас метал., цветной. Высота 1,7 м, напольная.</t>
  </si>
  <si>
    <t>Станок универс. деревообрабатывающий</t>
  </si>
  <si>
    <t>21067 9844746</t>
  </si>
  <si>
    <t>инв.10104252</t>
  </si>
  <si>
    <t>инв.10104348</t>
  </si>
  <si>
    <t>инв.10104352</t>
  </si>
  <si>
    <t>инв.01380455</t>
  </si>
  <si>
    <t>инв.01380008</t>
  </si>
  <si>
    <t>Скамья (тренажер)</t>
  </si>
  <si>
    <t>инв.10106268</t>
  </si>
  <si>
    <t>распоряжение Администрации г.Яровое; распоряжение Администрации г.Яровое</t>
  </si>
  <si>
    <t>Насос Гном 53*10 380 В (89422444)</t>
  </si>
  <si>
    <t>Степлер Rapid 12/16</t>
  </si>
  <si>
    <t>Брошюровщик Bulros 2000</t>
  </si>
  <si>
    <t>2.4.1445</t>
  </si>
  <si>
    <t>2.4.1446</t>
  </si>
  <si>
    <t>2.4.1704</t>
  </si>
  <si>
    <t>Холодильник "Атланд"</t>
  </si>
  <si>
    <t>2.4.0858</t>
  </si>
  <si>
    <t>2.4.0863</t>
  </si>
  <si>
    <t>2.4.0864</t>
  </si>
  <si>
    <t>2.4.0859</t>
  </si>
  <si>
    <t>2.4.0857</t>
  </si>
  <si>
    <t>2.4.0860</t>
  </si>
  <si>
    <t>2.4.0861</t>
  </si>
  <si>
    <t>Машинка пишущая "Листвица"</t>
  </si>
  <si>
    <t>Тренажеры</t>
  </si>
  <si>
    <t>инв.3061004</t>
  </si>
  <si>
    <t>Станок фуговальный</t>
  </si>
  <si>
    <t>2.4.2326</t>
  </si>
  <si>
    <t>2.4.2327</t>
  </si>
  <si>
    <t>2.4.2328</t>
  </si>
  <si>
    <t>2.4.2329</t>
  </si>
  <si>
    <t>Световой столик для рисования песком</t>
  </si>
  <si>
    <t>2.5.0563</t>
  </si>
  <si>
    <t>инв.10106637</t>
  </si>
  <si>
    <t>16.12.2014</t>
  </si>
  <si>
    <t>2.4.1620</t>
  </si>
  <si>
    <t>Бак аккумулятор V-700 м3</t>
  </si>
  <si>
    <t>счет - фактура (край)</t>
  </si>
  <si>
    <t>инв.11049</t>
  </si>
  <si>
    <t>инв.11161</t>
  </si>
  <si>
    <t xml:space="preserve">Набор мод.кристал.решеток </t>
  </si>
  <si>
    <t>инв.43001607</t>
  </si>
  <si>
    <t xml:space="preserve">Автобус, гос.номер Т 888 СК </t>
  </si>
  <si>
    <t>Стол демонстрационный</t>
  </si>
  <si>
    <t>2004г.</t>
  </si>
  <si>
    <t>Системный блок S-775/P4</t>
  </si>
  <si>
    <t>Часы "Электроника-7-06"</t>
  </si>
  <si>
    <t>Компьютер CLX</t>
  </si>
  <si>
    <t>2.4.1208</t>
  </si>
  <si>
    <t>2.4.1209</t>
  </si>
  <si>
    <t>2.4.1210</t>
  </si>
  <si>
    <t>302-р</t>
  </si>
  <si>
    <t>168/08</t>
  </si>
  <si>
    <t>извещение</t>
  </si>
  <si>
    <t>счет</t>
  </si>
  <si>
    <t xml:space="preserve">договор поставки товара </t>
  </si>
  <si>
    <t>BZ-96/09</t>
  </si>
  <si>
    <t xml:space="preserve">договор пожертвования </t>
  </si>
  <si>
    <t>2.4.1545</t>
  </si>
  <si>
    <t>Насос №1 Д-315-71с эл.двигателем Тип АО 2-92-240</t>
  </si>
  <si>
    <t>Басгитара ESP LB-55MS</t>
  </si>
  <si>
    <t>2011</t>
  </si>
  <si>
    <t>449</t>
  </si>
  <si>
    <t>592</t>
  </si>
  <si>
    <t>733</t>
  </si>
  <si>
    <t>901</t>
  </si>
  <si>
    <t>649</t>
  </si>
  <si>
    <t>договор купли-продажи</t>
  </si>
  <si>
    <t>Кондиционер</t>
  </si>
  <si>
    <t>2.4.0768</t>
  </si>
  <si>
    <t>инв.10106710. Изготовлен из ЛДСП. Состоит из 2 закрывающихся тумб.</t>
  </si>
  <si>
    <t>Столик (детское трюмо)</t>
  </si>
  <si>
    <t>инв.10106711. Состоит из одной закрывающейся тумбы, двух открытых полочек, сверху расположено зеркало</t>
  </si>
  <si>
    <t>13.11.2014</t>
  </si>
  <si>
    <t>2.5.0795</t>
  </si>
  <si>
    <t>2.5.0796</t>
  </si>
  <si>
    <t>2.5.0797</t>
  </si>
  <si>
    <t>2.5.0798</t>
  </si>
  <si>
    <t>2.5.0799</t>
  </si>
  <si>
    <t>2.5.0800</t>
  </si>
  <si>
    <t>2.5.0801</t>
  </si>
  <si>
    <t>2.5.0802</t>
  </si>
  <si>
    <t>инв.1380004</t>
  </si>
  <si>
    <t>21213-5300615</t>
  </si>
  <si>
    <t>*40620D*63012315*</t>
  </si>
  <si>
    <t>31020060  152024</t>
  </si>
  <si>
    <t>инв.№ 210106300087</t>
  </si>
  <si>
    <t>пост.651 от 22.07.2014</t>
  </si>
  <si>
    <t>Принтер лазерный CANON-Sensys LBR</t>
  </si>
  <si>
    <t xml:space="preserve">инв.10106949. 1500Вт, 750 об/мин, ручной электрический </t>
  </si>
  <si>
    <t xml:space="preserve">Перфоратор ПРЭ-9 </t>
  </si>
  <si>
    <t>Тент автомобильный</t>
  </si>
  <si>
    <t>инв.10104049, 92, 94</t>
  </si>
  <si>
    <t>инв.10106052</t>
  </si>
  <si>
    <t>2920130164</t>
  </si>
  <si>
    <t>902</t>
  </si>
  <si>
    <t>16/2820130096</t>
  </si>
  <si>
    <t>615</t>
  </si>
  <si>
    <t>2820130232</t>
  </si>
  <si>
    <t>2820130225</t>
  </si>
  <si>
    <t>2.4.0770</t>
  </si>
  <si>
    <t>2.4.0771</t>
  </si>
  <si>
    <t>Выпрямительное устройство  ВС  (47045907, 47046007)</t>
  </si>
  <si>
    <t>инв.10000620. ОАО "АХП", ЦРП-2</t>
  </si>
  <si>
    <t xml:space="preserve">Мармит универсальный </t>
  </si>
  <si>
    <t>387</t>
  </si>
  <si>
    <t xml:space="preserve">Трансформер "Паровоз" </t>
  </si>
  <si>
    <t>Оборудование световое для сцены</t>
  </si>
  <si>
    <t>контракт на поставку мягких игровых модулей и мягкой детской мебели</t>
  </si>
  <si>
    <t>2.4.1266</t>
  </si>
  <si>
    <t>2.4.1931</t>
  </si>
  <si>
    <t>2.4.1932</t>
  </si>
  <si>
    <t>инв.10000401-10000411. ОАО "АХП"</t>
  </si>
  <si>
    <t>Электроталь</t>
  </si>
  <si>
    <t>инв.20401011</t>
  </si>
  <si>
    <t>Кондиционер CHIGO KFR-66G</t>
  </si>
  <si>
    <t>инв.10106164.3 элемента: ступенька, папка,горка скругленная</t>
  </si>
  <si>
    <t>ХТА217130В0058801</t>
  </si>
  <si>
    <t>30.09.2011</t>
  </si>
  <si>
    <t>08.08.2009; 12.10.2010</t>
  </si>
  <si>
    <t xml:space="preserve">инв.1631929. Мебель стенка из 2 секций, длина - 2650 мм, с 3 полками, 1одноств.шкафчиком, 4 выдвиг.ящиками и 6 навесными полочками </t>
  </si>
  <si>
    <t>Фибероптический модуль "Веселое облако"</t>
  </si>
  <si>
    <t>инв.10106665. Размер 150*100*200</t>
  </si>
  <si>
    <t>контракт на поставку сенсорного оборудования</t>
  </si>
  <si>
    <t>2.5.1266</t>
  </si>
  <si>
    <t>Комплекты "Сенсорный уголок" с 1 колонной</t>
  </si>
  <si>
    <t>инв.10106670. Размер 100*10*20</t>
  </si>
  <si>
    <t>2.5.1267</t>
  </si>
  <si>
    <t>Ковёр настенный "Звездное небо"</t>
  </si>
  <si>
    <t>инв.10106671. Размер 100*100</t>
  </si>
  <si>
    <t>2.5.1268</t>
  </si>
  <si>
    <t>Стол-планшет для рисования песком</t>
  </si>
  <si>
    <t>инв.10106672. С кармашками для песка, подвеска светодиод-ная разноцветная, с пультом управления режимами. Размер 30*50*10</t>
  </si>
  <si>
    <t>2.5.1269</t>
  </si>
  <si>
    <t>Интерактивная светозву-ковая панель "Лесная полянка "</t>
  </si>
  <si>
    <t>инв.10106674. Размер 50*70</t>
  </si>
  <si>
    <t>2.5.1270</t>
  </si>
  <si>
    <t>Безопасное настенное зеркало с у/ф подстветкой светящимися нитями "Загадочный свет"</t>
  </si>
  <si>
    <t>инв.10106673. Размер 60*90</t>
  </si>
  <si>
    <t>2.5.1271</t>
  </si>
  <si>
    <t>Напольный конструктор Поликарпова</t>
  </si>
  <si>
    <t>инв.1631943-1631948. Деревянный, 68 деталей</t>
  </si>
  <si>
    <t>контракт на поставку товаров</t>
  </si>
  <si>
    <t>115/2015/272015109</t>
  </si>
  <si>
    <t>Диван из винилкожи</t>
  </si>
  <si>
    <t>2.5.0943</t>
  </si>
  <si>
    <t>2.5.0944</t>
  </si>
  <si>
    <t>2.5.0946</t>
  </si>
  <si>
    <t>2.5.0947</t>
  </si>
  <si>
    <t>2.5.0948</t>
  </si>
  <si>
    <t xml:space="preserve">инв.10106596 </t>
  </si>
  <si>
    <t>Туннель</t>
  </si>
  <si>
    <t>2.5.0691</t>
  </si>
  <si>
    <t>Набор демонстр."Ванна" волн</t>
  </si>
  <si>
    <t>188-р</t>
  </si>
  <si>
    <t>12.2001</t>
  </si>
  <si>
    <t>11.2007</t>
  </si>
  <si>
    <t>04.2008</t>
  </si>
  <si>
    <t>Машинка швейная 01,05</t>
  </si>
  <si>
    <t>73</t>
  </si>
  <si>
    <t>22</t>
  </si>
  <si>
    <t>Музыкальный центр</t>
  </si>
  <si>
    <t>4955</t>
  </si>
  <si>
    <t>2.4.1663</t>
  </si>
  <si>
    <t>Игровой комплекс "Горка с качелями"</t>
  </si>
  <si>
    <t>2.4.1226</t>
  </si>
  <si>
    <t>2.4.1229</t>
  </si>
  <si>
    <t>2.4.1230</t>
  </si>
  <si>
    <t>2.4.1232</t>
  </si>
  <si>
    <t>2.4.1236</t>
  </si>
  <si>
    <t>инв.10116324. 3 модуля, 120х60</t>
  </si>
  <si>
    <t xml:space="preserve">Набор модульный № 5  </t>
  </si>
  <si>
    <t>инв.10116327. 4 модуля, 180х120</t>
  </si>
  <si>
    <t>720</t>
  </si>
  <si>
    <t>ИП Шнейдер А.А.</t>
  </si>
  <si>
    <t>2.5.0573</t>
  </si>
  <si>
    <t>Шар зеркальный 20 с приводом вращения</t>
  </si>
  <si>
    <t>инв.10106174. Диаметр 20 см</t>
  </si>
  <si>
    <t>2.5.0574</t>
  </si>
  <si>
    <t>Прожектор "Мультицвет" для зеркального шара</t>
  </si>
  <si>
    <t>2.5.0575</t>
  </si>
  <si>
    <t>Плуг</t>
  </si>
  <si>
    <t>2.5.0677</t>
  </si>
  <si>
    <t>2.5.0678</t>
  </si>
  <si>
    <t>Полка для хлеба</t>
  </si>
  <si>
    <t>инв.10106615</t>
  </si>
  <si>
    <t>.2008</t>
  </si>
  <si>
    <t>Цифровая видеокамера Panasonic SDR-H60</t>
  </si>
  <si>
    <t>инв.37002509</t>
  </si>
  <si>
    <t>инв.37002609</t>
  </si>
  <si>
    <t>инв.37033809</t>
  </si>
  <si>
    <t>Стол угловой комп.</t>
  </si>
  <si>
    <t>инв.10106668-672</t>
  </si>
  <si>
    <t>инв.3040912</t>
  </si>
  <si>
    <t>инв.2060949</t>
  </si>
  <si>
    <t>инв.3060985</t>
  </si>
  <si>
    <t>инв.3061019.  (отдел кадров)</t>
  </si>
  <si>
    <t>Агрегат насосный СМ 12-100-250-4   с двигателем АД 160S4У3</t>
  </si>
  <si>
    <t>09-2006</t>
  </si>
  <si>
    <t>41</t>
  </si>
  <si>
    <t>Световое оборудование</t>
  </si>
  <si>
    <t>2.5.0328</t>
  </si>
  <si>
    <t xml:space="preserve">Счетчик-расходомер зл.магнитный </t>
  </si>
  <si>
    <t>Высоковольтное распределительное устройство 26 камер КСО (47001407, 47001507)</t>
  </si>
  <si>
    <t>Плита электрическая ПКЭ-4ПР-1070/860-ШС</t>
  </si>
  <si>
    <t>инв.10106905</t>
  </si>
  <si>
    <t>2.4.1919</t>
  </si>
  <si>
    <t>инв.10104160</t>
  </si>
  <si>
    <t>инв.10104705</t>
  </si>
  <si>
    <t>2.4.2402</t>
  </si>
  <si>
    <t>Фотометр "Эксперт-003"</t>
  </si>
  <si>
    <t>инв.210106300110</t>
  </si>
  <si>
    <t>131/6220150068</t>
  </si>
  <si>
    <t>Гитара акустическая</t>
  </si>
  <si>
    <t>инв. 3120124. Классик YAMAHA</t>
  </si>
  <si>
    <t>инв.3120148. Ronisch</t>
  </si>
  <si>
    <t>Фортепиано</t>
  </si>
  <si>
    <t>2.4.1671</t>
  </si>
  <si>
    <t>инв.3120147. Epson Stylus Photo P50</t>
  </si>
  <si>
    <t>Музыкальный центр SC-VK670EE-K-DVD</t>
  </si>
  <si>
    <t>Пианино</t>
  </si>
  <si>
    <t>1059</t>
  </si>
  <si>
    <t>инв.37039709</t>
  </si>
  <si>
    <t>Аста прилавок холодильный ПВВ</t>
  </si>
  <si>
    <t>2.5.0780</t>
  </si>
  <si>
    <t>2.5.0781</t>
  </si>
  <si>
    <t>2.5.0783</t>
  </si>
  <si>
    <t>2.5.0784</t>
  </si>
  <si>
    <t>2.5.0785</t>
  </si>
  <si>
    <t>2.5.0786</t>
  </si>
  <si>
    <t>2.5.0787</t>
  </si>
  <si>
    <t>2.5.0788</t>
  </si>
  <si>
    <t>2.4.2082</t>
  </si>
  <si>
    <t>2.4.2083</t>
  </si>
  <si>
    <t>Спирометр ССП</t>
  </si>
  <si>
    <t>инв.10106300</t>
  </si>
  <si>
    <t>инв. 10106751-55</t>
  </si>
  <si>
    <t>товарный чек</t>
  </si>
  <si>
    <t>0000000982</t>
  </si>
  <si>
    <t>Светофорный объект</t>
  </si>
  <si>
    <t>Экран</t>
  </si>
  <si>
    <t>инв.1380438</t>
  </si>
  <si>
    <t>Холодильник</t>
  </si>
  <si>
    <t>.2009</t>
  </si>
  <si>
    <t>Лабиринт</t>
  </si>
  <si>
    <t>инв.10000614. Ул.Солнечная, ТП-248</t>
  </si>
  <si>
    <t>Трансформатор ТМФ400-6/0,4   ТП-259/1  (47062507)</t>
  </si>
  <si>
    <t>инв.10000617.  ОАО "АХП", ЦРП-12</t>
  </si>
  <si>
    <t>Мотокоса</t>
  </si>
  <si>
    <t>Мультиамедиа-проектор</t>
  </si>
  <si>
    <t>Комплект компьютерного оборудования</t>
  </si>
  <si>
    <t>Фрезерная машина</t>
  </si>
  <si>
    <t>инв.10000593-10000595. ОАО "АХП", ЦРП-10</t>
  </si>
  <si>
    <t>инв.210106300092</t>
  </si>
  <si>
    <t>инв.210106300025</t>
  </si>
  <si>
    <t>инв.210106200048</t>
  </si>
  <si>
    <t>инв.10106734</t>
  </si>
  <si>
    <t>2.4.2382</t>
  </si>
  <si>
    <t>2.4.2383</t>
  </si>
  <si>
    <t>Трансформатор ТМ 400-6/0,4 ТП 255/1 (47051907)</t>
  </si>
  <si>
    <t xml:space="preserve">инв.10000554. Кв."А" д.35 </t>
  </si>
  <si>
    <t>2.5.0669</t>
  </si>
  <si>
    <t>2.5.0670</t>
  </si>
  <si>
    <t>2.5.0671</t>
  </si>
  <si>
    <t>инв.10106010</t>
  </si>
  <si>
    <t>инв.10106009</t>
  </si>
  <si>
    <t>инв.10106011</t>
  </si>
  <si>
    <t>ПК Pentium -4</t>
  </si>
  <si>
    <t>2.4.0738.К</t>
  </si>
  <si>
    <t>2.4.0739.К</t>
  </si>
  <si>
    <t>2.4.0793.К</t>
  </si>
  <si>
    <t>Доска для пресса (изогнутая)</t>
  </si>
  <si>
    <t>Тренажер для пресса</t>
  </si>
  <si>
    <t>Кольцо баскетбольное</t>
  </si>
  <si>
    <t>31100010   461280</t>
  </si>
  <si>
    <t xml:space="preserve">Насос   </t>
  </si>
  <si>
    <t>2.5.0571</t>
  </si>
  <si>
    <t>2.5.0572</t>
  </si>
  <si>
    <t>Комплект "Сенсорный уголок"</t>
  </si>
  <si>
    <t>25.12.2014</t>
  </si>
  <si>
    <t xml:space="preserve">168-р; 176 </t>
  </si>
  <si>
    <t>142-р</t>
  </si>
  <si>
    <t>492</t>
  </si>
  <si>
    <t>559; 10-11-30</t>
  </si>
  <si>
    <t xml:space="preserve">198-р </t>
  </si>
  <si>
    <t xml:space="preserve">67-р </t>
  </si>
  <si>
    <t>Кол-во объектов</t>
  </si>
  <si>
    <t>Сведения об установленных в отношении муниципального имущества ограничениях (обременениях)</t>
  </si>
  <si>
    <t>инв.1034113. На пересечении ул.Мира и ул.Гагарина. Светофор пешеходный светодиодный-4 шт.; контроллер дорожный универсальный - 1 шт.; автоматич.выключатель - 2шт.; щит учетно-распределительный - 1шт.; счетчик э/эн однофазный - 1 шт.; кабели и провода 36м, 214м, 58м, 118м. Канат двойной свивки - 74м, колодка клемная - 3 шт., стойки д/знаков и светофоров - 22 шт., комплект крепления - 10 шт., дорожные знаки - 14 шт. Заземляющие устройства.</t>
  </si>
  <si>
    <t>Набор комп.техники</t>
  </si>
  <si>
    <t>Камера КСО 386 ТП-249 (47100107)</t>
  </si>
  <si>
    <t>Сварочное оборудование для п/э ССПТ-315</t>
  </si>
  <si>
    <t>2.5.0551</t>
  </si>
  <si>
    <t>2.5.0552</t>
  </si>
  <si>
    <t xml:space="preserve">инв.10134108. Nikon P350 Black (16,1MPixCMOS42xZoomSDTFT3 FullHD ENEL5) с акссесуарами  </t>
  </si>
  <si>
    <t>инв.10106343</t>
  </si>
  <si>
    <t>Станок фрезерный</t>
  </si>
  <si>
    <t>договор пожерствования</t>
  </si>
  <si>
    <t>Ксерокс Саnоn РС-220 IЕ</t>
  </si>
  <si>
    <t>Пианино "Красный октябрь"</t>
  </si>
  <si>
    <t>инв.210106300050</t>
  </si>
  <si>
    <t>Лавка двухсторонняя</t>
  </si>
  <si>
    <t>2.5.0679</t>
  </si>
  <si>
    <t>2.5.0680</t>
  </si>
  <si>
    <t>2.5.0681</t>
  </si>
  <si>
    <t>инв.ВА 0000000019</t>
  </si>
  <si>
    <t>Стенка детская "Волна"</t>
  </si>
  <si>
    <t>инв.10000467. училище 39</t>
  </si>
  <si>
    <t>инв.10000468. ул.Перекопская</t>
  </si>
  <si>
    <t>инв.10000469. ТП-286</t>
  </si>
  <si>
    <t>Трансформатор сил.ТМ200-6/0,4 ТП-256/1 (47024007)</t>
  </si>
  <si>
    <t>Тактильная панель № 2 "Фибероптическая"</t>
  </si>
  <si>
    <t>Мат спортивный</t>
  </si>
  <si>
    <t>18.05.12</t>
  </si>
  <si>
    <t>1</t>
  </si>
  <si>
    <t>Водонагреватель Thermex RZL 100-VS</t>
  </si>
  <si>
    <t>ХII - 1982</t>
  </si>
  <si>
    <t>160_18/2920130223</t>
  </si>
  <si>
    <t>О-007103</t>
  </si>
  <si>
    <t>Элемент "Лиана"</t>
  </si>
  <si>
    <t>2ПТС-4</t>
  </si>
  <si>
    <t>2.4.2051</t>
  </si>
  <si>
    <t>2.4.2052</t>
  </si>
  <si>
    <t>2.4.2053</t>
  </si>
  <si>
    <t>2.4.2055</t>
  </si>
  <si>
    <t>инв.3061056/а</t>
  </si>
  <si>
    <t>инв.3040911</t>
  </si>
  <si>
    <t>договор на поставку комплекта компьютерных диагностических методик "Психология в школе"</t>
  </si>
  <si>
    <t>49/2420140055</t>
  </si>
  <si>
    <t>2.4.0804</t>
  </si>
  <si>
    <t>2.4.0805</t>
  </si>
  <si>
    <t>2.4.0806</t>
  </si>
  <si>
    <t>Копировальный аппарат</t>
  </si>
  <si>
    <t>Компрессор передвижной</t>
  </si>
  <si>
    <t>постановление; договор ссуды</t>
  </si>
  <si>
    <t xml:space="preserve">постановление </t>
  </si>
  <si>
    <t>Трансформатор ТМ400-6/04, РТП110/6 ТСН (47069407)</t>
  </si>
  <si>
    <t>инв.1380044</t>
  </si>
  <si>
    <t>инв.10104003</t>
  </si>
  <si>
    <t>Сервер HP Proliant ML 350G5X5140</t>
  </si>
  <si>
    <t>инв.10000547. РТП110/6, ГРУ-6кВ, корп.157</t>
  </si>
  <si>
    <t>Микшерный пульт</t>
  </si>
  <si>
    <t>Скамейка д/пианистов</t>
  </si>
  <si>
    <t>Телевизор Эриссон 21 FS10</t>
  </si>
  <si>
    <t>Телевизор Эриссон 21 FS11</t>
  </si>
  <si>
    <t>Принтер "HP LJ Pto P1102"</t>
  </si>
  <si>
    <t>Лазерный принтер/сканер/копир</t>
  </si>
  <si>
    <t>Мотокоса т233 (триммер)</t>
  </si>
  <si>
    <t>МБДОУ - д/с № 29</t>
  </si>
  <si>
    <t>Экран Economy-P настенно-потолочный</t>
  </si>
  <si>
    <t>Котельный агрегат БКЗ-75-39 №10</t>
  </si>
  <si>
    <t>ХI - 1980</t>
  </si>
  <si>
    <t>2.4.1960</t>
  </si>
  <si>
    <t>инв.10106895,31</t>
  </si>
  <si>
    <t>инв.010106118-120</t>
  </si>
  <si>
    <t>Стол раздел.-производствен</t>
  </si>
  <si>
    <t>Макушка звезда</t>
  </si>
  <si>
    <t>инв.10104018</t>
  </si>
  <si>
    <t>Доска аудиторная</t>
  </si>
  <si>
    <t>2.4.2406</t>
  </si>
  <si>
    <t>2.4.2407</t>
  </si>
  <si>
    <t>2.4.2408</t>
  </si>
  <si>
    <t>2.4.2409</t>
  </si>
  <si>
    <t>2.4.2410</t>
  </si>
  <si>
    <t>Системный блок PROGRESS</t>
  </si>
  <si>
    <t xml:space="preserve">инв.10134114-119. Процессор AMD A4 - 4000, Материнская плата ASUS A58M-K, Жесткий диск SSD 240GB Kingston, Оператив-ная память Crucial 4GB,
Блок питания Powercool 500WT
</t>
  </si>
  <si>
    <t>МФУ Kyocera</t>
  </si>
  <si>
    <t>инв.10134121. Принтер/ сканер/копир</t>
  </si>
  <si>
    <t xml:space="preserve">МФУ Kyocera Mita FS-1025 MFP </t>
  </si>
  <si>
    <t>инв.10134122. Принтер сет./копир/цв.сканер/дуплекс/АП4</t>
  </si>
  <si>
    <t>инв.10106426-44</t>
  </si>
  <si>
    <t>Монитор LCD</t>
  </si>
  <si>
    <t>Генератор дыма</t>
  </si>
  <si>
    <t>Гранит-3 с универсальным коммуникатором</t>
  </si>
  <si>
    <t>Ковровая дорожка</t>
  </si>
  <si>
    <t>Костюм "Снежная королева"</t>
  </si>
  <si>
    <t>Магнитола Филлипс</t>
  </si>
  <si>
    <t>Стол заседаний</t>
  </si>
  <si>
    <t>Баннер "С праздником"</t>
  </si>
  <si>
    <t>Пульт микшерный РМ 8М</t>
  </si>
  <si>
    <t>Набор д/исслед.цепей постоянного тока</t>
  </si>
  <si>
    <t>инв.10106091,92</t>
  </si>
  <si>
    <t>Набор "Слава"</t>
  </si>
  <si>
    <t>Комплект штор</t>
  </si>
  <si>
    <t xml:space="preserve">Снегоочиститель шнекороторный </t>
  </si>
  <si>
    <t>2.4.0882</t>
  </si>
  <si>
    <t>2.4.0883</t>
  </si>
  <si>
    <t>2.5.0427</t>
  </si>
  <si>
    <t>2.5.0429</t>
  </si>
  <si>
    <t>2.5.0430</t>
  </si>
  <si>
    <t>2.5.0431</t>
  </si>
  <si>
    <t>2.5.0432</t>
  </si>
  <si>
    <t>инв.010106032-43</t>
  </si>
  <si>
    <t>Секция 5-ти местная гардер</t>
  </si>
  <si>
    <t>Холодильник "Бирюса"</t>
  </si>
  <si>
    <t>1995</t>
  </si>
  <si>
    <t>Центрифуга</t>
  </si>
  <si>
    <t>№ 89161304,оценка 2011</t>
  </si>
  <si>
    <t xml:space="preserve">г/п 0,5т. КНС-2, ул.Кулундинская </t>
  </si>
  <si>
    <t>2.4.1539</t>
  </si>
  <si>
    <t>2.4.1540</t>
  </si>
  <si>
    <t>2.4.1541</t>
  </si>
  <si>
    <t>2.4.1542</t>
  </si>
  <si>
    <t>2.4.1543</t>
  </si>
  <si>
    <t>2.4.1544</t>
  </si>
  <si>
    <t>Видеоплеер 2VD-LG</t>
  </si>
  <si>
    <t>инв.10000495. кв."А"-11</t>
  </si>
  <si>
    <t>Стол производственный</t>
  </si>
  <si>
    <t>2.4.0758</t>
  </si>
  <si>
    <t>2.4.0759</t>
  </si>
  <si>
    <t>2.4.0760</t>
  </si>
  <si>
    <t>2.4.0761</t>
  </si>
  <si>
    <t>2.4.0762</t>
  </si>
  <si>
    <t>2.4.0763</t>
  </si>
  <si>
    <t>инв.01380005</t>
  </si>
  <si>
    <t>Микроскоп школьный</t>
  </si>
  <si>
    <t>инв.10106756-58</t>
  </si>
  <si>
    <t>2.4.0755</t>
  </si>
  <si>
    <t>V - 1996</t>
  </si>
  <si>
    <t>Виброплита VS-244</t>
  </si>
  <si>
    <t>Наименование</t>
  </si>
  <si>
    <t>инв.10106817</t>
  </si>
  <si>
    <t>Шкаф хлебный</t>
  </si>
  <si>
    <t>инв.10106681</t>
  </si>
  <si>
    <t>инв.10106824</t>
  </si>
  <si>
    <t>инв.10106823</t>
  </si>
  <si>
    <t>Пылесос "Самсунг"</t>
  </si>
  <si>
    <t>инв.210106300051</t>
  </si>
  <si>
    <t>Лавка</t>
  </si>
  <si>
    <t>Автомат ММГ</t>
  </si>
  <si>
    <t>1994/1984</t>
  </si>
  <si>
    <t>Распредпункт (электрощиток с выключателем)</t>
  </si>
  <si>
    <t>Стол компьтерный</t>
  </si>
  <si>
    <t>2.4.0815</t>
  </si>
  <si>
    <t>2.4.0816</t>
  </si>
  <si>
    <t>2.4.0818</t>
  </si>
  <si>
    <t>2.4.0819</t>
  </si>
  <si>
    <t>инв.10106635-36,38-39</t>
  </si>
  <si>
    <t>2.5.0837</t>
  </si>
  <si>
    <t>2.5.0838</t>
  </si>
  <si>
    <t>2.5.0839</t>
  </si>
  <si>
    <t>Видеомагнитофон LG - 130</t>
  </si>
  <si>
    <t>хозяйственное ведение</t>
  </si>
  <si>
    <t>931</t>
  </si>
  <si>
    <t>930</t>
  </si>
  <si>
    <t>2.4.1570</t>
  </si>
  <si>
    <t>2.4.1571</t>
  </si>
  <si>
    <t>2.4.1572</t>
  </si>
  <si>
    <t>2.4.1573</t>
  </si>
  <si>
    <t>2.4.1574</t>
  </si>
  <si>
    <t>2.4.1575</t>
  </si>
  <si>
    <t>Стол компьютерный</t>
  </si>
  <si>
    <t>17.01.2012</t>
  </si>
  <si>
    <t xml:space="preserve">приказ </t>
  </si>
  <si>
    <t>Вент.система к.157 (47007609)</t>
  </si>
  <si>
    <t>Вент.система к.10 (47007709)</t>
  </si>
  <si>
    <t>Таль эл. г/п 1т (47008109)</t>
  </si>
  <si>
    <t xml:space="preserve">Установка У-5052 (47015711) </t>
  </si>
  <si>
    <t>Генератор ГЧ-158 (47016111)</t>
  </si>
  <si>
    <t xml:space="preserve">Измеритель Р5-13 (47016311) </t>
  </si>
  <si>
    <t>Трансформатор сил. 3 х фаз. ТМ630-6/0,4, ТП-251/2 (47023407)</t>
  </si>
  <si>
    <t>Трансформатор сил-й ТМ400-6/04, ТП-246  (47065607)</t>
  </si>
  <si>
    <t>инв.10000682. РТП110/6, корп.157</t>
  </si>
  <si>
    <t>инв.10000683. Корпус 10</t>
  </si>
  <si>
    <t>инв.10000686. Корпус 10</t>
  </si>
  <si>
    <t>Трансформатор сил. ТМФ 400-6/0,4, ТП-115  (47068107)</t>
  </si>
  <si>
    <t xml:space="preserve">Тумба </t>
  </si>
  <si>
    <t>2.4.0906</t>
  </si>
  <si>
    <t>2.4.0907</t>
  </si>
  <si>
    <t>2.4.0908</t>
  </si>
  <si>
    <t>2.4.0909</t>
  </si>
  <si>
    <t>2.4.0910</t>
  </si>
  <si>
    <t>инв.10104035</t>
  </si>
  <si>
    <t>инв.10104017</t>
  </si>
  <si>
    <t>IV - 2005</t>
  </si>
  <si>
    <t>Котел пищеварочный КПЭМ-60/9</t>
  </si>
  <si>
    <t xml:space="preserve">Учебно-методический комплекс </t>
  </si>
  <si>
    <t>2.4.0726</t>
  </si>
  <si>
    <t>инв.3061021</t>
  </si>
  <si>
    <t>Кровать с матрацем цвет бук</t>
  </si>
  <si>
    <t>26.07.2004</t>
  </si>
  <si>
    <t>Стол руководителя</t>
  </si>
  <si>
    <t>инв.010106115</t>
  </si>
  <si>
    <t>Холодильник "Свияга" 404 1С</t>
  </si>
  <si>
    <t>Цифровой диктофон</t>
  </si>
  <si>
    <t>инв.2060917</t>
  </si>
  <si>
    <t>инв.2060918</t>
  </si>
  <si>
    <t>2.5.1075</t>
  </si>
  <si>
    <t>2.5.1076</t>
  </si>
  <si>
    <t>2.5.1077</t>
  </si>
  <si>
    <t>инв.10106728-10106729</t>
  </si>
  <si>
    <t>539</t>
  </si>
  <si>
    <t>Набор посуды</t>
  </si>
  <si>
    <t>Вешалка</t>
  </si>
  <si>
    <t>Вибратор ВНВ-2М</t>
  </si>
  <si>
    <t>инв.1380014</t>
  </si>
  <si>
    <t>инв.1380019</t>
  </si>
  <si>
    <t>инв.1630010</t>
  </si>
  <si>
    <t>инв.10106569/1 - 6570/1</t>
  </si>
  <si>
    <t>2.5.0672</t>
  </si>
  <si>
    <t>2.5.0673</t>
  </si>
  <si>
    <t>2.5.0674</t>
  </si>
  <si>
    <t>2.5.0675</t>
  </si>
  <si>
    <t>2.5.0676</t>
  </si>
  <si>
    <t>инв.01380342</t>
  </si>
  <si>
    <t>инв.10104343. Принтер/копир/сканер (USB 2,00)</t>
  </si>
  <si>
    <t>инв.01380804. Для подключения внешних источников</t>
  </si>
  <si>
    <t>Насос №2 К 85/30 с эл.двигателем</t>
  </si>
  <si>
    <t>2.4.2069</t>
  </si>
  <si>
    <t>Болгарка 230</t>
  </si>
  <si>
    <t>Перфоратор-дрель</t>
  </si>
  <si>
    <t>инв.10106148</t>
  </si>
  <si>
    <t>инв.10106182</t>
  </si>
  <si>
    <t>инв.1060012</t>
  </si>
  <si>
    <t>2.5.1117</t>
  </si>
  <si>
    <t>инв.10104329</t>
  </si>
  <si>
    <t>Радиосистема "Eubao"</t>
  </si>
  <si>
    <t>инв.10104331</t>
  </si>
  <si>
    <t>2.4.0602</t>
  </si>
  <si>
    <t>713</t>
  </si>
  <si>
    <t>2.4.2380</t>
  </si>
  <si>
    <t>Детектор купюр DORS 1200</t>
  </si>
  <si>
    <t>17</t>
  </si>
  <si>
    <t>21.11.2011</t>
  </si>
  <si>
    <t>Машина сушильная</t>
  </si>
  <si>
    <t>Лыжи в комплекте</t>
  </si>
  <si>
    <t>Проектор Sonу</t>
  </si>
  <si>
    <t>10897</t>
  </si>
  <si>
    <t>Картина</t>
  </si>
  <si>
    <t>01,01,80</t>
  </si>
  <si>
    <t>Холодильник Орск 163</t>
  </si>
  <si>
    <t>2.4.1638</t>
  </si>
  <si>
    <t>Персональный компьютер  Сeleron 1,7/40GB/256/DVD-ROM</t>
  </si>
  <si>
    <t xml:space="preserve">Пылесос SAMSUNG SC-4752 </t>
  </si>
  <si>
    <t>Степпер (тренажер)</t>
  </si>
  <si>
    <t>Сейф металлический</t>
  </si>
  <si>
    <t>Системный блок LGA</t>
  </si>
  <si>
    <t>Беговая дорожка</t>
  </si>
  <si>
    <t>Телевизор VESTEL 2106 TS</t>
  </si>
  <si>
    <t>Пульты распределительные</t>
  </si>
  <si>
    <t>12.11.12, 25.12.12</t>
  </si>
  <si>
    <t>Принтер НР LJ Р1005</t>
  </si>
  <si>
    <t>инв.89040265,оценка 2011. ЭРСВ-510 с источ. питан., ул.Северная, 2 водозабор</t>
  </si>
  <si>
    <t>Принтер лазерный</t>
  </si>
  <si>
    <t>Мебель для офиса</t>
  </si>
  <si>
    <t>Генератор звуковой частоты</t>
  </si>
  <si>
    <t>Стол теннисный</t>
  </si>
  <si>
    <t>2.5.0409</t>
  </si>
  <si>
    <t>2.5.0410</t>
  </si>
  <si>
    <t>2.5.0411</t>
  </si>
  <si>
    <t>2.5.0412</t>
  </si>
  <si>
    <t>Скрипка 3/4</t>
  </si>
  <si>
    <t>2.4.1067</t>
  </si>
  <si>
    <t>2.4.1068</t>
  </si>
  <si>
    <t>2.4.1069</t>
  </si>
  <si>
    <t>2.4.1070</t>
  </si>
  <si>
    <t>Персональный компьютер Aguarius Elt E50</t>
  </si>
  <si>
    <t xml:space="preserve">HP Laser Jet  P 2014 </t>
  </si>
  <si>
    <t>пост.648 от 22.07.2014</t>
  </si>
  <si>
    <t>Кабинет физики</t>
  </si>
  <si>
    <t>Цвет.фотокамера CANON 650</t>
  </si>
  <si>
    <t>2.4.0371</t>
  </si>
  <si>
    <t>21.08.2013</t>
  </si>
  <si>
    <t>инв.10106591</t>
  </si>
  <si>
    <t>инв.89000128. Навесное оборуд-ие,ширина захвата 1,7 м2; вес 120кг</t>
  </si>
  <si>
    <t>инв.89000125. Навесное оборуд-ие,ширина захвата 0,7 м2, вес 100кг</t>
  </si>
  <si>
    <t>982/18/2420130211</t>
  </si>
  <si>
    <t>1251</t>
  </si>
  <si>
    <t>договор поставки товаров</t>
  </si>
  <si>
    <t>2820130266</t>
  </si>
  <si>
    <t>Ноутбук ASUS X550CC Pentium</t>
  </si>
  <si>
    <t>инв.2060981</t>
  </si>
  <si>
    <t>Стол СК-5</t>
  </si>
  <si>
    <t>Кабинет химии КЭХ-10</t>
  </si>
  <si>
    <t>инв.10000623. ОАО "АХП", ТП-3</t>
  </si>
  <si>
    <t>Трансформатор сил.ТМ -400-6/0,4 (ТП-3) (47064307)</t>
  </si>
  <si>
    <t>HP Laser Jet 1022 USB</t>
  </si>
  <si>
    <t>2.5.1172</t>
  </si>
  <si>
    <t>2.5.1173</t>
  </si>
  <si>
    <t>2.5.1174</t>
  </si>
  <si>
    <t>2.5.1175</t>
  </si>
  <si>
    <t>инв.10106750</t>
  </si>
  <si>
    <t>2.5.1124</t>
  </si>
  <si>
    <t>стоимость 1 шт. вазона - 2675,20 руб.;инв.89000036-42,№89000023-25</t>
  </si>
  <si>
    <t xml:space="preserve">Источник бесперебойного питания </t>
  </si>
  <si>
    <t>Ippon Back Power Pro 500 New</t>
  </si>
  <si>
    <t>инв.01380745 (нах-ся в Центре встреч)</t>
  </si>
  <si>
    <t>инв.101061007</t>
  </si>
  <si>
    <t>2.4.1742</t>
  </si>
  <si>
    <t>2.4.1743</t>
  </si>
  <si>
    <t>договор поставки товаров для муниц.нужд; счет-фактура</t>
  </si>
  <si>
    <t>распоряжение (пожертвование )</t>
  </si>
  <si>
    <t>Щит управления /17 пан./ РТП110/6 (47027007)</t>
  </si>
  <si>
    <t>инв.10000482. РТП110/6  ГЩУ</t>
  </si>
  <si>
    <t>Каркас КТПН (47027207)</t>
  </si>
  <si>
    <t>Тренажер силовой Real Sport</t>
  </si>
  <si>
    <t>2.4.1590.К</t>
  </si>
  <si>
    <t>2.4.1588</t>
  </si>
  <si>
    <t xml:space="preserve">Снегоочиститель роторный </t>
  </si>
  <si>
    <t xml:space="preserve">Светофорный объект </t>
  </si>
  <si>
    <t>Трансформатор  ТМФ400-6/0,4, корп.10 резерв  (47068307)</t>
  </si>
  <si>
    <t>Ковер 2,6*3,6</t>
  </si>
  <si>
    <t>2.4.0527</t>
  </si>
  <si>
    <t>2.4.0528</t>
  </si>
  <si>
    <t>2.4.0529</t>
  </si>
  <si>
    <t>2.4.0530</t>
  </si>
  <si>
    <t>2.4.0539</t>
  </si>
  <si>
    <t>2.4.0548</t>
  </si>
  <si>
    <t>2.4.0549</t>
  </si>
  <si>
    <t>2.4.0550</t>
  </si>
  <si>
    <t>2.4.0551</t>
  </si>
  <si>
    <t>2.4.0552</t>
  </si>
  <si>
    <t>2.4.0553</t>
  </si>
  <si>
    <t>2.4.0554</t>
  </si>
  <si>
    <t xml:space="preserve">23.11.2004 </t>
  </si>
  <si>
    <t xml:space="preserve"> 19.06.2005</t>
  </si>
  <si>
    <t xml:space="preserve">15.08.2005 </t>
  </si>
  <si>
    <t xml:space="preserve">31.05.2006 </t>
  </si>
  <si>
    <t xml:space="preserve">акт изъятия и  передачи   </t>
  </si>
  <si>
    <t>Защитное устройство</t>
  </si>
  <si>
    <t>Кабины 4х секц.для голосов.</t>
  </si>
  <si>
    <t>№ п/п</t>
  </si>
  <si>
    <t>инв.10106715.Салатовый цвет, фасад желтый, кромка желтая</t>
  </si>
  <si>
    <t>Система видеонаблюдения территории ТЭЦ</t>
  </si>
  <si>
    <t>Камера КСО 366, ТП-258, (47057507)</t>
  </si>
  <si>
    <t>08-2007</t>
  </si>
  <si>
    <t>07-2007</t>
  </si>
  <si>
    <t xml:space="preserve">Насос </t>
  </si>
  <si>
    <t>2.5.0643</t>
  </si>
  <si>
    <t>Игровой центр</t>
  </si>
  <si>
    <t>инв.10001301. ул.Перекопская</t>
  </si>
  <si>
    <t>Камера КСО 386 (47100307)</t>
  </si>
  <si>
    <t>инв.10001302. ул.Перекопская</t>
  </si>
  <si>
    <t>Высоковольтное распределительное устройство 14 камер КСО (47001307)</t>
  </si>
  <si>
    <t>691</t>
  </si>
  <si>
    <t>инв.10106724</t>
  </si>
  <si>
    <t xml:space="preserve">Щит распред. из 7 панелей </t>
  </si>
  <si>
    <t>инв.43000107</t>
  </si>
  <si>
    <t>Щит станции управления из 7 панелей</t>
  </si>
  <si>
    <t>I - 2006</t>
  </si>
  <si>
    <t>2.5.0344</t>
  </si>
  <si>
    <t>842</t>
  </si>
  <si>
    <t>2.5.0199</t>
  </si>
  <si>
    <t>2.5.0202</t>
  </si>
  <si>
    <t>2.4.0905</t>
  </si>
  <si>
    <t>инв.3061097,а</t>
  </si>
  <si>
    <t>инв.3061096,а</t>
  </si>
  <si>
    <t>2.4.1529</t>
  </si>
  <si>
    <t>2.4.1530</t>
  </si>
  <si>
    <t>Трансформатор ТМ100-6/04  ТСН ЦРП-12 (47030607)</t>
  </si>
  <si>
    <t>инв.10000488. ОАО "АХП", ЦРП-12</t>
  </si>
  <si>
    <t>Трансформатор ТМ100-6/04  ТП-122 (47031607)</t>
  </si>
  <si>
    <t>инв. 10104184</t>
  </si>
  <si>
    <t>Шкаф детский</t>
  </si>
  <si>
    <t>Дг-СЛБК0000069/ 2520130048</t>
  </si>
  <si>
    <t>Дг-СЛБК0000565/ 2520130249</t>
  </si>
  <si>
    <t>2.4.1596</t>
  </si>
  <si>
    <t>2.4.1597</t>
  </si>
  <si>
    <t>2.4.1598</t>
  </si>
  <si>
    <t>2.4.1599</t>
  </si>
  <si>
    <t>Шкаф холодильный СМ107-S</t>
  </si>
  <si>
    <t>Компьютер GLX</t>
  </si>
  <si>
    <t>696</t>
  </si>
  <si>
    <t>инв.89208206. ЗБ-634 (наждак), Заводская,10</t>
  </si>
  <si>
    <t>инв.89003206. Мощность 55квт, ул.Северная, 2 водозабор</t>
  </si>
  <si>
    <t>инв.10104332</t>
  </si>
  <si>
    <t xml:space="preserve">договор пожертвования  </t>
  </si>
  <si>
    <t>Ноутбук Lenovo ThinkPad SL510</t>
  </si>
  <si>
    <t>Часы Электроника-706</t>
  </si>
  <si>
    <t>постановление; постановление</t>
  </si>
  <si>
    <t>Звукосниматель д/контрабаса</t>
  </si>
  <si>
    <t>2.5.1023</t>
  </si>
  <si>
    <t>2.5.1024</t>
  </si>
  <si>
    <t>2.5.1025</t>
  </si>
  <si>
    <t>2.5.1026</t>
  </si>
  <si>
    <t>2.5.1027</t>
  </si>
  <si>
    <t>2.5.1028</t>
  </si>
  <si>
    <t xml:space="preserve">Телефакс Panasonic </t>
  </si>
  <si>
    <t>2.5.1029</t>
  </si>
  <si>
    <t>2.5.1030</t>
  </si>
  <si>
    <t>2.5.1031</t>
  </si>
  <si>
    <t>2.5.1032</t>
  </si>
  <si>
    <t>Гитара аккустическая классик</t>
  </si>
  <si>
    <t>Гардеробная</t>
  </si>
  <si>
    <t>Магнитола LG SB156</t>
  </si>
  <si>
    <t>Я000000001</t>
  </si>
  <si>
    <t xml:space="preserve">счет-фактура  </t>
  </si>
  <si>
    <t xml:space="preserve">инв.3120140 </t>
  </si>
  <si>
    <t>2.5.1033</t>
  </si>
  <si>
    <t>2.5.1034</t>
  </si>
  <si>
    <t>43</t>
  </si>
  <si>
    <t>70</t>
  </si>
  <si>
    <t>2</t>
  </si>
  <si>
    <t>3</t>
  </si>
  <si>
    <t>333</t>
  </si>
  <si>
    <t>28.09.2007</t>
  </si>
  <si>
    <t>11</t>
  </si>
  <si>
    <t>24</t>
  </si>
  <si>
    <t>2.4.0866</t>
  </si>
  <si>
    <t>2.4.0867</t>
  </si>
  <si>
    <t>2.4.0868</t>
  </si>
  <si>
    <t>2.4.0869</t>
  </si>
  <si>
    <t>2.4.1453</t>
  </si>
  <si>
    <t xml:space="preserve">Машина тестомесильная </t>
  </si>
  <si>
    <t>инв.10000363.ЦРП-6</t>
  </si>
  <si>
    <t>01.07.2008г.</t>
  </si>
  <si>
    <t>Велосипед</t>
  </si>
  <si>
    <t>инв.010106051-55</t>
  </si>
  <si>
    <t>*40621А*63105193*</t>
  </si>
  <si>
    <t>Ванна моечная ВМ-1/530</t>
  </si>
  <si>
    <t xml:space="preserve">Набор мод.по стр.органов чел. </t>
  </si>
  <si>
    <t>2120140015</t>
  </si>
  <si>
    <t>Усилитель мощности</t>
  </si>
  <si>
    <t>Набор по электричеству</t>
  </si>
  <si>
    <t xml:space="preserve">Компьютер  Media Server </t>
  </si>
  <si>
    <t>Трансформатор ТМ250-6/0,4 ТП-213 (47041907)</t>
  </si>
  <si>
    <t>дог.купли-продажи № 1</t>
  </si>
  <si>
    <t>Кондиционер NEOCLIMA NS/YAG240RA5</t>
  </si>
  <si>
    <t>Радиосистема Shure</t>
  </si>
  <si>
    <t>2.5.1243</t>
  </si>
  <si>
    <t>инв.10000459. корп.10 резерв</t>
  </si>
  <si>
    <t>инв.10106021/1-22/1</t>
  </si>
  <si>
    <t>2.4.1877</t>
  </si>
  <si>
    <t>Печь лаб. СНОЛ</t>
  </si>
  <si>
    <t>инв.43005311</t>
  </si>
  <si>
    <t>Телевизор "Эриссон"</t>
  </si>
  <si>
    <t>инв.10104010</t>
  </si>
  <si>
    <t>2620140043</t>
  </si>
  <si>
    <t>Козел гимнастический</t>
  </si>
  <si>
    <t>Трюмо (детское)</t>
  </si>
  <si>
    <t>2.4.0854</t>
  </si>
  <si>
    <t>2.4.0853</t>
  </si>
  <si>
    <t>2.4.0852</t>
  </si>
  <si>
    <t>2.4.0851</t>
  </si>
  <si>
    <t>2.4.0730</t>
  </si>
  <si>
    <t>2.4.0743</t>
  </si>
  <si>
    <t>2.4.0873</t>
  </si>
  <si>
    <t>2.4.0874</t>
  </si>
  <si>
    <t>2.4.0817</t>
  </si>
  <si>
    <t>2.4.1000</t>
  </si>
  <si>
    <t>инв.01380750</t>
  </si>
  <si>
    <t>2.4.1885</t>
  </si>
  <si>
    <t>2.4.1886</t>
  </si>
  <si>
    <t>инв. 10104011</t>
  </si>
  <si>
    <t>инв. 10104010</t>
  </si>
  <si>
    <t>инв. 1380013</t>
  </si>
  <si>
    <t>инв. 1380003</t>
  </si>
  <si>
    <t>2.5.0536</t>
  </si>
  <si>
    <t>Агрегат насосный</t>
  </si>
  <si>
    <t>Наименование объекта, номер гос.регистрации</t>
  </si>
  <si>
    <t>Газоанализатор ИКТС-11.1</t>
  </si>
  <si>
    <t>инв.10104986, 10104972-10104985</t>
  </si>
  <si>
    <t>инв. 10106970</t>
  </si>
  <si>
    <t>2.5.0646</t>
  </si>
  <si>
    <t>2.5.0647</t>
  </si>
  <si>
    <t>2.5.0648</t>
  </si>
  <si>
    <t>Гарнитур мебельный</t>
  </si>
  <si>
    <t>2.2.0120</t>
  </si>
  <si>
    <t>2.2.0121</t>
  </si>
  <si>
    <t>Сервер общего назначения Progress</t>
  </si>
  <si>
    <t>инв.10134112</t>
  </si>
  <si>
    <t>товарная накладная</t>
  </si>
  <si>
    <t>729</t>
  </si>
  <si>
    <t>2.4.0613</t>
  </si>
  <si>
    <t>инв.10000489. ТП-122</t>
  </si>
  <si>
    <t>Трансформатор ТМ100-6/04 корп.10 резерв (47032407)</t>
  </si>
  <si>
    <t>инв.10000491. корп.10 (резерв)</t>
  </si>
  <si>
    <t>08.12.2006</t>
  </si>
  <si>
    <t>2.4.1215</t>
  </si>
  <si>
    <t>2.4.1216</t>
  </si>
  <si>
    <t>инв.010106092-96</t>
  </si>
  <si>
    <t>Уголок отдыха</t>
  </si>
  <si>
    <t>инв.10116329. 60х37</t>
  </si>
  <si>
    <t>Домра малая</t>
  </si>
  <si>
    <t>21.03.2007</t>
  </si>
  <si>
    <t>Распоряжение</t>
  </si>
  <si>
    <t>Приказ АХП</t>
  </si>
  <si>
    <t>Акустическая система</t>
  </si>
  <si>
    <t>инв.3061066</t>
  </si>
  <si>
    <t>1492454</t>
  </si>
  <si>
    <t>комплект лыж</t>
  </si>
  <si>
    <t>Мат спортивный поролон</t>
  </si>
  <si>
    <t>ХТС 53605393006600</t>
  </si>
  <si>
    <t>инв.10106813</t>
  </si>
  <si>
    <t>инв.10104179</t>
  </si>
  <si>
    <t>2.5.0421</t>
  </si>
  <si>
    <t>2.5.0422</t>
  </si>
  <si>
    <t>2.5.0423</t>
  </si>
  <si>
    <t>2.5.0424</t>
  </si>
  <si>
    <t>2.5.0425</t>
  </si>
  <si>
    <t>Домра малая 2</t>
  </si>
  <si>
    <t xml:space="preserve">акт передачи </t>
  </si>
  <si>
    <t>Персональный компьютер USN-Business</t>
  </si>
  <si>
    <t>Ком-т уч.оборуд.д/каб.химии</t>
  </si>
  <si>
    <t>900</t>
  </si>
  <si>
    <t>Выпрямитель универс.</t>
  </si>
  <si>
    <t xml:space="preserve">Набор мод.по стр.позвон жив </t>
  </si>
  <si>
    <t>Комплект электроснабжения</t>
  </si>
  <si>
    <t>инв.10106719</t>
  </si>
  <si>
    <t>32210010206867</t>
  </si>
  <si>
    <t>3221001009410</t>
  </si>
  <si>
    <t>Стол прямой 2х тумбовый</t>
  </si>
  <si>
    <t>инв.10000658. Кв."В"-12 ТП-266/1</t>
  </si>
  <si>
    <t>Трансформатор ТМ400-6/0,4, ТП-266/2 (47069007)</t>
  </si>
  <si>
    <t>Интерактивная доска</t>
  </si>
  <si>
    <t>Компьютер Пентиум</t>
  </si>
  <si>
    <t>Холодильник "Саратов"</t>
  </si>
  <si>
    <t>2.4.1107</t>
  </si>
  <si>
    <t>2.4.1112</t>
  </si>
  <si>
    <t xml:space="preserve">Комплект оборудования для автоматизированного рабочего места учителя </t>
  </si>
  <si>
    <t>18.11.2014</t>
  </si>
  <si>
    <t>контракт на поставку мебели детской</t>
  </si>
  <si>
    <t>2820140039</t>
  </si>
  <si>
    <t>04.2005</t>
  </si>
  <si>
    <t>09.2005</t>
  </si>
  <si>
    <t>2.4.1589</t>
  </si>
  <si>
    <t>Принтер HP LJ 1018</t>
  </si>
  <si>
    <t xml:space="preserve">Установка </t>
  </si>
  <si>
    <t>XI - 1989</t>
  </si>
  <si>
    <t>инв.89162101 (оценка 2011). ШЭ5902-23В2 с пусковой аппаратурой В-380/220В, габариты 2200*600*800, вес 1,5тн</t>
  </si>
  <si>
    <t>инв.89162204 (оценка 2011). Ул. Северная,2 водозабор</t>
  </si>
  <si>
    <t>инв.89163304</t>
  </si>
  <si>
    <t>2.5.0979</t>
  </si>
  <si>
    <t>инв.10106973</t>
  </si>
  <si>
    <t>инв.10104067</t>
  </si>
  <si>
    <t>Подзарядный агрегат П 72 /РТП/ (47014707)</t>
  </si>
  <si>
    <t>инв.10000417. РТП 110/6</t>
  </si>
  <si>
    <t>2.4.1679</t>
  </si>
  <si>
    <t>2.5.1112</t>
  </si>
  <si>
    <t>инв.01360238</t>
  </si>
  <si>
    <t>инв.01360239</t>
  </si>
  <si>
    <t>инв.104012</t>
  </si>
  <si>
    <t>Насос СМ 150-125-315/4-СД-9х14</t>
  </si>
  <si>
    <t>Насос СМ 150-125-315-4</t>
  </si>
  <si>
    <t>Насос  СМ 200-150-315-А/4СДУХЛ</t>
  </si>
  <si>
    <t>Шкаф закрытый</t>
  </si>
  <si>
    <t>инв.10106953-54. Rika 50 C010 (модиф)</t>
  </si>
  <si>
    <t>инв.101060138</t>
  </si>
  <si>
    <t>инв.10106278</t>
  </si>
  <si>
    <t>инв.1380430</t>
  </si>
  <si>
    <t>инв..10106049-57</t>
  </si>
  <si>
    <t>инв.10106804-9</t>
  </si>
  <si>
    <t xml:space="preserve">инв.10106676 </t>
  </si>
  <si>
    <t xml:space="preserve">инв.10106714 </t>
  </si>
  <si>
    <t xml:space="preserve">инв.10106661-63 </t>
  </si>
  <si>
    <t>инв.10106562</t>
  </si>
  <si>
    <t>инв.1380526</t>
  </si>
  <si>
    <t>2.4.2390</t>
  </si>
  <si>
    <t>2.4.2391</t>
  </si>
  <si>
    <t>Прибор учета тепловой энергии и теплоносителя</t>
  </si>
  <si>
    <t>2.4.2256</t>
  </si>
  <si>
    <t>Аппарат н/ж V-3,2 мЗ</t>
  </si>
  <si>
    <t>инв.37000607</t>
  </si>
  <si>
    <t>инв.37000507</t>
  </si>
  <si>
    <t>2.4.2385</t>
  </si>
  <si>
    <t>Снегоуборщик СМБ _650Э</t>
  </si>
  <si>
    <t>10.2014</t>
  </si>
  <si>
    <t>инв.10106979. Бензиновый, мощность 6,5 л.с, ручной электростартер. Серийный номер № 271.1014012197</t>
  </si>
  <si>
    <t>516/2520150096</t>
  </si>
  <si>
    <t>Триммер бензиновый</t>
  </si>
  <si>
    <t>01.2013</t>
  </si>
  <si>
    <t>инв.10106988. Мощность 0,5 кВт. Серийный номер № 00638</t>
  </si>
  <si>
    <t>Сучкорез СТАВР</t>
  </si>
  <si>
    <t>08.2014</t>
  </si>
  <si>
    <t>2.4.1562</t>
  </si>
  <si>
    <t>2.4.1563</t>
  </si>
  <si>
    <t>2.4.1564</t>
  </si>
  <si>
    <t>2.4.1565</t>
  </si>
  <si>
    <t>2.4.1566</t>
  </si>
  <si>
    <t>2.4.1567</t>
  </si>
  <si>
    <t>2.4.1568</t>
  </si>
  <si>
    <t>2.4.1569</t>
  </si>
  <si>
    <t>Принтер Canon Sensus LBR-3310</t>
  </si>
  <si>
    <t>инв.10104002</t>
  </si>
  <si>
    <t>2.4.1683</t>
  </si>
  <si>
    <t>2.4.0676</t>
  </si>
  <si>
    <t>2.4.0677</t>
  </si>
  <si>
    <t>2.4.0680</t>
  </si>
  <si>
    <t>2.4.0681</t>
  </si>
  <si>
    <t>2.4.0682</t>
  </si>
  <si>
    <t>2.5.1179</t>
  </si>
  <si>
    <t>инв.306125</t>
  </si>
  <si>
    <t>договор на оказание услуг</t>
  </si>
  <si>
    <t>2.5.0583</t>
  </si>
  <si>
    <t>2.5.0584</t>
  </si>
  <si>
    <t>Машина тестомесильная 38/S</t>
  </si>
  <si>
    <t>Мини-дека Sony 470</t>
  </si>
  <si>
    <t>Станок токарный по металлу</t>
  </si>
  <si>
    <t>Пульт микшерный</t>
  </si>
  <si>
    <t xml:space="preserve">Принтер матричный EPSON </t>
  </si>
  <si>
    <t>Кресло офисное "Фортуна"5/11к/з</t>
  </si>
  <si>
    <t>инв.3061017/а</t>
  </si>
  <si>
    <t>инв.1380133</t>
  </si>
  <si>
    <t>инв.1380729</t>
  </si>
  <si>
    <t>инв.3061014</t>
  </si>
  <si>
    <t>инв.3061029/а</t>
  </si>
  <si>
    <t>инв.3061002</t>
  </si>
  <si>
    <t xml:space="preserve">инв.101061011. Размер 1,90*1,07*0,37 со встроеными кабинками (18 шт. размером 0,30*0,32*0,37),светло-коричневый </t>
  </si>
  <si>
    <t xml:space="preserve">инв.1380094,95. </t>
  </si>
  <si>
    <t xml:space="preserve">инв.1380051-53. </t>
  </si>
  <si>
    <t>Конференцмикрофон "Flayer"</t>
  </si>
  <si>
    <t>VIII-2007г.</t>
  </si>
  <si>
    <t xml:space="preserve">Кондиционер </t>
  </si>
  <si>
    <t>Набор по термодинамике,газ</t>
  </si>
  <si>
    <t>Мультимедиа-проектор WiFi</t>
  </si>
  <si>
    <t>06.06.2011</t>
  </si>
  <si>
    <t>03.03.2011</t>
  </si>
  <si>
    <t>16.02.2011</t>
  </si>
  <si>
    <t>13.04.2011</t>
  </si>
  <si>
    <t>Насос К 216/40 (немецкий) с эл.двигателем</t>
  </si>
  <si>
    <t>Стоимость, руб.</t>
  </si>
  <si>
    <t>Баннер</t>
  </si>
  <si>
    <t>инв.3081183,84</t>
  </si>
  <si>
    <t>инв.10000386, 10000387. ОАО "АХП"</t>
  </si>
  <si>
    <t>Пульт микшерный "Behringer"</t>
  </si>
  <si>
    <t>инв.10104323. Маршрутизатор, роутер.</t>
  </si>
  <si>
    <t>инв.01380002</t>
  </si>
  <si>
    <t>инв.01360202</t>
  </si>
  <si>
    <t>Выключатель ВМПЭ-10/630 (47059307, 47059407, 47059507)</t>
  </si>
  <si>
    <t>инв.10000472. кв."Б", д.25</t>
  </si>
  <si>
    <t>инв.10000599. Кв. "А", д.11</t>
  </si>
  <si>
    <t>2.4.1602</t>
  </si>
  <si>
    <t>2.4.0924</t>
  </si>
  <si>
    <t>2.4.0925</t>
  </si>
  <si>
    <t>2.4.0929</t>
  </si>
  <si>
    <t>2.4.0930</t>
  </si>
  <si>
    <t>2.4.0931</t>
  </si>
  <si>
    <t>2.4.0932</t>
  </si>
  <si>
    <t>Мебель шкаф</t>
  </si>
  <si>
    <t>инв.101061016.Состоит из 2х шкафов, с 2х ярусными полками и поставками под обувь</t>
  </si>
  <si>
    <t>12.01.2015</t>
  </si>
  <si>
    <t>Стол угловой с приставкой</t>
  </si>
  <si>
    <t>инв.1380350</t>
  </si>
  <si>
    <t>инв.1380311</t>
  </si>
  <si>
    <t>2.5.0628</t>
  </si>
  <si>
    <t>2.4.1673</t>
  </si>
  <si>
    <t>2.5.0629</t>
  </si>
  <si>
    <t>2.5.0632</t>
  </si>
  <si>
    <t>2.5.0633</t>
  </si>
  <si>
    <t>2.5.0634</t>
  </si>
  <si>
    <t>Телевизор "Эриссон 2105"</t>
  </si>
  <si>
    <t>инв.10106601-101066</t>
  </si>
  <si>
    <t>инв.2040967</t>
  </si>
  <si>
    <t>2.4.0717</t>
  </si>
  <si>
    <t>2.4.0718</t>
  </si>
  <si>
    <t>МУП "ЯТЭК"</t>
  </si>
  <si>
    <t>2.4.1603</t>
  </si>
  <si>
    <t>Отнесение имущества к особо ценному</t>
  </si>
  <si>
    <t>РЭК 654 напольный</t>
  </si>
  <si>
    <t>04.09.2012</t>
  </si>
  <si>
    <t>№ 89161204,оценка 2011</t>
  </si>
  <si>
    <t>2.5.0585</t>
  </si>
  <si>
    <t>2.5.0586</t>
  </si>
  <si>
    <t>2.5.0842</t>
  </si>
  <si>
    <t>2.5.0843</t>
  </si>
  <si>
    <t>2.5.0844</t>
  </si>
  <si>
    <t>2.5.0846</t>
  </si>
  <si>
    <t>2.5.0847</t>
  </si>
  <si>
    <t>2.5.0848</t>
  </si>
  <si>
    <t>2.5.0849</t>
  </si>
  <si>
    <t>2.5.0850</t>
  </si>
  <si>
    <t>2.5.0851</t>
  </si>
  <si>
    <t>инв.1380416</t>
  </si>
  <si>
    <t>инв.10106217</t>
  </si>
  <si>
    <t>инв.1380134</t>
  </si>
  <si>
    <t>инв.10000393. Кв "Б", д.30</t>
  </si>
  <si>
    <t>Двухместный стол+2стула</t>
  </si>
  <si>
    <t>Кабель</t>
  </si>
  <si>
    <t>2.5.0777</t>
  </si>
  <si>
    <t>2.5.0778</t>
  </si>
  <si>
    <t>2.5.0779</t>
  </si>
  <si>
    <t>Ванна РИГА</t>
  </si>
  <si>
    <t>2.4.1326</t>
  </si>
  <si>
    <t>2.4.1327</t>
  </si>
  <si>
    <t>инв.10106640</t>
  </si>
  <si>
    <t>2.4.1422</t>
  </si>
  <si>
    <t>Ванна для мойки 3-х секционная</t>
  </si>
  <si>
    <t>322100102 25638</t>
  </si>
  <si>
    <t>2.4.1595</t>
  </si>
  <si>
    <t>2.5.0909</t>
  </si>
  <si>
    <t>2.5.0910</t>
  </si>
  <si>
    <t>2.5.0911</t>
  </si>
  <si>
    <t>2.5.0912</t>
  </si>
  <si>
    <t>2.5.0913</t>
  </si>
  <si>
    <t>2.5.0914</t>
  </si>
  <si>
    <t>2.5.0915</t>
  </si>
  <si>
    <t>2.5.0916</t>
  </si>
  <si>
    <t>2.5.0917</t>
  </si>
  <si>
    <t>2.5.0918</t>
  </si>
  <si>
    <t>2.5.0919</t>
  </si>
  <si>
    <t>2.5.0920</t>
  </si>
  <si>
    <t>Трансформатор ТМ 100- 6/ 0,4 /ТП-284/ (47020207)</t>
  </si>
  <si>
    <t>2.5.0557</t>
  </si>
  <si>
    <t>Комплект компьютерных диагностических методик "Психология в школе"</t>
  </si>
  <si>
    <t>инв.01380346,016; 016а</t>
  </si>
  <si>
    <t>2.5.0208</t>
  </si>
  <si>
    <t>2.5.0211</t>
  </si>
  <si>
    <t>2.5.0215</t>
  </si>
  <si>
    <t>2.5.0216</t>
  </si>
  <si>
    <t>2.5.0217</t>
  </si>
  <si>
    <t>2.5.0218</t>
  </si>
  <si>
    <t>2.5.0219</t>
  </si>
  <si>
    <t>305</t>
  </si>
  <si>
    <t>накладная  №3 ОАО ГАЗ Горьковский автомобильный  з-д "Россия"</t>
  </si>
  <si>
    <t>Облучатель рециркулятор</t>
  </si>
  <si>
    <t>Счетчик воды</t>
  </si>
  <si>
    <t>инв.3061195</t>
  </si>
  <si>
    <t>инв.3061074</t>
  </si>
  <si>
    <t>СЛБК0000563</t>
  </si>
  <si>
    <t>Колокольчик синий</t>
  </si>
  <si>
    <t>Шар синий</t>
  </si>
  <si>
    <t>2.4.0820</t>
  </si>
  <si>
    <t>2.4.0821</t>
  </si>
  <si>
    <t xml:space="preserve">             </t>
  </si>
  <si>
    <t>2.4.0844</t>
  </si>
  <si>
    <t>2.4.0845</t>
  </si>
  <si>
    <t>2.4.1455</t>
  </si>
  <si>
    <t>ХII - 2000</t>
  </si>
  <si>
    <t xml:space="preserve">Стол </t>
  </si>
  <si>
    <t>Кресло</t>
  </si>
  <si>
    <t>Набор мод.по анатомии раст</t>
  </si>
  <si>
    <t>Смягчитель воды</t>
  </si>
  <si>
    <t>2.4.2078</t>
  </si>
  <si>
    <t>2.4.2079</t>
  </si>
  <si>
    <t>2.4.2080</t>
  </si>
  <si>
    <t>инв.306101509</t>
  </si>
  <si>
    <t>2.4.1632</t>
  </si>
  <si>
    <t>2420140064</t>
  </si>
  <si>
    <t>инв.10106583</t>
  </si>
  <si>
    <t>Стенка детская (кух.гарнит)</t>
  </si>
  <si>
    <t>Прибор КЭФ - 101</t>
  </si>
  <si>
    <t>Трансформатор ТАМ 1000/6 ТП 17/1 (47021207)</t>
  </si>
  <si>
    <t xml:space="preserve">договор купли-продажи </t>
  </si>
  <si>
    <t>95114</t>
  </si>
  <si>
    <t xml:space="preserve">товарный чек </t>
  </si>
  <si>
    <t>акт приема передачи</t>
  </si>
  <si>
    <t>2.5.0246</t>
  </si>
  <si>
    <t>инв.010106013,14</t>
  </si>
  <si>
    <t xml:space="preserve">Станок </t>
  </si>
  <si>
    <t>Ковер</t>
  </si>
  <si>
    <t>2.5.0560</t>
  </si>
  <si>
    <t>2.5.0561</t>
  </si>
  <si>
    <t xml:space="preserve">Расходомер </t>
  </si>
  <si>
    <t>инв.01380011</t>
  </si>
  <si>
    <t>инв.3061093</t>
  </si>
  <si>
    <t>Универсальный привод УКМ-0,6</t>
  </si>
  <si>
    <t>Реквизиты документа, подтверждающего прекращение права муниципальной собственности</t>
  </si>
  <si>
    <t>Электрометры с принадлежностями</t>
  </si>
  <si>
    <t>инв.1380605</t>
  </si>
  <si>
    <t>Трансформатор ТМ 630 ТП 152/2 (47018807)</t>
  </si>
  <si>
    <t>2.5.0320</t>
  </si>
  <si>
    <t>2.4.1390</t>
  </si>
  <si>
    <t>2.4.1391</t>
  </si>
  <si>
    <t>2.4.1392</t>
  </si>
  <si>
    <t>2.4.1393</t>
  </si>
  <si>
    <t>2.4.1394</t>
  </si>
  <si>
    <t>2.4.1396</t>
  </si>
  <si>
    <t>2.4.1397</t>
  </si>
  <si>
    <t>2.4.1398</t>
  </si>
  <si>
    <t>2.4.1399</t>
  </si>
  <si>
    <t>2.4.1401</t>
  </si>
  <si>
    <t>2.4.1403</t>
  </si>
  <si>
    <t>2.4.1404</t>
  </si>
  <si>
    <t>2.4.1405</t>
  </si>
  <si>
    <t>2.4.1406</t>
  </si>
  <si>
    <t>2.4.1408</t>
  </si>
  <si>
    <t>2.4.1409</t>
  </si>
  <si>
    <t>2.4.1410</t>
  </si>
  <si>
    <t>инв.10104078</t>
  </si>
  <si>
    <t>инв.10106284</t>
  </si>
  <si>
    <t>инв.3061007-08</t>
  </si>
  <si>
    <t>инв.10104086 ClassicSolution 180*180,MW</t>
  </si>
  <si>
    <t>инв.10104090</t>
  </si>
  <si>
    <t>инв.10104091</t>
  </si>
  <si>
    <t xml:space="preserve">под.-200м3/ч, 1450 об/мин, КНС-2, ул.Кулундинская </t>
  </si>
  <si>
    <t>2009</t>
  </si>
  <si>
    <t>1073</t>
  </si>
  <si>
    <t>Монитор LCD BenO 17 G 700</t>
  </si>
  <si>
    <t>инв.3061001</t>
  </si>
  <si>
    <t>2.5.1017</t>
  </si>
  <si>
    <t>2.5.1018</t>
  </si>
  <si>
    <t>2.5.1019</t>
  </si>
  <si>
    <t>инв.2060990</t>
  </si>
  <si>
    <t>инв. 10106825</t>
  </si>
  <si>
    <t>инв. 10106851</t>
  </si>
  <si>
    <t>инв. 10106657</t>
  </si>
  <si>
    <t xml:space="preserve">Акустическая система РОАД 150 250 w </t>
  </si>
  <si>
    <t>инв.10106741-10106744. Напольный, 51 элемент</t>
  </si>
  <si>
    <t>05.05.12</t>
  </si>
  <si>
    <t>Холодильный шкаф ШН-0,7</t>
  </si>
  <si>
    <t>Стеллаж</t>
  </si>
  <si>
    <t>Котельный агрегат БКЗ-75-39 №9</t>
  </si>
  <si>
    <t>Шкаф для документов</t>
  </si>
  <si>
    <t>инв.11159</t>
  </si>
  <si>
    <t>инв.210106300052,62-64</t>
  </si>
  <si>
    <t>Комплект оборудования видеонаблюдения</t>
  </si>
  <si>
    <t>сч-ф № 208</t>
  </si>
  <si>
    <t>1030</t>
  </si>
  <si>
    <t xml:space="preserve">19.09.2008; 29.08.2008 </t>
  </si>
  <si>
    <t>инв.1</t>
  </si>
  <si>
    <t>Мебель "Коррекционный уголок"</t>
  </si>
  <si>
    <t>инв.10106720</t>
  </si>
  <si>
    <t>25.02.2015</t>
  </si>
  <si>
    <t>Комплекс оборудования для сенсорной комнаты</t>
  </si>
  <si>
    <t xml:space="preserve">Комплекс оборудования для кабинета коррекционной гимнастики </t>
  </si>
  <si>
    <t>Комплекс оборудования для кабинетов психолога и психомоторной коррекции</t>
  </si>
  <si>
    <t>2.5.0591</t>
  </si>
  <si>
    <t>2.4.1437</t>
  </si>
  <si>
    <t>2.4.1438</t>
  </si>
  <si>
    <t>2.4.1439</t>
  </si>
  <si>
    <t>2.4.1440</t>
  </si>
  <si>
    <t>2.4.1441</t>
  </si>
  <si>
    <t>2.4.1443</t>
  </si>
  <si>
    <t>инв.10104193</t>
  </si>
  <si>
    <t>инв.10000438. пл.Предзаводская, 1 ДТУ</t>
  </si>
  <si>
    <t>Трансформатор ТМ 250-6/0,4 /ТП 252/2 (47020107)</t>
  </si>
  <si>
    <t>инв.10000439. кв "Б", д.12</t>
  </si>
  <si>
    <t>Холодильник Орск</t>
  </si>
  <si>
    <t>604</t>
  </si>
  <si>
    <t>13.07.2006</t>
  </si>
  <si>
    <t>498</t>
  </si>
  <si>
    <t xml:space="preserve">Бытовая техника </t>
  </si>
  <si>
    <t>979</t>
  </si>
  <si>
    <t>Телевизор Акира</t>
  </si>
  <si>
    <t>инв.3061071,а</t>
  </si>
  <si>
    <t>инв.01380281/1</t>
  </si>
  <si>
    <t>Камера КСО 2ум ЦРП 17 ж/п (47008007)</t>
  </si>
  <si>
    <t>ина.10000400. г.Яровое, ОРС</t>
  </si>
  <si>
    <t>Эл.плита "Мечта"</t>
  </si>
  <si>
    <t>инв.010106003-8</t>
  </si>
  <si>
    <t>2.5.1011</t>
  </si>
  <si>
    <t>2.5.1012</t>
  </si>
  <si>
    <t>2.5.1013</t>
  </si>
  <si>
    <t>2.5.1014</t>
  </si>
  <si>
    <t>2.5.1015</t>
  </si>
  <si>
    <t>2.5.1016</t>
  </si>
  <si>
    <t>Гардероб-перегородка</t>
  </si>
  <si>
    <t>2.5.1156</t>
  </si>
  <si>
    <t>2.5.1157</t>
  </si>
  <si>
    <t>2.5.1158</t>
  </si>
  <si>
    <t>2.5.1159</t>
  </si>
  <si>
    <t>2.5.1160</t>
  </si>
  <si>
    <t>2.5.1161</t>
  </si>
  <si>
    <t>2.5.1162</t>
  </si>
  <si>
    <t>2.5.1163</t>
  </si>
  <si>
    <t>2.5.1164</t>
  </si>
  <si>
    <t>2.5.1165</t>
  </si>
  <si>
    <t>2.5.1166</t>
  </si>
  <si>
    <t>2.5.1167</t>
  </si>
  <si>
    <t>2.5.1168</t>
  </si>
  <si>
    <t>инв.10106412-21</t>
  </si>
  <si>
    <t>Жалюзи вертикальные</t>
  </si>
  <si>
    <t>2.4.0870</t>
  </si>
  <si>
    <t xml:space="preserve">договор пожертвования (Германия), справка -счет  </t>
  </si>
  <si>
    <t>Камера КСО 266 /ЦРП 1/ (47004807, 47004907, 470057007)</t>
  </si>
  <si>
    <t xml:space="preserve">договор  </t>
  </si>
  <si>
    <t>8-12</t>
  </si>
  <si>
    <t>2.5.0487.К</t>
  </si>
  <si>
    <t>Микрофон</t>
  </si>
  <si>
    <t xml:space="preserve">Стол компьютерный угловой </t>
  </si>
  <si>
    <t>Стол письменный</t>
  </si>
  <si>
    <t>Маркированная доска со штативом</t>
  </si>
  <si>
    <t>2.4.2071</t>
  </si>
  <si>
    <t>2.4.2072</t>
  </si>
  <si>
    <t>2.4.2074</t>
  </si>
  <si>
    <t>23.12.2010</t>
  </si>
  <si>
    <t>16.03.2012</t>
  </si>
  <si>
    <t>27.01.2012</t>
  </si>
  <si>
    <t>18.01.2012</t>
  </si>
  <si>
    <t>Аппарат д/дистиляции воды</t>
  </si>
  <si>
    <t>инв.10106573</t>
  </si>
  <si>
    <t>Набор посуды и принадлежн</t>
  </si>
  <si>
    <t>Станок</t>
  </si>
  <si>
    <t>Музыкальный центр LG XB-66</t>
  </si>
  <si>
    <t>I - 2002</t>
  </si>
  <si>
    <t>инв.89208306. Сверлильный 2Н-135</t>
  </si>
  <si>
    <t>инв.10104075к. 75квт,3000 об/мин, станция смешивания "Южная"</t>
  </si>
  <si>
    <t>2.5.0222</t>
  </si>
  <si>
    <t>инв.210106300090</t>
  </si>
  <si>
    <t>инв.210106300096</t>
  </si>
  <si>
    <t>инв.89060118 . РКЦ 2*10450</t>
  </si>
  <si>
    <t>инв.89156304. Ул.Заводская,10</t>
  </si>
  <si>
    <t>2.5.1183</t>
  </si>
  <si>
    <t>2.5.1184</t>
  </si>
  <si>
    <t>Детская стенка "Мини-музей"</t>
  </si>
  <si>
    <t>Книжный уголок</t>
  </si>
  <si>
    <t>инв.10106721</t>
  </si>
  <si>
    <t>инв.10106722</t>
  </si>
  <si>
    <t>396</t>
  </si>
  <si>
    <t>2.5.1000</t>
  </si>
  <si>
    <t>2.5.1001</t>
  </si>
  <si>
    <t>2.5.1002</t>
  </si>
  <si>
    <t xml:space="preserve"> Счт-00004</t>
  </si>
  <si>
    <t xml:space="preserve"> 27.12.2007</t>
  </si>
  <si>
    <t xml:space="preserve"> 28.08.2008</t>
  </si>
  <si>
    <t>С-000212</t>
  </si>
  <si>
    <t>ХII -2006 г.</t>
  </si>
  <si>
    <t>12.1994</t>
  </si>
  <si>
    <t>17.06.1994</t>
  </si>
  <si>
    <t>инв. 89422444. ул.Северная,2 водозабор</t>
  </si>
  <si>
    <t xml:space="preserve">инв. 89422452 (оценка 20130. ПРЭМ-150 кл.D. КНС-2, ул.Кулундинская </t>
  </si>
  <si>
    <t xml:space="preserve">инв. 89422453 (оценка 2013). ПРЭМ-150 кл.D. КНС-2, ул.Кулундинская </t>
  </si>
  <si>
    <t>Весы ВТ-8908-100</t>
  </si>
  <si>
    <t>инв.010104017</t>
  </si>
  <si>
    <t>2.5.0596</t>
  </si>
  <si>
    <t>инв.1620154-56</t>
  </si>
  <si>
    <t>инв.1630004</t>
  </si>
  <si>
    <t>инв.1630120</t>
  </si>
  <si>
    <t>инв.10106061,1010662</t>
  </si>
  <si>
    <t>инв.1630007,9</t>
  </si>
  <si>
    <t>инв.10106089</t>
  </si>
  <si>
    <t>инв.10106090</t>
  </si>
  <si>
    <t>инв.1620199</t>
  </si>
  <si>
    <t>инв.10106095</t>
  </si>
  <si>
    <t>инв.10106037</t>
  </si>
  <si>
    <t>2.5.0949</t>
  </si>
  <si>
    <t>инв.01380800</t>
  </si>
  <si>
    <t>инв.01380696</t>
  </si>
  <si>
    <t>инв.01380697</t>
  </si>
  <si>
    <t>инв.01380773</t>
  </si>
  <si>
    <t>инв.3060981</t>
  </si>
  <si>
    <t>Шкаф металлический</t>
  </si>
  <si>
    <t>инв.01660094</t>
  </si>
  <si>
    <t>2.4.1922</t>
  </si>
  <si>
    <t>2.4.1923</t>
  </si>
  <si>
    <t>2.4.1924</t>
  </si>
  <si>
    <t>2.4.1925</t>
  </si>
  <si>
    <t>2.4.1466</t>
  </si>
  <si>
    <t>2.4.1468</t>
  </si>
  <si>
    <t>2.4.1469</t>
  </si>
  <si>
    <t>2.4.1471</t>
  </si>
  <si>
    <t>инв.10116330. 102 см</t>
  </si>
  <si>
    <t>инв.3061077</t>
  </si>
  <si>
    <t>инв.01380431</t>
  </si>
  <si>
    <t>МБУ "Информационный центр г. Яровое"</t>
  </si>
  <si>
    <t>инв.1620071</t>
  </si>
  <si>
    <t>инв.1630002</t>
  </si>
  <si>
    <t>2.5.0833</t>
  </si>
  <si>
    <t>2.5.0834</t>
  </si>
  <si>
    <t>Стол руководителя с пристав.</t>
  </si>
  <si>
    <t>инв.11133</t>
  </si>
  <si>
    <t>23.09.1993;             20.11.1993</t>
  </si>
  <si>
    <t>Камера КСО 2ум /ЦРП 4/ (47007707, 47007807, 47007907)</t>
  </si>
  <si>
    <t>2.5.0387</t>
  </si>
  <si>
    <t>2.5.0389</t>
  </si>
  <si>
    <t>2.4.0569</t>
  </si>
  <si>
    <t>2.4.0570</t>
  </si>
  <si>
    <t>0812231</t>
  </si>
  <si>
    <t>2.4.0822</t>
  </si>
  <si>
    <t>2.4.0823</t>
  </si>
  <si>
    <t>Автоматизированное рабочее место</t>
  </si>
  <si>
    <t>972/11/2420130197</t>
  </si>
  <si>
    <t>Доска настенная</t>
  </si>
  <si>
    <t>инв.10106178. 100 волокон х 2 м. Источник света поставляется отдельно.</t>
  </si>
  <si>
    <t>2.5.0577</t>
  </si>
  <si>
    <t>Комплект по волновой оптике</t>
  </si>
  <si>
    <t>2.5.0546</t>
  </si>
  <si>
    <t>2.5.0547</t>
  </si>
  <si>
    <t>2.5.0548</t>
  </si>
  <si>
    <t>инв.10000628. Ул.Степная, ТП-246</t>
  </si>
  <si>
    <t>835</t>
  </si>
  <si>
    <t>Аппарат сварочный</t>
  </si>
  <si>
    <t>Компьютер Intel</t>
  </si>
  <si>
    <t>инв.01360243</t>
  </si>
  <si>
    <t>инв.1040034</t>
  </si>
  <si>
    <t>инв.01660017</t>
  </si>
  <si>
    <t>инв.01660018</t>
  </si>
  <si>
    <t>инв.01660019</t>
  </si>
  <si>
    <t>инв.01660020-21</t>
  </si>
  <si>
    <t>инв.01660029-30</t>
  </si>
  <si>
    <t>инв.1060002,5-8</t>
  </si>
  <si>
    <t>инв.01660038-39</t>
  </si>
  <si>
    <t>Электронное картографическое пособие «География. Мир» - вспомогательный ресурс информационно-образовательный среды «Сферы. География». Просвещение. Сферы.</t>
  </si>
  <si>
    <t>17.01.2011</t>
  </si>
  <si>
    <t>41;99</t>
  </si>
  <si>
    <t>счет; счет-фактура</t>
  </si>
  <si>
    <t>17.05.2011; 31.05.2011</t>
  </si>
  <si>
    <t>инв.010106018-21</t>
  </si>
  <si>
    <t>2.4.0800</t>
  </si>
  <si>
    <t>2.4.0801</t>
  </si>
  <si>
    <t>2.4.0802</t>
  </si>
  <si>
    <t>2.4.0803</t>
  </si>
  <si>
    <t>2.4.1720</t>
  </si>
  <si>
    <t>2.4.1721</t>
  </si>
  <si>
    <t>2.4.1722</t>
  </si>
  <si>
    <t>2.4.1723</t>
  </si>
  <si>
    <t>2.4.1724</t>
  </si>
  <si>
    <t>2.4.1725</t>
  </si>
  <si>
    <t>2.4.1726</t>
  </si>
  <si>
    <t>2.4.1727</t>
  </si>
  <si>
    <t>Шкаф секционный</t>
  </si>
  <si>
    <t>2.4.1971</t>
  </si>
  <si>
    <t>2.4.1764</t>
  </si>
  <si>
    <t>2.4.1765</t>
  </si>
  <si>
    <t>2.4.1766</t>
  </si>
  <si>
    <t>2.4.1767</t>
  </si>
  <si>
    <t>2.5.0468</t>
  </si>
  <si>
    <t>2.5.0469</t>
  </si>
  <si>
    <t>2.5.0470</t>
  </si>
  <si>
    <t>2.5.0472</t>
  </si>
  <si>
    <t>2.5.0473</t>
  </si>
  <si>
    <t>2.5.0474</t>
  </si>
  <si>
    <t>2.5.0475</t>
  </si>
  <si>
    <t>Насос (вентилятор) с эл.двигателем А 72-4</t>
  </si>
  <si>
    <t>инв.3060931-32</t>
  </si>
  <si>
    <t>инв.01380765</t>
  </si>
  <si>
    <t>инв.10104122,23</t>
  </si>
  <si>
    <t>целевая программа край (2008),счет-фактура</t>
  </si>
  <si>
    <t>инв.3061078,а</t>
  </si>
  <si>
    <t>целевая программа край (2008), извещение</t>
  </si>
  <si>
    <t>инв.№3061075,а</t>
  </si>
  <si>
    <t>инв.3061034</t>
  </si>
  <si>
    <t>инв.3061038</t>
  </si>
  <si>
    <t>инв.3081182</t>
  </si>
  <si>
    <t>2.5.1132</t>
  </si>
  <si>
    <t>Стол пк=ск-4к</t>
  </si>
  <si>
    <t>2.4.2064</t>
  </si>
  <si>
    <t>2.5.0951</t>
  </si>
  <si>
    <t>2.5.0952</t>
  </si>
  <si>
    <t>2.5.0953</t>
  </si>
  <si>
    <t>2.5.0954</t>
  </si>
  <si>
    <t>2.5.0955</t>
  </si>
  <si>
    <t>Принтер Эпсон</t>
  </si>
  <si>
    <t>2.5.0417</t>
  </si>
  <si>
    <t>2.5.0419</t>
  </si>
  <si>
    <t>2.5.0420</t>
  </si>
  <si>
    <t xml:space="preserve">счет-фактура </t>
  </si>
  <si>
    <t>Герб</t>
  </si>
  <si>
    <t>Стойка кассы РКЦ</t>
  </si>
  <si>
    <t>2.4.0987</t>
  </si>
  <si>
    <t>2.4.0990</t>
  </si>
  <si>
    <t>2.4.0991</t>
  </si>
  <si>
    <t>2.4.0992</t>
  </si>
  <si>
    <t>2.4.0993</t>
  </si>
  <si>
    <t>2.4.0995</t>
  </si>
  <si>
    <t>2.4.0996</t>
  </si>
  <si>
    <t>Аппарат для дистил.воды</t>
  </si>
  <si>
    <t>Станок токарно-винторезный м.163</t>
  </si>
  <si>
    <t>договор на поставку товара</t>
  </si>
  <si>
    <t>Дг-СЛОТ0002196/2120130061</t>
  </si>
  <si>
    <t>Пианино  "Кама"</t>
  </si>
  <si>
    <t>Трансформатор сил-й ТМ250-6/04, ТП 264 (47065807)</t>
  </si>
  <si>
    <t>инв.10000630. Кв."В"-2ТП-264</t>
  </si>
  <si>
    <t>Трансформатор сил-й ТМ250-6/04, ТП 265  (47066007)</t>
  </si>
  <si>
    <t>инв.10000632. Атракционы</t>
  </si>
  <si>
    <t>Камера КСО-272 /ЦРП-4/ (47066607)</t>
  </si>
  <si>
    <t>Термометр электроный</t>
  </si>
  <si>
    <t>137; 173-р</t>
  </si>
  <si>
    <t>2.4.1503</t>
  </si>
  <si>
    <t>2.4.1504</t>
  </si>
  <si>
    <t>договор на поставку товара для муниц.нужд</t>
  </si>
  <si>
    <t>2.5.0998</t>
  </si>
  <si>
    <t>2.5.0999</t>
  </si>
  <si>
    <t>Стол к зеркалу с малахит.покрыт</t>
  </si>
  <si>
    <t>Эл.двигатель ДА-30-12-55-8</t>
  </si>
  <si>
    <t>инв.10000543. Бассейн "Нептун", ТП-208</t>
  </si>
  <si>
    <t>Трансформатор сил. ТС3-160-6/0,4, ТП 119 (47047107)</t>
  </si>
  <si>
    <t>Стенд " Уголок дорожной безопасности"</t>
  </si>
  <si>
    <t>инв.1631917</t>
  </si>
  <si>
    <t>Системный блок VELTON 8017 D-S</t>
  </si>
  <si>
    <t>инв.10104195</t>
  </si>
  <si>
    <t>27.06.2012</t>
  </si>
  <si>
    <t>Цифр. фотоаппарат "Canon"</t>
  </si>
  <si>
    <t>инв.1380072</t>
  </si>
  <si>
    <t>Принтер НР Laser Set P3005</t>
  </si>
  <si>
    <t>III - 1990</t>
  </si>
  <si>
    <t>2.4.0488</t>
  </si>
  <si>
    <t>2.4.0489</t>
  </si>
  <si>
    <t>2.4.0500</t>
  </si>
  <si>
    <t>Комитет по финансам, налоговой и кредитной политике администрации г.Яровое</t>
  </si>
  <si>
    <t>2.5.0789</t>
  </si>
  <si>
    <t>2.5.0790</t>
  </si>
  <si>
    <t>2.5.0791</t>
  </si>
  <si>
    <t>2.5.0792</t>
  </si>
  <si>
    <t>2.5.0793</t>
  </si>
  <si>
    <t>2.4.2302</t>
  </si>
  <si>
    <t>Аккумуляторная дрель ДА-12ЭР-02 (кейс)</t>
  </si>
  <si>
    <t>инв.3120159</t>
  </si>
  <si>
    <t>397</t>
  </si>
  <si>
    <t>2.4.2303</t>
  </si>
  <si>
    <t>2.4.2304</t>
  </si>
  <si>
    <t>2.4.2305</t>
  </si>
  <si>
    <t>Ноутбук АРМ Lenovo Z470 Core i3 2,3 GHz, 2GB</t>
  </si>
  <si>
    <t>Веб-камера Logitech C310</t>
  </si>
  <si>
    <t>11.03.2015; 26.03.2015</t>
  </si>
  <si>
    <t>432; б/н</t>
  </si>
  <si>
    <t>2.4.2306</t>
  </si>
  <si>
    <t>2.4.2307</t>
  </si>
  <si>
    <t>2.4.2308</t>
  </si>
  <si>
    <t>2.4.2310</t>
  </si>
  <si>
    <t>2.4.2311</t>
  </si>
  <si>
    <t>2.4.2312</t>
  </si>
  <si>
    <t>2.4.2314</t>
  </si>
  <si>
    <t>2.4.2315</t>
  </si>
  <si>
    <t>2.4.2316</t>
  </si>
  <si>
    <t>2.4.2317</t>
  </si>
  <si>
    <t>2.4.2318</t>
  </si>
  <si>
    <t xml:space="preserve">инв.210104200025. Тип 160-70, степень защиты 1Р-21,     масса 195 Кг, ТУ-16-563-73083 </t>
  </si>
  <si>
    <t>инв.000000000000035</t>
  </si>
  <si>
    <t>инв.000000000000042</t>
  </si>
  <si>
    <t>инв.10000440. ТП-284</t>
  </si>
  <si>
    <t>Телевизор "Самсунг"</t>
  </si>
  <si>
    <t>Водонагреватель</t>
  </si>
  <si>
    <t>2.4.1081</t>
  </si>
  <si>
    <t>Принтер Hewlett Pckard Laser Jet 1300</t>
  </si>
  <si>
    <t>Обеденная зона (1 стол + 6 табуретов)</t>
  </si>
  <si>
    <t>Внешняя звуковая карта</t>
  </si>
  <si>
    <t>1998</t>
  </si>
  <si>
    <t>Стол центральный</t>
  </si>
  <si>
    <t>2.5.0520</t>
  </si>
  <si>
    <t>Комплект по геометр-ой оптике</t>
  </si>
  <si>
    <t>Пылесос "Филипс"</t>
  </si>
  <si>
    <t>Комплект демонстрационного, медицинского оборудования и наглядных пособий</t>
  </si>
  <si>
    <t>№ 89161104,оценка 2011</t>
  </si>
  <si>
    <t>2.5.0247</t>
  </si>
  <si>
    <t>2.5.0248</t>
  </si>
  <si>
    <t>Экран на штативе ScreenMedia Apollo T</t>
  </si>
  <si>
    <t>инв.3120155. 180*180 MW (STM-1102)</t>
  </si>
  <si>
    <t>2.4.2300</t>
  </si>
  <si>
    <t>2.4.2301</t>
  </si>
  <si>
    <t>инв.3120156. 800*600</t>
  </si>
  <si>
    <t>Проектор Acer X113H DLP 3D</t>
  </si>
  <si>
    <t>Ноутбук ASUS X553MA 15,6 HD Celeron</t>
  </si>
  <si>
    <t>инв.3120157. N2830 4096Mb 500 Gb DVD WiFi BT Cam W8</t>
  </si>
  <si>
    <t>Станок деревообрабатывающий</t>
  </si>
  <si>
    <t>VI - 1983</t>
  </si>
  <si>
    <t>2.4.1832</t>
  </si>
  <si>
    <t>2.4.1833</t>
  </si>
  <si>
    <t>2.4.1834</t>
  </si>
  <si>
    <t>2.4.1835</t>
  </si>
  <si>
    <t>2.4.1836</t>
  </si>
  <si>
    <t>2.4.1837</t>
  </si>
  <si>
    <t>2.4.1838</t>
  </si>
  <si>
    <t>2.4.1839</t>
  </si>
  <si>
    <t>2.4.1840</t>
  </si>
  <si>
    <t>2.4.1841</t>
  </si>
  <si>
    <t>2.4.1842</t>
  </si>
  <si>
    <t>2.4.2321</t>
  </si>
  <si>
    <t>2.4.2322</t>
  </si>
  <si>
    <t>2.4.2323</t>
  </si>
  <si>
    <t>2.4.2324</t>
  </si>
  <si>
    <t>2.4.2325</t>
  </si>
  <si>
    <t>2.4.1593</t>
  </si>
  <si>
    <t>контракт на поставку оргтехники и сопутствующих товаров</t>
  </si>
  <si>
    <t>Принтер лазерный МФУ HP PRO М1132</t>
  </si>
  <si>
    <t xml:space="preserve">инв.№ 10104312 </t>
  </si>
  <si>
    <t>Весы механические с ростомером</t>
  </si>
  <si>
    <t>2.4.1854</t>
  </si>
  <si>
    <t>2.4.1855</t>
  </si>
  <si>
    <t>2.4.1856</t>
  </si>
  <si>
    <t>2.4.1857</t>
  </si>
  <si>
    <t>2.4.1858</t>
  </si>
  <si>
    <t>2.4.1859</t>
  </si>
  <si>
    <t>2.4.1860</t>
  </si>
  <si>
    <t>2.4.1861</t>
  </si>
  <si>
    <t>2.4.1862</t>
  </si>
  <si>
    <t>2.4.1863</t>
  </si>
  <si>
    <t>2.4.1864</t>
  </si>
  <si>
    <t>2.4.1865</t>
  </si>
  <si>
    <t>2.4.1866</t>
  </si>
  <si>
    <t>2.4.1867</t>
  </si>
  <si>
    <t>2.4.1868</t>
  </si>
  <si>
    <t>2.4.1870</t>
  </si>
  <si>
    <t>2.4.1871</t>
  </si>
  <si>
    <t>2.4.1872</t>
  </si>
  <si>
    <t>2.4.1874</t>
  </si>
  <si>
    <t>2.4.1875</t>
  </si>
  <si>
    <t>инв.10000662. Кв."В"-12, ТП-266</t>
  </si>
  <si>
    <t>инв.10000661. Кв."А"-22, ТП-259/2</t>
  </si>
  <si>
    <t>2.5.0926</t>
  </si>
  <si>
    <t>2.5.0927</t>
  </si>
  <si>
    <t>2.5.0928</t>
  </si>
  <si>
    <t>2.5.0929</t>
  </si>
  <si>
    <t>2.5.0930</t>
  </si>
  <si>
    <t>2.5.0931</t>
  </si>
  <si>
    <t>2.5.0932</t>
  </si>
  <si>
    <t>2.5.0933</t>
  </si>
  <si>
    <t>2.5.0934</t>
  </si>
  <si>
    <t>2.5.0935</t>
  </si>
  <si>
    <t>2.5.0936</t>
  </si>
  <si>
    <t>2.5.0937</t>
  </si>
  <si>
    <t>инв.10106989. Бензиновый, серийный № 1950 SHS KO 6007</t>
  </si>
  <si>
    <t>2.4.2386</t>
  </si>
  <si>
    <t>2015</t>
  </si>
  <si>
    <t>Системный блок ПК DEXP Agulion Celeron J1800</t>
  </si>
  <si>
    <t>инв.902225. 2/41 GHz/2gb/ 320GB /без ПО</t>
  </si>
  <si>
    <t>Б-00050848/17</t>
  </si>
  <si>
    <t>2.5.1218</t>
  </si>
  <si>
    <t>2.5.1219</t>
  </si>
  <si>
    <t>инв.902222</t>
  </si>
  <si>
    <t>инв.902221</t>
  </si>
  <si>
    <t>2.4.1843</t>
  </si>
  <si>
    <t>ОВД г. Яровое</t>
  </si>
  <si>
    <t>01,09,07</t>
  </si>
  <si>
    <t>инв.№ 210106300088</t>
  </si>
  <si>
    <t>Велотренажер магнитный К-Р 7038 дисковой</t>
  </si>
  <si>
    <t>инв.№ 210106300089</t>
  </si>
  <si>
    <t>инв.10106567</t>
  </si>
  <si>
    <t>Стол офисный</t>
  </si>
  <si>
    <t>инв.10106568</t>
  </si>
  <si>
    <t>2.5.0601</t>
  </si>
  <si>
    <t>2.5.0602</t>
  </si>
  <si>
    <t xml:space="preserve">5 кВт. КНС-2, ул.Кулундинская </t>
  </si>
  <si>
    <t>2.4.1601</t>
  </si>
  <si>
    <t>Принтер/сканер/копир</t>
  </si>
  <si>
    <t>Компрессор К-22</t>
  </si>
  <si>
    <t>Насос цирк.трехскоростной TAIFU GRS25/4</t>
  </si>
  <si>
    <t>Пульт микшерный МЕКSE</t>
  </si>
  <si>
    <t>2.4.1611</t>
  </si>
  <si>
    <t>2.4.1612</t>
  </si>
  <si>
    <t>2.4.1613</t>
  </si>
  <si>
    <t>2.4.1614</t>
  </si>
  <si>
    <t>2.4.1615</t>
  </si>
  <si>
    <t>2.4.1616</t>
  </si>
  <si>
    <t>инв.37028707</t>
  </si>
  <si>
    <t>инв.10000538, 10000539. ОАО "АХП",  корп.10, 1,3 эт.</t>
  </si>
  <si>
    <t>инв.10000647. Корп.10 резерв</t>
  </si>
  <si>
    <t>Системный блок AMD/S-939/2500/512/</t>
  </si>
  <si>
    <t>Детская мебель</t>
  </si>
  <si>
    <t>Диван офисный</t>
  </si>
  <si>
    <t>инв.3120121</t>
  </si>
  <si>
    <t>Пила дисковая ДП-190/1600М/1600Вт</t>
  </si>
  <si>
    <t>инв.10104280, 4800 об./мин., 190мм/пл.пуск/ Интерскол</t>
  </si>
  <si>
    <t>2.5.1191</t>
  </si>
  <si>
    <t>инв.10106723-10106725</t>
  </si>
  <si>
    <t>контракт на поставку развивающих игрушек</t>
  </si>
  <si>
    <t>МУП "Автомобилист"</t>
  </si>
  <si>
    <t>2.5.0477</t>
  </si>
  <si>
    <t>2.5.0478</t>
  </si>
  <si>
    <t>2.5.0480</t>
  </si>
  <si>
    <t>2.5.0481</t>
  </si>
  <si>
    <t>2.5.0482</t>
  </si>
  <si>
    <t>2.5.0483</t>
  </si>
  <si>
    <t>2.5.0484</t>
  </si>
  <si>
    <t>2.5.0485</t>
  </si>
  <si>
    <t>2.5.0486</t>
  </si>
  <si>
    <t xml:space="preserve">Стенка шведская "Тинейджер" </t>
  </si>
  <si>
    <t>инв.10116325. Пристенный вариант</t>
  </si>
  <si>
    <t xml:space="preserve">Мягкая мебель "Малютка" </t>
  </si>
  <si>
    <t>инв.10106162, 10106163. 4 элемента:диван, кресло,пуфик,игрушка</t>
  </si>
  <si>
    <t>Мягкий спортивный набор "Уголок"</t>
  </si>
  <si>
    <t>Шкаф с витриной ШВ 1 белый</t>
  </si>
  <si>
    <t xml:space="preserve">Мат гимнастический </t>
  </si>
  <si>
    <t xml:space="preserve">Холодильник "Свияга-410С" </t>
  </si>
  <si>
    <t>2.4.2060</t>
  </si>
  <si>
    <t>инв.10104586-88</t>
  </si>
  <si>
    <t>инв.10104569</t>
  </si>
  <si>
    <t>инв.10104571</t>
  </si>
  <si>
    <t xml:space="preserve">инв.10106967 </t>
  </si>
  <si>
    <t>инв.10106200</t>
  </si>
  <si>
    <t>инв.10106256</t>
  </si>
  <si>
    <t>инв.10106654. Размер 2100х400,3х1083,2. Состоит из 1 шкафа, 3 ящика выдвижных, цвет оранжевый, салатный, кофейный</t>
  </si>
  <si>
    <t>Мебель стенка кухонька</t>
  </si>
  <si>
    <t>Цифровая лаборатория Архимед</t>
  </si>
  <si>
    <t>инв.2060992-94</t>
  </si>
  <si>
    <t>2.4.0262</t>
  </si>
  <si>
    <t>2.4.1536</t>
  </si>
  <si>
    <t>2.5.0307</t>
  </si>
  <si>
    <t>2.5.0308</t>
  </si>
  <si>
    <t>2.5.0309</t>
  </si>
  <si>
    <t>2.5.0310</t>
  </si>
  <si>
    <t>2.5.0311</t>
  </si>
  <si>
    <t>2.5.0312</t>
  </si>
  <si>
    <t>2.5.0313</t>
  </si>
  <si>
    <t>2.5.0314</t>
  </si>
  <si>
    <t>2.5.0315</t>
  </si>
  <si>
    <t>2.5.0316</t>
  </si>
  <si>
    <t>2.5.0317</t>
  </si>
  <si>
    <t>2.5.0318</t>
  </si>
  <si>
    <t>2.5.0319</t>
  </si>
  <si>
    <t>ул.Заводская,10</t>
  </si>
  <si>
    <t xml:space="preserve">Цифровое фортепиано </t>
  </si>
  <si>
    <t>инв.1631926. Мебель стенка, длина - 1200 мм, с 3 полками, 1 выдвижным ящиком и 6 навесными полочками</t>
  </si>
  <si>
    <t>Шкаф для игр и пособий, стол детский</t>
  </si>
  <si>
    <t xml:space="preserve">инв.1631930. Мебель стенка - 1400 мм, с 3 </t>
  </si>
  <si>
    <t>Уголок природы</t>
  </si>
  <si>
    <t>Камера КСО 366 /ТП 293/ (47050107, 47050207)</t>
  </si>
  <si>
    <t>01.04.2011</t>
  </si>
  <si>
    <t>Отделитель ОДЗ 11/600 /РТП/ (47011707)</t>
  </si>
  <si>
    <t>Набор по зоологии</t>
  </si>
  <si>
    <t>инв.10106195</t>
  </si>
  <si>
    <t>2.4.1143</t>
  </si>
  <si>
    <t>2.4.1144</t>
  </si>
  <si>
    <t>2.4.1146</t>
  </si>
  <si>
    <t>2.4.1147</t>
  </si>
  <si>
    <t>инв.10000529. ул.Ленина, 19  ТП-213</t>
  </si>
  <si>
    <t>инв.10106175. Комплект из прожектора светидиодного RGB, миниконтроллера, пульта управления эффектами свечения, блоком питания.</t>
  </si>
  <si>
    <t>инв.10106177. Подвесная панель д.1200мм. Мерцающий фон 150, звезды, 2 метеора.</t>
  </si>
  <si>
    <t>2.4.1237</t>
  </si>
  <si>
    <t>2.4.1238</t>
  </si>
  <si>
    <t>инв.37021709</t>
  </si>
  <si>
    <t>Стойка с рабочими местами оператора</t>
  </si>
  <si>
    <t>LSD Панель VIEW SONIC</t>
  </si>
  <si>
    <t>Проектор VIEWSONIC</t>
  </si>
  <si>
    <t>Модель "Клетка растения"</t>
  </si>
  <si>
    <t>МБУК "ГДК "Химик" г.Яровое</t>
  </si>
  <si>
    <t>инв.10104027</t>
  </si>
  <si>
    <t>Акустическая система 15 250 w -2шт</t>
  </si>
  <si>
    <t>2.4.1585</t>
  </si>
  <si>
    <t>Панно "Наш любимый сад"</t>
  </si>
  <si>
    <t>инв.10106178</t>
  </si>
  <si>
    <t>Камера КСО 272 /ЦРП-7/ (47058807)</t>
  </si>
  <si>
    <t>инв.10000596.  ОАО "АХП", ЦРП-7</t>
  </si>
  <si>
    <t>Камера КСО 272 /ЦРП-4/ (47058907, 47059007)</t>
  </si>
  <si>
    <t>инв.10000597, 10000598. ОАО "АХП", ЦРП-4</t>
  </si>
  <si>
    <t>инв.3061043</t>
  </si>
  <si>
    <t>VII - 1970</t>
  </si>
  <si>
    <t>2.4.0558</t>
  </si>
  <si>
    <t>2.4.0559</t>
  </si>
  <si>
    <t>2.4.0560</t>
  </si>
  <si>
    <t>2.4.0561</t>
  </si>
  <si>
    <t>2.4.0562</t>
  </si>
  <si>
    <t>Микроск цифровой Diqital Blue QX7</t>
  </si>
  <si>
    <t>Микроволновая печь Mystery MMW 2308G</t>
  </si>
  <si>
    <t>137-р</t>
  </si>
  <si>
    <t>381; 343</t>
  </si>
  <si>
    <t>30.09.2010; 13.09.2010</t>
  </si>
  <si>
    <t>акт передачи</t>
  </si>
  <si>
    <t>18.06.2010</t>
  </si>
  <si>
    <t>03.11.2010</t>
  </si>
  <si>
    <t>Тахеометр с комплектом приспособлений</t>
  </si>
  <si>
    <t>МФУ(принтер/копир/сканер)</t>
  </si>
  <si>
    <t>Радиотелефон Voxtel 7200</t>
  </si>
  <si>
    <t>Кресло офисное</t>
  </si>
  <si>
    <t>Компьютер Athlon IIX3 445</t>
  </si>
  <si>
    <t>2.5.0893</t>
  </si>
  <si>
    <t>05-2007</t>
  </si>
  <si>
    <t>2005</t>
  </si>
  <si>
    <t>2004</t>
  </si>
  <si>
    <t>2010</t>
  </si>
  <si>
    <t>Домра альт</t>
  </si>
  <si>
    <t>Гипсовое изделие "Гаталиат"</t>
  </si>
  <si>
    <t>Гипсовое изделие "Сократ"</t>
  </si>
  <si>
    <t>счет-фактура; договор поставки; товарный чек</t>
  </si>
  <si>
    <t>08.08.2014; 14.05.2015; 24.12.2015</t>
  </si>
  <si>
    <t>008; 153-юр; б/н</t>
  </si>
  <si>
    <t>инв.10104137</t>
  </si>
  <si>
    <t>Спутниковая антена</t>
  </si>
  <si>
    <t>Вывеска ГДК Химик</t>
  </si>
  <si>
    <t>2.4.1376</t>
  </si>
  <si>
    <t>168-р; 174</t>
  </si>
  <si>
    <t xml:space="preserve">распоряжение Администрации Алтайского края,акт </t>
  </si>
  <si>
    <t>Велотренажер</t>
  </si>
  <si>
    <t>Автомобиль фургон, гос.номер Р 895 МК (инв.10105169к)</t>
  </si>
  <si>
    <t>Автомобиль фургон, гос.номер Р 678 МК (инв.10105170к)</t>
  </si>
  <si>
    <t>Комплект детских муз.инструментов</t>
  </si>
  <si>
    <t>2.4.0142</t>
  </si>
  <si>
    <t>Тележка для сбора посуды ТП-2С</t>
  </si>
  <si>
    <t>Стол сборный 2блока</t>
  </si>
  <si>
    <t>2.4.1412</t>
  </si>
  <si>
    <t>2.4.1413</t>
  </si>
  <si>
    <t>2.4.1414</t>
  </si>
  <si>
    <t>Тепловизор Testo 870-2</t>
  </si>
  <si>
    <t>2.4.1738</t>
  </si>
  <si>
    <t>2.4.1739</t>
  </si>
  <si>
    <t>2.4.1740</t>
  </si>
  <si>
    <t>2.4.1741</t>
  </si>
  <si>
    <t>инв.10106566</t>
  </si>
  <si>
    <t xml:space="preserve">29.12.2006 </t>
  </si>
  <si>
    <t xml:space="preserve">12.03.2007 </t>
  </si>
  <si>
    <t>инв.10106199</t>
  </si>
  <si>
    <t>инв.10106038-62</t>
  </si>
  <si>
    <t>инв.10106161</t>
  </si>
  <si>
    <t>инв.10106033-37</t>
  </si>
  <si>
    <t>инв.10106100-106</t>
  </si>
  <si>
    <t>инв.10106196</t>
  </si>
  <si>
    <t>Двигатель</t>
  </si>
  <si>
    <t>269</t>
  </si>
  <si>
    <t>Брусья гимнастические</t>
  </si>
  <si>
    <t>инв.10106012</t>
  </si>
  <si>
    <t>инв.306101508</t>
  </si>
  <si>
    <t>866</t>
  </si>
  <si>
    <t>Проектор Acer X 1130 DLP 2300LUMENS SVGA800*600 2500:1</t>
  </si>
  <si>
    <t>2.4.1918</t>
  </si>
  <si>
    <t>04-1988</t>
  </si>
  <si>
    <t>03-1991</t>
  </si>
  <si>
    <t>1987</t>
  </si>
  <si>
    <t>2.4.0700</t>
  </si>
  <si>
    <t>2.4.0701</t>
  </si>
  <si>
    <t>2.4.0702</t>
  </si>
  <si>
    <t>инв.10106584</t>
  </si>
  <si>
    <t>2.4.0944</t>
  </si>
  <si>
    <t>2.4.0951</t>
  </si>
  <si>
    <t>Камера КСО 266 /ЦРП 15/ (47007007, 47007107)</t>
  </si>
  <si>
    <t>инв.10000390, 10000391. г.Яровое</t>
  </si>
  <si>
    <t>Камера КСО 266 /ЦРП 257/ (47007307)</t>
  </si>
  <si>
    <t>сКТ001565</t>
  </si>
  <si>
    <t>2605-2015</t>
  </si>
  <si>
    <t>инв.1631890. Манекен человека для обучения оказания первой помощи</t>
  </si>
  <si>
    <t>инв.1630365. Лестница с перекладинами</t>
  </si>
  <si>
    <t xml:space="preserve">инв.10000512. КНС ул.Кулундинская </t>
  </si>
  <si>
    <t>инв.10000519. кв."А", д.8</t>
  </si>
  <si>
    <t>инв.10000524. кв."А", д.27</t>
  </si>
  <si>
    <t>2.4.0850</t>
  </si>
  <si>
    <t>2.4.0865</t>
  </si>
  <si>
    <t>с эл.двигателем 7,5 кВт 3000 об/мин</t>
  </si>
  <si>
    <t>сч-ф № 68</t>
  </si>
  <si>
    <t>Агрегат насосный  СМ 12-100-250-4 с двигателем асинхронным АД 160S4У3</t>
  </si>
  <si>
    <t>зав.№ 7Ж15. КНС-4 (территория бассейна "Нептун")</t>
  </si>
  <si>
    <t>221/2720130166</t>
  </si>
  <si>
    <t>08.10.2010; 29.11.2010</t>
  </si>
  <si>
    <t>инв.10106580</t>
  </si>
  <si>
    <t>инв.10106008-32</t>
  </si>
  <si>
    <t>инв.10106033-38</t>
  </si>
  <si>
    <t>счет-фактура (целевая программа (край) 2009</t>
  </si>
  <si>
    <t xml:space="preserve">целевая программа (край) </t>
  </si>
  <si>
    <t>инв.10104576</t>
  </si>
  <si>
    <t>2.4.0963</t>
  </si>
  <si>
    <t>2.4.0964</t>
  </si>
  <si>
    <t xml:space="preserve">Видеокамера </t>
  </si>
  <si>
    <t>XII-2007</t>
  </si>
  <si>
    <t>2.4.2014</t>
  </si>
  <si>
    <t xml:space="preserve">Шкаф холодильный </t>
  </si>
  <si>
    <t>VI - 1991</t>
  </si>
  <si>
    <t>Ванна 2х секционная</t>
  </si>
  <si>
    <t xml:space="preserve">Домра малая </t>
  </si>
  <si>
    <t>контракт на поставку игрушек</t>
  </si>
  <si>
    <t>509/КЗ-11</t>
  </si>
  <si>
    <t>инв.10106736-10106740. Напольный, 68 элементов</t>
  </si>
  <si>
    <t>инв.10106585</t>
  </si>
  <si>
    <t>счет-фактура</t>
  </si>
  <si>
    <t>Пистолет монтажный</t>
  </si>
  <si>
    <t>договор поставки продукции</t>
  </si>
  <si>
    <t>237/1/212015019</t>
  </si>
  <si>
    <t>инв.10104085к. 45 квт, станция смешивания "Учхоз"</t>
  </si>
  <si>
    <t>инв.10104087к. 2 квт, станция смешивания "Алтайская"</t>
  </si>
  <si>
    <t>инв.89201506. С-415 УХЛ-4</t>
  </si>
  <si>
    <t>Трансляционный узел (установка)</t>
  </si>
  <si>
    <t>инв.1380615</t>
  </si>
  <si>
    <t>2.5.0379</t>
  </si>
  <si>
    <t>2.5.0380</t>
  </si>
  <si>
    <t>Диван кровать</t>
  </si>
  <si>
    <t>целев.прогр.(край); счет-фактура</t>
  </si>
  <si>
    <t>инв.10104129</t>
  </si>
  <si>
    <t>инв.10104131</t>
  </si>
  <si>
    <t>инв.10104132</t>
  </si>
  <si>
    <t>2.5.0650</t>
  </si>
  <si>
    <t>2.5.0651</t>
  </si>
  <si>
    <t>2.5.0652</t>
  </si>
  <si>
    <t>008786</t>
  </si>
  <si>
    <t>Набор компьютерной техники</t>
  </si>
  <si>
    <t>Факсимильный аппарат Раnasonic КХ- FТ22</t>
  </si>
  <si>
    <t>2.5.1036</t>
  </si>
  <si>
    <t>2.5.1037</t>
  </si>
  <si>
    <t>2.5.1038</t>
  </si>
  <si>
    <t>Детский тренажер грибной</t>
  </si>
  <si>
    <t>инв.10106018</t>
  </si>
  <si>
    <t>06.06.2012; 27.06.2012</t>
  </si>
  <si>
    <t>инв.0101061112-114</t>
  </si>
  <si>
    <t>2.4.1256</t>
  </si>
  <si>
    <t>возникновение (основание и дата)</t>
  </si>
  <si>
    <t>прекращение (основание и дата)</t>
  </si>
  <si>
    <t>0007</t>
  </si>
  <si>
    <t xml:space="preserve">01.02.2006 </t>
  </si>
  <si>
    <t xml:space="preserve"> 5868 </t>
  </si>
  <si>
    <t xml:space="preserve">27.12.2005 </t>
  </si>
  <si>
    <t xml:space="preserve">3667 </t>
  </si>
  <si>
    <t xml:space="preserve">05.09.2005 </t>
  </si>
  <si>
    <t>инв.1016134-41</t>
  </si>
  <si>
    <t>договор поставки</t>
  </si>
  <si>
    <t>223/2620130192</t>
  </si>
  <si>
    <t>2.4.0003</t>
  </si>
  <si>
    <t>2.4.0004</t>
  </si>
  <si>
    <t>2.4.1002</t>
  </si>
  <si>
    <t>2.4.1006</t>
  </si>
  <si>
    <t>Комплект моделей скелетов позвоночных животных</t>
  </si>
  <si>
    <t>2.4.1653</t>
  </si>
  <si>
    <t>2.4.1654</t>
  </si>
  <si>
    <t>2.4.1655</t>
  </si>
  <si>
    <t>2.4.1656</t>
  </si>
  <si>
    <t>Диван и 2 кресла</t>
  </si>
  <si>
    <t>Стол декоративный</t>
  </si>
  <si>
    <t>Стол компьютерный "Эффект"</t>
  </si>
  <si>
    <t>2.4.2065</t>
  </si>
  <si>
    <t>2.4.2066</t>
  </si>
  <si>
    <t>2.4.2067</t>
  </si>
  <si>
    <t>оперативное управление</t>
  </si>
  <si>
    <t>МФУ "XeroxWorkCentre5325"</t>
  </si>
  <si>
    <t>инв.10106645. Размер 2000х400,3х1500. Состоит из 1 шкафа, цвет оранжевый, салатный, кофейный</t>
  </si>
  <si>
    <t>инв.10106660. Размер 1950х400,3х1141,7. Состоит из 1 шкафа с 2 дверцами, цвет салатный, кофейный</t>
  </si>
  <si>
    <t>инв.10106661, 10106663. "Права ребенка", "ПДД"</t>
  </si>
  <si>
    <t>инв.3061006</t>
  </si>
  <si>
    <t>инв.3061008</t>
  </si>
  <si>
    <t>инв.1380190</t>
  </si>
  <si>
    <t>инв.10106354,55</t>
  </si>
  <si>
    <t>инв.10104164</t>
  </si>
  <si>
    <t xml:space="preserve">инв.10106713. Изготовлен из ЛДСП. Опора стола из цельносварной металлокаркас. </t>
  </si>
  <si>
    <t>2.5.0588</t>
  </si>
  <si>
    <t>инв.3061041</t>
  </si>
  <si>
    <t>инв.1380078</t>
  </si>
  <si>
    <t>инв.10106595</t>
  </si>
  <si>
    <t xml:space="preserve">Комплект детской мебели </t>
  </si>
  <si>
    <t>Каркас опоры для новогодней елки</t>
  </si>
  <si>
    <t>Стол однотумбовый</t>
  </si>
  <si>
    <t>инв.10106167. Буквы кубики-12, мешок-1</t>
  </si>
  <si>
    <t>Мягкий конструктор "Кубики"</t>
  </si>
  <si>
    <t xml:space="preserve"> инв.10106166. Буквы кубики-10, мешок-1</t>
  </si>
  <si>
    <t>Лазерный принтер Canon LBP</t>
  </si>
  <si>
    <t xml:space="preserve">приказ №428 (край) </t>
  </si>
  <si>
    <t>инв.10000453. кв.А д.30</t>
  </si>
  <si>
    <t>Трансформатор ТАМ 750-6/0,4 ТП 9/1  (47022107)</t>
  </si>
  <si>
    <t>инв.10000454. ОАО "АХП", корп.94</t>
  </si>
  <si>
    <t>2.4.1619</t>
  </si>
  <si>
    <t>инв.89000732. Модель 5418</t>
  </si>
  <si>
    <t>III - 1986</t>
  </si>
  <si>
    <t>инв.01380416</t>
  </si>
  <si>
    <t>2720141009</t>
  </si>
  <si>
    <t>2.5.0544</t>
  </si>
  <si>
    <t>2.5.0545</t>
  </si>
  <si>
    <t>2.5.0376</t>
  </si>
  <si>
    <t>2.5.0377</t>
  </si>
  <si>
    <t>2.5.0378</t>
  </si>
  <si>
    <t xml:space="preserve">Холодильник "Снежинка" </t>
  </si>
  <si>
    <t>Угловая мягкая мебель</t>
  </si>
  <si>
    <t xml:space="preserve">Усилитель </t>
  </si>
  <si>
    <t>Х1М3205Н0А0003182</t>
  </si>
  <si>
    <t>инв.070713</t>
  </si>
  <si>
    <t xml:space="preserve">сч-ф № 215 </t>
  </si>
  <si>
    <t>инв.0312012</t>
  </si>
  <si>
    <t>Отопитель воздушный Планар 8ДМ-12 12В "Теплостар-Адверс"</t>
  </si>
  <si>
    <t>инв.10106641, 10106642. Состоит из 6 паролоновых частей разного отдела, обтянутых цветным дермантином</t>
  </si>
  <si>
    <t>2.4.1636</t>
  </si>
  <si>
    <t>Камера компактная</t>
  </si>
  <si>
    <t>Ноутбук Packard Bell EasyNote TE69KB-65204G1TMnsk</t>
  </si>
  <si>
    <t>Универсальная кухонная машина</t>
  </si>
  <si>
    <t>№ 89161904,оценка 2011</t>
  </si>
  <si>
    <t>2.4.1379</t>
  </si>
  <si>
    <t>2.4.1382</t>
  </si>
  <si>
    <t>2.4.1383</t>
  </si>
  <si>
    <t>2.4.1384</t>
  </si>
  <si>
    <t>2.4.1385</t>
  </si>
  <si>
    <t>Подставка под пароконвектомат ПК-6М</t>
  </si>
  <si>
    <t>2.4.0566</t>
  </si>
  <si>
    <t>2.4.0567</t>
  </si>
  <si>
    <t>2.4.0568</t>
  </si>
  <si>
    <t>2.4.1594</t>
  </si>
  <si>
    <t xml:space="preserve">Коммутатор TP-LINK TL-SF1048 </t>
  </si>
  <si>
    <t>инв.№ 10134105. Port10/100MSwitch, 4810/100mRJ45ports,1U</t>
  </si>
  <si>
    <t>инв.3061025</t>
  </si>
  <si>
    <t>2.4.2085</t>
  </si>
  <si>
    <t>2.4.2086</t>
  </si>
  <si>
    <t>2.4.2087</t>
  </si>
  <si>
    <t>2.4.2088</t>
  </si>
  <si>
    <t>инв.01630723</t>
  </si>
  <si>
    <t>инв.2040966</t>
  </si>
  <si>
    <t>2.5.0582</t>
  </si>
  <si>
    <t>Фибероптический модуль "Солнышко"</t>
  </si>
  <si>
    <t>инв.10106181. Размеры 80*60*55 см. Разноцветная подстветка, управляемая пультом.</t>
  </si>
  <si>
    <t>2.5.0580</t>
  </si>
  <si>
    <t>договор поставки товаров для муниц.нужд</t>
  </si>
  <si>
    <t>2620130131</t>
  </si>
  <si>
    <t>2620130202</t>
  </si>
  <si>
    <t>2.5.0433</t>
  </si>
  <si>
    <t>2.5.0434</t>
  </si>
  <si>
    <t>2.5.0435</t>
  </si>
  <si>
    <t>2.5.0436</t>
  </si>
  <si>
    <t>2.5.0437</t>
  </si>
  <si>
    <t>2.5.0438</t>
  </si>
  <si>
    <t>2.5.0439</t>
  </si>
  <si>
    <t>2.5.0442</t>
  </si>
  <si>
    <t>2.4.2090</t>
  </si>
  <si>
    <t>2.4.2091</t>
  </si>
  <si>
    <t>2.4.2092</t>
  </si>
  <si>
    <t>2.4.2093</t>
  </si>
  <si>
    <t>2.4.2094</t>
  </si>
  <si>
    <t>2.4.2095</t>
  </si>
  <si>
    <t>2.5.0980</t>
  </si>
  <si>
    <t>2.5.0981</t>
  </si>
  <si>
    <t>Трансформатор ТМ 630-6/0,4 ТП-251/1 (47038207)</t>
  </si>
  <si>
    <t>2.4.2062</t>
  </si>
  <si>
    <t>Трансформатор сил-й ТМ400-6/0,4, ТП-254/2  (47064407)</t>
  </si>
  <si>
    <t>инв.10104692</t>
  </si>
  <si>
    <t>Принтер лазерный Canon</t>
  </si>
  <si>
    <t>инв.10104693,694</t>
  </si>
  <si>
    <t>Тренажер беговая дорожка</t>
  </si>
  <si>
    <t>Системный блок AMDPhenom II X4 955</t>
  </si>
  <si>
    <t>Пианино "Лирика"</t>
  </si>
  <si>
    <t>130220/0001; 130220/0002</t>
  </si>
  <si>
    <t>СП00001087</t>
  </si>
  <si>
    <t>0120140034; 243</t>
  </si>
  <si>
    <t>инв.37036407</t>
  </si>
  <si>
    <t>Мебель "Гномик" диван</t>
  </si>
  <si>
    <t>Процессор эффектов ALESIS MIDIVERB IV</t>
  </si>
  <si>
    <t>инв.01380783-86. Колонки черного цвета-4шт</t>
  </si>
  <si>
    <t>инв.01380787-90. Колонки черного цвета-4шт</t>
  </si>
  <si>
    <t>2.4.0599</t>
  </si>
  <si>
    <t>2.4.0600</t>
  </si>
  <si>
    <t>2.4.0601</t>
  </si>
  <si>
    <t>2.4.2126</t>
  </si>
  <si>
    <t>Активная акустическая система</t>
  </si>
  <si>
    <t>инв.210106300078,80</t>
  </si>
  <si>
    <t>инв.210106300082</t>
  </si>
  <si>
    <t>Станция  компрессорная передвижная ПКСД-5,25Д</t>
  </si>
  <si>
    <t>инв. 89000003</t>
  </si>
  <si>
    <t>14.05.2007</t>
  </si>
  <si>
    <t>2.4.0588</t>
  </si>
  <si>
    <t>2.4.0589</t>
  </si>
  <si>
    <t>2.4.0590</t>
  </si>
  <si>
    <t>2.4.0591</t>
  </si>
  <si>
    <t>2.4.0592</t>
  </si>
  <si>
    <t>2.4.0593</t>
  </si>
  <si>
    <t>2.4.0595</t>
  </si>
  <si>
    <t>2.4.0596</t>
  </si>
  <si>
    <t>714</t>
  </si>
  <si>
    <t>2.5.1211</t>
  </si>
  <si>
    <t>2.5.1212</t>
  </si>
  <si>
    <t>Мебель "Игровая зона"</t>
  </si>
  <si>
    <t>инв.10106733</t>
  </si>
  <si>
    <t>2.5.1213</t>
  </si>
  <si>
    <t>Мебель "ИЗО студия"</t>
  </si>
  <si>
    <t>инв.10106732</t>
  </si>
  <si>
    <t xml:space="preserve">инв.10106731 </t>
  </si>
  <si>
    <t>Установка для напыления и заливки пенополиуретана ПГМ-20БН,20АТ</t>
  </si>
  <si>
    <t>12.2012</t>
  </si>
  <si>
    <t>Мишень д/мяча "Осьминог"</t>
  </si>
  <si>
    <t>2.5.0395</t>
  </si>
  <si>
    <t>2.5.0396</t>
  </si>
  <si>
    <t>2.5.0397</t>
  </si>
  <si>
    <t>Комплект офисной мебели</t>
  </si>
  <si>
    <t xml:space="preserve">Компьютерный класс </t>
  </si>
  <si>
    <t xml:space="preserve">Проектор  BenQ MP622 </t>
  </si>
  <si>
    <t xml:space="preserve">Компьютер  Office </t>
  </si>
  <si>
    <t>в сборе 531/512/160</t>
  </si>
  <si>
    <t>оц</t>
  </si>
  <si>
    <t>г/п 1т. КНС - 1  "Мысль"</t>
  </si>
  <si>
    <t>Насос типа "Гном" 50-10</t>
  </si>
  <si>
    <t>инв.10000450.ОАО "АХП", к.106</t>
  </si>
  <si>
    <t>Стол</t>
  </si>
  <si>
    <t>инв.210106300083</t>
  </si>
  <si>
    <t>Шкаф 3-х дверный</t>
  </si>
  <si>
    <t xml:space="preserve">Монитор ЖК </t>
  </si>
  <si>
    <t>инв.10104162</t>
  </si>
  <si>
    <t>инв.10104181</t>
  </si>
  <si>
    <t>инв.3061085/а</t>
  </si>
  <si>
    <t>инв.30612147</t>
  </si>
  <si>
    <t>инв.10104275, ADM + монитор LCD BenQ 21.5``</t>
  </si>
  <si>
    <t>2.5.1185</t>
  </si>
  <si>
    <t>инв.10000520. ул.40 лет Октября, 7</t>
  </si>
  <si>
    <t>Весы медицинские</t>
  </si>
  <si>
    <t>инв.210106300053,61</t>
  </si>
  <si>
    <t>Дверь противопожарная для щитовой, венткамеры</t>
  </si>
  <si>
    <t>2.5.0406</t>
  </si>
  <si>
    <t>2.5.0407</t>
  </si>
  <si>
    <t>2.5.0408</t>
  </si>
  <si>
    <t>15.07.2008</t>
  </si>
  <si>
    <t>Водонагреватель ак.электрический АТТ 10 SS</t>
  </si>
  <si>
    <t>2.2.0140</t>
  </si>
  <si>
    <t>2.4.1668</t>
  </si>
  <si>
    <t>счет - фактура</t>
  </si>
  <si>
    <t xml:space="preserve">инв.10106934 </t>
  </si>
  <si>
    <t>Фрезерная машинка</t>
  </si>
  <si>
    <t>контракт</t>
  </si>
  <si>
    <t>распоряжение (край); акт приемки-передачи (край)</t>
  </si>
  <si>
    <t>Камера КСО 272 (47046607, 47046707)</t>
  </si>
  <si>
    <t>Экран настенный</t>
  </si>
  <si>
    <t>инв.10106812</t>
  </si>
  <si>
    <t>Проектор ASER</t>
  </si>
  <si>
    <t>2.4.1194</t>
  </si>
  <si>
    <t>Трансформатор сил. 3 х фаз. ТМ560-6/0,4 ТП-286 (47023707)</t>
  </si>
  <si>
    <t>Трансформатор ТСМА160-6/0,4 ТП-293/1  (47024907)</t>
  </si>
  <si>
    <t>инв.10000499. кв."Б", д.4</t>
  </si>
  <si>
    <t>2.4.1250</t>
  </si>
  <si>
    <t>Проектор мультимедийный HitachiCP-RX93</t>
  </si>
  <si>
    <t>Монитор LCD BENQ G925HDA</t>
  </si>
  <si>
    <t>2.4.0984</t>
  </si>
  <si>
    <t>инв.010104019</t>
  </si>
  <si>
    <t>инв.1620150,52</t>
  </si>
  <si>
    <t>инв.01660050</t>
  </si>
  <si>
    <t>инв.1060021-22</t>
  </si>
  <si>
    <t>инв.01660051</t>
  </si>
  <si>
    <t>Гарнитур кабинетный</t>
  </si>
  <si>
    <t xml:space="preserve">Прибор динамический заливка света "Нервана" </t>
  </si>
  <si>
    <t>инв.10000660. Корп.157,РТП110/6,ТСН</t>
  </si>
  <si>
    <t>Трансформатор ТМ400-6/04, ТП-259/2 (47069507)</t>
  </si>
  <si>
    <t>инв.3061104</t>
  </si>
  <si>
    <t>инв.3061102</t>
  </si>
  <si>
    <t>Масляный ввод ГБМЛПУ 110/6 (47046807)</t>
  </si>
  <si>
    <t>инв.10000542. РТП110/6, корп.157</t>
  </si>
  <si>
    <t>Трансформатор сил. ТМ 400-6/0,4, ТП 208 бассейн (47046907)</t>
  </si>
  <si>
    <t>ИБП APS Smart SC 1500VA 230V-2U</t>
  </si>
  <si>
    <t>Право владения муниципальным имуществом</t>
  </si>
  <si>
    <t>Привод ПУ-06</t>
  </si>
  <si>
    <t>2.5.0203</t>
  </si>
  <si>
    <t>инв. 89202106. ЭН - 25, Q=25 кг/час, масса 925 кг,габариты 4*1,7*1,3 (Заводская,10)</t>
  </si>
  <si>
    <t>Стол с малахит.покрыт</t>
  </si>
  <si>
    <t>2.4.1990</t>
  </si>
  <si>
    <t>2.4.1991</t>
  </si>
  <si>
    <t>2.4.1992</t>
  </si>
  <si>
    <t>2.4.1993</t>
  </si>
  <si>
    <t>целевая программа (край)</t>
  </si>
  <si>
    <t>инв.10104124</t>
  </si>
  <si>
    <t>352</t>
  </si>
  <si>
    <t>2.4.0366</t>
  </si>
  <si>
    <t>2.5.1119</t>
  </si>
  <si>
    <t>договор розничной купли-продажи</t>
  </si>
  <si>
    <t>2.4.1460</t>
  </si>
  <si>
    <t>Весы лабораторные электр</t>
  </si>
  <si>
    <t>инв.1380524</t>
  </si>
  <si>
    <t>инв.1380525</t>
  </si>
  <si>
    <t>инв.1380181</t>
  </si>
  <si>
    <t>инв.10106363</t>
  </si>
  <si>
    <t>инв.10106365</t>
  </si>
  <si>
    <t>инв. 10106612</t>
  </si>
  <si>
    <t>инв. 509-510</t>
  </si>
  <si>
    <t>Компьютер в составе Dual Core E2180/DDR21Gb/DVD+R/RW</t>
  </si>
  <si>
    <t>Оверлог Brother 303 4D</t>
  </si>
  <si>
    <t>Сотовый телефон SAMSUNG</t>
  </si>
  <si>
    <t>Гитара</t>
  </si>
  <si>
    <t>Мальтийский гонг</t>
  </si>
  <si>
    <t>IX - 1995</t>
  </si>
  <si>
    <t>СЛБ0000056</t>
  </si>
  <si>
    <t>СТСТ-000200/2320130185</t>
  </si>
  <si>
    <t>договор</t>
  </si>
  <si>
    <t>распоряжение (край)</t>
  </si>
  <si>
    <t>СЛ-427</t>
  </si>
  <si>
    <t>2.5.0398</t>
  </si>
  <si>
    <t>2.5.0399</t>
  </si>
  <si>
    <t>2.5.0400</t>
  </si>
  <si>
    <t>2.5.0401</t>
  </si>
  <si>
    <t>2.5.0402</t>
  </si>
  <si>
    <t>2.5.0403</t>
  </si>
  <si>
    <t>2.5.0404</t>
  </si>
  <si>
    <t>Трансформатор ТМ400-6/0,4 ТП-260/2 (47038107)</t>
  </si>
  <si>
    <t>баннер "9 мая" 3,5*2,5</t>
  </si>
  <si>
    <t xml:space="preserve">Cплит-система GENERAL GC-S24HR </t>
  </si>
  <si>
    <t>1076</t>
  </si>
  <si>
    <t>договор пожертвования</t>
  </si>
  <si>
    <t>инв.10106173. Интерьерный динамический прибор на основе оптовололоконного преобразователя.</t>
  </si>
  <si>
    <t>Магнитофон кассетный "Пионер"</t>
  </si>
  <si>
    <t>2.2.0058</t>
  </si>
  <si>
    <t>2.2.0074</t>
  </si>
  <si>
    <t>Проектор BenQ</t>
  </si>
  <si>
    <t xml:space="preserve">Экран ScreenMedia </t>
  </si>
  <si>
    <t>4</t>
  </si>
  <si>
    <t>1992</t>
  </si>
  <si>
    <t>22042</t>
  </si>
  <si>
    <t>Кондиционер DAEWOODWB</t>
  </si>
  <si>
    <t>Комплект индивидуальной учебной мебели</t>
  </si>
  <si>
    <t>Эл.магнитный аппарат АМО-200-У1</t>
  </si>
  <si>
    <t>инв.010106023</t>
  </si>
  <si>
    <t>инв.010106024</t>
  </si>
  <si>
    <t>Спортивный комплекс</t>
  </si>
  <si>
    <t xml:space="preserve">Синтезатор КОRC - 50в </t>
  </si>
  <si>
    <t>1994</t>
  </si>
  <si>
    <t>Стол преподователя</t>
  </si>
  <si>
    <t>VI -1970 г.</t>
  </si>
  <si>
    <t>инв.10106709. Пластмассовый, зеленый, стойки металлические белые</t>
  </si>
  <si>
    <t>2.4.0846</t>
  </si>
  <si>
    <t>2.4.0847</t>
  </si>
  <si>
    <t>Цвет.видеокамера SONY DCR-45</t>
  </si>
  <si>
    <t>Кухня детская</t>
  </si>
  <si>
    <t>1604759</t>
  </si>
  <si>
    <t>Т-28</t>
  </si>
  <si>
    <t>2.5.0221</t>
  </si>
  <si>
    <t>Дата сформированной балансовой стоимости</t>
  </si>
  <si>
    <t>инв.902218</t>
  </si>
  <si>
    <t>Б-07183086</t>
  </si>
  <si>
    <t>2.5.0569</t>
  </si>
  <si>
    <t>1034</t>
  </si>
  <si>
    <t>15.08.2014</t>
  </si>
  <si>
    <t>26.08.2014</t>
  </si>
  <si>
    <t>инв.3061073/1,74/1</t>
  </si>
  <si>
    <t>Плита электрическая</t>
  </si>
  <si>
    <t>2.4.0884</t>
  </si>
  <si>
    <t>2.4.0885</t>
  </si>
  <si>
    <t>2.4.0886</t>
  </si>
  <si>
    <t>2.4.0887</t>
  </si>
  <si>
    <t>2.4.0888</t>
  </si>
  <si>
    <t>2.4.0889</t>
  </si>
  <si>
    <t>29.10.2014, 07.11.2014; 15.07.2015</t>
  </si>
  <si>
    <t>980; 1012; 606</t>
  </si>
  <si>
    <t>Мебель стенка</t>
  </si>
  <si>
    <t>инв.10106023</t>
  </si>
  <si>
    <t>Принтер лазерный Canon LI</t>
  </si>
  <si>
    <t>Трансформатор  ТМ 400-6/0,4 (47041407)</t>
  </si>
  <si>
    <t>Детский диван-мат "Квадрат"</t>
  </si>
  <si>
    <t>инв.10106934</t>
  </si>
  <si>
    <t>2.4.1496</t>
  </si>
  <si>
    <t>2.4.1497</t>
  </si>
  <si>
    <t>2.4.1498</t>
  </si>
  <si>
    <t>2.4.1500</t>
  </si>
  <si>
    <t>2.4.1501</t>
  </si>
  <si>
    <t>2.4.1502</t>
  </si>
  <si>
    <t>Телевизор "Тесхо"</t>
  </si>
  <si>
    <t>2.5.0322</t>
  </si>
  <si>
    <t>2.5.0958</t>
  </si>
  <si>
    <t>2.5.0959</t>
  </si>
  <si>
    <t>2.5.0960</t>
  </si>
  <si>
    <t>2.5.0961</t>
  </si>
  <si>
    <t>2.5.0962</t>
  </si>
  <si>
    <t>2.5.0964</t>
  </si>
  <si>
    <t>2.5.0965</t>
  </si>
  <si>
    <t>2.5.0966</t>
  </si>
  <si>
    <t>2.5.0967</t>
  </si>
  <si>
    <t>2.5.0968</t>
  </si>
  <si>
    <t>Доска классная</t>
  </si>
  <si>
    <t>договор поставки товароа, выполнения работ, оказания услуг</t>
  </si>
  <si>
    <t>Доска аудиторская</t>
  </si>
  <si>
    <t>2.5.0684</t>
  </si>
  <si>
    <t>2.5.0685</t>
  </si>
  <si>
    <t>2.5.0686</t>
  </si>
  <si>
    <t>2.5.0688</t>
  </si>
  <si>
    <t>2.5.0689</t>
  </si>
  <si>
    <t xml:space="preserve">инв.10106611 </t>
  </si>
  <si>
    <t>инв.10000394.ОАО "АХП", КСО-272</t>
  </si>
  <si>
    <t xml:space="preserve">инв. 01360142 ("Самсунг") </t>
  </si>
  <si>
    <t>инв. 01360129</t>
  </si>
  <si>
    <t>инв. 3061045</t>
  </si>
  <si>
    <t>инв. 3061065</t>
  </si>
  <si>
    <t>07-2001</t>
  </si>
  <si>
    <t>2.5.1246</t>
  </si>
  <si>
    <t>2.5.1247</t>
  </si>
  <si>
    <t>2.5.1248</t>
  </si>
  <si>
    <t>Мягкий модуль "Дорожное движение"</t>
  </si>
  <si>
    <t xml:space="preserve">контракт на поставку детских мягких игровых модулей </t>
  </si>
  <si>
    <t>0317300035415000038</t>
  </si>
  <si>
    <t>Мягкий модуль "Главная дорога"</t>
  </si>
  <si>
    <t>инв.10106745.Комплектность - 7 элементов; машинка - 5, светофор - 1, дорожка - 1</t>
  </si>
  <si>
    <t xml:space="preserve">инв.10106746. Комплектность - 61 элемент; светофор - 4, жезл - 1, светофор пеш.- 1, жилет - 7, разд.полоса - 4, огр.полоса - 6, дор.знаки - 18, зебра -4, машинки разные - 6, стойки д/дор.знаков - 10  </t>
  </si>
  <si>
    <t>Мягкий модуль "Замок"</t>
  </si>
  <si>
    <t>инв.10106747. Комплектность -18 элементов; кубики - 8, арка - 1, прямоугольник - 5, треугольник - 4</t>
  </si>
  <si>
    <t>Мягкий модуль "Кирпичики"</t>
  </si>
  <si>
    <t>инв.10106748. Комплектность - 34 элемента; прямоульник - 6, треульная призма - 6, квадрат - 6, брус малый - 6, брус большой -6, круг - 4</t>
  </si>
  <si>
    <t>Мягкий модуль "Городок 2"</t>
  </si>
  <si>
    <t>инв.10106749,10106750. Комплектность -21 элемент; прямоугольная арка - 2, брус -2, куб - 8, треугольник - 2, крыша -3, перекладина малая -4</t>
  </si>
  <si>
    <t>Мягкий модуль "Полоса препятствий"</t>
  </si>
  <si>
    <t>инв.10106751,10106752. Комплектность - 17 элементов; мость - 8, скат -3, мат -3, столбик -2, кольцо -1</t>
  </si>
  <si>
    <t>инв.10106659. Размер 600х600х1178. Состоит из 5 шкафов, цвет салатный, кофейный</t>
  </si>
  <si>
    <t>Мебель стенка детская 3</t>
  </si>
  <si>
    <t>2.5.1206</t>
  </si>
  <si>
    <t>2.5.1207</t>
  </si>
  <si>
    <t>СВ печь MYSTERY MMW-1711</t>
  </si>
  <si>
    <t>инв.30612128</t>
  </si>
  <si>
    <t>Стиральная машина "ВЕКО" WKD 25105T RUS</t>
  </si>
  <si>
    <t>инв.30612129</t>
  </si>
  <si>
    <t>инв.210106300079</t>
  </si>
  <si>
    <t>Мебель-стенка</t>
  </si>
  <si>
    <t>инв.10104584</t>
  </si>
  <si>
    <t>2.4.0741</t>
  </si>
  <si>
    <t>2.4.0742</t>
  </si>
  <si>
    <t>2.4.0744</t>
  </si>
  <si>
    <t>2.4.0745</t>
  </si>
  <si>
    <t>1239</t>
  </si>
  <si>
    <t>2.5.0570</t>
  </si>
  <si>
    <t>Сплит-система (кондиционер)</t>
  </si>
  <si>
    <t>инв.10136107.Neoclima NS/HAL-09</t>
  </si>
  <si>
    <t>15.12.2014</t>
  </si>
  <si>
    <t>контракт на поставку товара для муниципальных нужд</t>
  </si>
  <si>
    <t>0120140110</t>
  </si>
  <si>
    <t>Угловой сухой бассейн</t>
  </si>
  <si>
    <t>инв.10106876</t>
  </si>
  <si>
    <t>Трансформатор  ТМ 400-6/0,4, ТП-280 (47051207)</t>
  </si>
  <si>
    <t>Шкаф из 18-ти кабинок</t>
  </si>
  <si>
    <t>28.04.08</t>
  </si>
  <si>
    <t>инв.2060948</t>
  </si>
  <si>
    <t>инв.101090074</t>
  </si>
  <si>
    <t>Системный блок Pentium IV 2800</t>
  </si>
  <si>
    <t>Стенка "Детская кухня"</t>
  </si>
  <si>
    <t>Стенка "Детская"</t>
  </si>
  <si>
    <t>инв.1380041</t>
  </si>
  <si>
    <t>инв.1380011</t>
  </si>
  <si>
    <t>инв.1380034</t>
  </si>
  <si>
    <t>2.5.0825</t>
  </si>
  <si>
    <t>2.5.0826</t>
  </si>
  <si>
    <t>2.5.0827</t>
  </si>
  <si>
    <t>2.5.0828</t>
  </si>
  <si>
    <t>2.5.0829</t>
  </si>
  <si>
    <t>2.5.0830</t>
  </si>
  <si>
    <t>2.5.0831</t>
  </si>
  <si>
    <t>2.5.0832</t>
  </si>
  <si>
    <t>инв.210106300112. PANASONIC KX-FT982</t>
  </si>
  <si>
    <t>6120140018</t>
  </si>
  <si>
    <t>инв.10104718. Состоит из: водосчетчик ВСТ-40 - 2 шт., кабель КММ2х0,75 - 10 м, присоединители</t>
  </si>
  <si>
    <t xml:space="preserve">договор на выполнение работ </t>
  </si>
  <si>
    <t>282015100</t>
  </si>
  <si>
    <t>Кипятильник электрический КНЭ-50-01</t>
  </si>
  <si>
    <t>инв.10104719. Н/ж сталь</t>
  </si>
  <si>
    <t>122</t>
  </si>
  <si>
    <t>2.5.1227</t>
  </si>
  <si>
    <t>2.5.1228</t>
  </si>
  <si>
    <t>2.5.1279</t>
  </si>
  <si>
    <t>инв.210106300111</t>
  </si>
  <si>
    <t>договор на оказание услуг для муниципальных нужд</t>
  </si>
  <si>
    <t>6220161018</t>
  </si>
  <si>
    <t xml:space="preserve">Сетка волейбольная                                                                                                                                                                                                        KV. Rezac </t>
  </si>
  <si>
    <t>2.4.2426</t>
  </si>
  <si>
    <t>230</t>
  </si>
  <si>
    <t>2.4.0497</t>
  </si>
  <si>
    <t>240</t>
  </si>
  <si>
    <t>инв.10000548. Район ОРСа, ТП-280</t>
  </si>
  <si>
    <t>Трансформатор ТМ 250-6/0,4, ТП 117 (47051507)</t>
  </si>
  <si>
    <t>Трансформатор ТМ 250-6/0,4, корп.10 (резерв) (47051607)</t>
  </si>
  <si>
    <t>Барабан движущий</t>
  </si>
  <si>
    <t>2.4.0261</t>
  </si>
  <si>
    <t>2.5.0323</t>
  </si>
  <si>
    <t>2.5.0324</t>
  </si>
  <si>
    <t>2.5.0325</t>
  </si>
  <si>
    <t>2.5.0326</t>
  </si>
  <si>
    <t>2.5.0327</t>
  </si>
  <si>
    <t>Электронное картографическое пособие «География. Россия. Природа, население, хозяйство». Просвещение. Сферы.</t>
  </si>
  <si>
    <t>Электронное приложение к учебнику УМК «География. Россия: природа, население, хозяйство. 8 класс». Просвещение. Сферы.</t>
  </si>
  <si>
    <t>2.4.1034</t>
  </si>
  <si>
    <t>2.4.1035</t>
  </si>
  <si>
    <t>2.4.1036</t>
  </si>
  <si>
    <t>2.4.1037</t>
  </si>
  <si>
    <t>2.4.1038</t>
  </si>
  <si>
    <t>2.4.1039</t>
  </si>
  <si>
    <t>2.4.1040</t>
  </si>
  <si>
    <t>2.4.0748</t>
  </si>
  <si>
    <t>Компьютер DEPO Neos 460USF W7 P64/i3 3220/8GDDR1333/100 0G/sDVD±RW/CAR3PCB- 22 090 руб.;</t>
  </si>
  <si>
    <t>Баян "Тула"</t>
  </si>
  <si>
    <t>инв.01380779</t>
  </si>
  <si>
    <t>инв.10104020</t>
  </si>
  <si>
    <t>2.5.0263</t>
  </si>
  <si>
    <t>2.5.0277</t>
  </si>
  <si>
    <t>2.5.0278</t>
  </si>
  <si>
    <t>2.5.0283</t>
  </si>
  <si>
    <t>2.5.0288</t>
  </si>
  <si>
    <t>Привод УКМ-0,6</t>
  </si>
  <si>
    <t>Плита электрическая "Традиция" ЭПШЧ-9-4-16</t>
  </si>
  <si>
    <t>Триммер</t>
  </si>
  <si>
    <t>инв.210106300041</t>
  </si>
  <si>
    <t>1188</t>
  </si>
  <si>
    <t>инв.10000366. ОАО "АХП", ЦРП-3</t>
  </si>
  <si>
    <t>2.4.1315</t>
  </si>
  <si>
    <t>Орион-05</t>
  </si>
  <si>
    <t>2.4.0514</t>
  </si>
  <si>
    <t>2.4.0525</t>
  </si>
  <si>
    <t>Трансформатор сил. 3 х фаз.ТМ560-6/0,4, корп.10 (резерв) (47022707)</t>
  </si>
  <si>
    <t>край, товарный накладная</t>
  </si>
  <si>
    <t>1/20</t>
  </si>
  <si>
    <t>письмо</t>
  </si>
  <si>
    <t>справка</t>
  </si>
  <si>
    <t>13.08.2010</t>
  </si>
  <si>
    <t>1275</t>
  </si>
  <si>
    <t>504</t>
  </si>
  <si>
    <t xml:space="preserve">распоряжение </t>
  </si>
  <si>
    <t>35097</t>
  </si>
  <si>
    <t>4373</t>
  </si>
  <si>
    <t>приказ                   (край)</t>
  </si>
  <si>
    <t>9038</t>
  </si>
  <si>
    <t xml:space="preserve">акт купли - продажи </t>
  </si>
  <si>
    <t>Биологическая микролаборатория</t>
  </si>
  <si>
    <t>2.4.1415</t>
  </si>
  <si>
    <t>2.4.1417</t>
  </si>
  <si>
    <t>Подвесной потолочный модуль "Галактика 1200"</t>
  </si>
  <si>
    <t>2.4.2022</t>
  </si>
  <si>
    <t>2.4.2023</t>
  </si>
  <si>
    <t>2.4.2024</t>
  </si>
  <si>
    <t>Посудомоечная машина</t>
  </si>
  <si>
    <t>2.5.0110</t>
  </si>
  <si>
    <t>Дорожка ковровая</t>
  </si>
  <si>
    <t>Эл.гитара Лион</t>
  </si>
  <si>
    <t>инв.01380004</t>
  </si>
  <si>
    <t>инв.3061005</t>
  </si>
  <si>
    <t>Трансформатор масляный ТМ-560-10</t>
  </si>
  <si>
    <t>инв.43000407-43000507</t>
  </si>
  <si>
    <t>Комплект элект. снабжения</t>
  </si>
  <si>
    <t>инв.10106569-571</t>
  </si>
  <si>
    <t>721; 10</t>
  </si>
  <si>
    <t>инв.210104200027</t>
  </si>
  <si>
    <t>Панель ЩО-70</t>
  </si>
  <si>
    <t>Адаптер</t>
  </si>
  <si>
    <t>Мебель детская</t>
  </si>
  <si>
    <t>Уголок кухонный</t>
  </si>
  <si>
    <t>Мебель "Уголок природы"</t>
  </si>
  <si>
    <t>Мебель-стенка"Кухонка"</t>
  </si>
  <si>
    <t>инв.ВА 0000000035</t>
  </si>
  <si>
    <t>27</t>
  </si>
  <si>
    <t>28</t>
  </si>
  <si>
    <t>29</t>
  </si>
  <si>
    <t>38</t>
  </si>
  <si>
    <t>40</t>
  </si>
  <si>
    <t>инв.000000013</t>
  </si>
  <si>
    <t>Тахеометр Focus 6</t>
  </si>
  <si>
    <t>2.4.2388</t>
  </si>
  <si>
    <t>Счетчик хол.воды</t>
  </si>
  <si>
    <t>Д 245.7Е3   540147</t>
  </si>
  <si>
    <t>Счетчик горячей воды</t>
  </si>
  <si>
    <t>Камера КСО-272 ЦРП-26 (47067907)</t>
  </si>
  <si>
    <t>инв.10000649. ЦРП-26</t>
  </si>
  <si>
    <t>2.5.0249</t>
  </si>
  <si>
    <t>2.5.0250</t>
  </si>
  <si>
    <t>2.5.0251</t>
  </si>
  <si>
    <t>Музыкальный центр ВВК АВS524U 71089391</t>
  </si>
  <si>
    <t>2.5.0597</t>
  </si>
  <si>
    <t>Мешок боксерский</t>
  </si>
  <si>
    <t>Двигатель №</t>
  </si>
  <si>
    <t>инв.10104182</t>
  </si>
  <si>
    <t>Стол офисный прямой</t>
  </si>
  <si>
    <t>Шахматы демонстрационные</t>
  </si>
  <si>
    <t>инв.01380781</t>
  </si>
  <si>
    <t>Часы электронные</t>
  </si>
  <si>
    <t>инв.01380007</t>
  </si>
  <si>
    <t>Станок токарный</t>
  </si>
  <si>
    <t>Скрипка 4/4</t>
  </si>
  <si>
    <t>2.4.1929</t>
  </si>
  <si>
    <t>приказ (край); акт; постановление</t>
  </si>
  <si>
    <t>5395; 851; 174</t>
  </si>
  <si>
    <t>28.08.2012; 28.01.2013; 12.02.2013</t>
  </si>
  <si>
    <t>сч-ф № Б-40</t>
  </si>
  <si>
    <t>5606-М195783М</t>
  </si>
  <si>
    <t>Стол бильярдный</t>
  </si>
  <si>
    <t>2145265</t>
  </si>
  <si>
    <t>2.4.1659</t>
  </si>
  <si>
    <t>2.4.1661</t>
  </si>
  <si>
    <t>2.4.1662</t>
  </si>
  <si>
    <t>2.4.0810</t>
  </si>
  <si>
    <t>2.4.0811</t>
  </si>
  <si>
    <t>2.4.0812</t>
  </si>
  <si>
    <t>2.4.0813</t>
  </si>
  <si>
    <t>контракт на поставку оборудования, костюмов</t>
  </si>
  <si>
    <t>Стол для заседаний</t>
  </si>
  <si>
    <t>Станок настольно-сверлильн.</t>
  </si>
  <si>
    <t>инв.10106760-2</t>
  </si>
  <si>
    <t>2.5.0133</t>
  </si>
  <si>
    <t>2.5.0134</t>
  </si>
  <si>
    <t>2.5.0135</t>
  </si>
  <si>
    <t>2.5.0136</t>
  </si>
  <si>
    <t>2.5.0138</t>
  </si>
  <si>
    <t xml:space="preserve">инв.10104152- 10104158, 10104162-10104165, 10104179-10104182 </t>
  </si>
  <si>
    <t>инв.10104151</t>
  </si>
  <si>
    <t>инв.10104150</t>
  </si>
  <si>
    <t>инв.10104645</t>
  </si>
  <si>
    <t>инв.10104646</t>
  </si>
  <si>
    <t>55-р</t>
  </si>
  <si>
    <t>168-р; 177</t>
  </si>
  <si>
    <t xml:space="preserve">Интерактивные плакаты. История России (IX-XIX вв.) Программно-методический комплекс. </t>
  </si>
  <si>
    <t>Устройство автоматического регулирования (частотный преобразователь)</t>
  </si>
  <si>
    <t>инв.37033509</t>
  </si>
  <si>
    <t>2.4.1195.К</t>
  </si>
  <si>
    <t>2.4.1197.К</t>
  </si>
  <si>
    <t>2.5.0617</t>
  </si>
  <si>
    <t>2.5.0618</t>
  </si>
  <si>
    <t>2.5.0619</t>
  </si>
  <si>
    <t>2.5.0620</t>
  </si>
  <si>
    <t>Трансформатор силовой ТМ250-6/0,4 (47062307)</t>
  </si>
  <si>
    <t xml:space="preserve">инв. 89422451 (оценка 2013). ПРЭМ-150 кл.D. КНС-2, ул.Кулундинская </t>
  </si>
  <si>
    <t>инв.1380161,62,73</t>
  </si>
  <si>
    <t>Манекен My double S 42-52</t>
  </si>
  <si>
    <t>Доска гладильная "Капитол" перф. лист 120*38 с подрукавниками</t>
  </si>
  <si>
    <t>инв.3061020/1</t>
  </si>
  <si>
    <t>Музыкальный центр DAEWOO</t>
  </si>
  <si>
    <t>Лазер</t>
  </si>
  <si>
    <t>Кушетка процедурная</t>
  </si>
  <si>
    <t>2.5.0649</t>
  </si>
  <si>
    <t>Палас 3,5*4</t>
  </si>
  <si>
    <t>инв.10106588</t>
  </si>
  <si>
    <t>Шкаф холодильный СМ 107 S</t>
  </si>
  <si>
    <t>Стенды</t>
  </si>
  <si>
    <t>инв.10106616-21</t>
  </si>
  <si>
    <t>2.4.1628</t>
  </si>
  <si>
    <t>ЩЗ1 И1шлем д/Косика-карате</t>
  </si>
  <si>
    <t>2.4.1629</t>
  </si>
  <si>
    <t>2.4.1630</t>
  </si>
  <si>
    <t xml:space="preserve">Пистолет пневматический </t>
  </si>
  <si>
    <t>2.4.1631</t>
  </si>
  <si>
    <t>*40620D*13061005*</t>
  </si>
  <si>
    <t>инв.№3061015</t>
  </si>
  <si>
    <t>Сковорода электрическая СЭСМ 0,3Н</t>
  </si>
  <si>
    <t>2.4.0242</t>
  </si>
  <si>
    <t>2.4.0245</t>
  </si>
  <si>
    <t>2.4.0251</t>
  </si>
  <si>
    <t>Мультимедийный проектор Epson</t>
  </si>
  <si>
    <t>инв. 89422458 (оценка 2013). ACS 550-01-07 2А-4 37/30 квт.  ул.Чапаева, куст скважина 40</t>
  </si>
  <si>
    <t>Стенд период.системы Менделеева</t>
  </si>
  <si>
    <t>Стол школьный д/труда</t>
  </si>
  <si>
    <t>ООО "УК Яровое"</t>
  </si>
  <si>
    <t>Плита электрическая ПЭШ-4Ш 2004</t>
  </si>
  <si>
    <t>инв.10106020</t>
  </si>
  <si>
    <t>2.5.0498</t>
  </si>
  <si>
    <t>Год выпуска</t>
  </si>
  <si>
    <t xml:space="preserve">Холодильник "Бирюса" </t>
  </si>
  <si>
    <t>инв.01380384</t>
  </si>
  <si>
    <t>30.12.2013; 02.09.2014</t>
  </si>
  <si>
    <t>инв.3061099/а</t>
  </si>
  <si>
    <t>Факс Панасоник 932</t>
  </si>
  <si>
    <t>948969</t>
  </si>
  <si>
    <t>приказ (край); акт приема-передачи</t>
  </si>
  <si>
    <t>11.11.2011; 11.11.2011</t>
  </si>
  <si>
    <t>19.12.2011</t>
  </si>
  <si>
    <t>Ванна моечная 1/530</t>
  </si>
  <si>
    <t>инв. 89000107. СМ 150-125-315 с электродвигателем фекальный</t>
  </si>
  <si>
    <t>2.4.0389</t>
  </si>
  <si>
    <t>2.4.0391</t>
  </si>
  <si>
    <t>2.4.0392</t>
  </si>
  <si>
    <t>2.4.0393</t>
  </si>
  <si>
    <t>2.4.0394</t>
  </si>
  <si>
    <t>2.4.0398</t>
  </si>
  <si>
    <t>Трансформатор ТМ400-6/04, ТП 214/1 (47061707)</t>
  </si>
  <si>
    <t>Приказ (край)</t>
  </si>
  <si>
    <t xml:space="preserve">письмо  </t>
  </si>
  <si>
    <t>2.5.1272</t>
  </si>
  <si>
    <t>Сосна новогодняя искуственная</t>
  </si>
  <si>
    <t>инв.1380073</t>
  </si>
  <si>
    <t>Стеллаж для книг</t>
  </si>
  <si>
    <t>Прибор интерактивный световой "Радость"</t>
  </si>
  <si>
    <t>2.5.0581</t>
  </si>
  <si>
    <t>Эл.тельфер</t>
  </si>
  <si>
    <t>Насос погружной</t>
  </si>
  <si>
    <t>Гарнитур кухонный (детский)</t>
  </si>
  <si>
    <t>24.05.13</t>
  </si>
  <si>
    <t>инв.10106241</t>
  </si>
  <si>
    <t>Стиральная машина LG</t>
  </si>
  <si>
    <t>2.5.0991</t>
  </si>
  <si>
    <t>2.5.0992</t>
  </si>
  <si>
    <t>2.5.0993</t>
  </si>
  <si>
    <t>2.5.0994</t>
  </si>
  <si>
    <t>2.5.0995</t>
  </si>
  <si>
    <t>2.5.0996</t>
  </si>
  <si>
    <t>инв.10000477. МСЧ-128</t>
  </si>
  <si>
    <t>Трансформатор  3РОМ /РТП/ (47025607, 47025707)</t>
  </si>
  <si>
    <t xml:space="preserve"> инв.10000478, 10000479. РТП110/6</t>
  </si>
  <si>
    <t xml:space="preserve">Трансформатор  ТДНГ 20000-110/6  (РТП) (47025807, 47026107) </t>
  </si>
  <si>
    <t xml:space="preserve"> инв.10000480, 10000481. РТП110/6</t>
  </si>
  <si>
    <t>инв.10000450. дачи, куст-5</t>
  </si>
  <si>
    <t>2.5.0504</t>
  </si>
  <si>
    <t>2.5.0505</t>
  </si>
  <si>
    <t>2.5.0506</t>
  </si>
  <si>
    <t>2.4.0871</t>
  </si>
  <si>
    <t>2.4.0872</t>
  </si>
  <si>
    <t>2.4.0875</t>
  </si>
  <si>
    <t>2.4.0876</t>
  </si>
  <si>
    <t>Ноутбук TOSHIBA</t>
  </si>
  <si>
    <t xml:space="preserve">Ноутбук </t>
  </si>
  <si>
    <t>МБУ "СОЦ" г.Яровое</t>
  </si>
  <si>
    <t>инв. 89422431 (оценка 2013). ПРЭМ-150 кл.D. КНС-3, территория бывшего ОРСа</t>
  </si>
  <si>
    <t>инв. 89422432 (оценка 2013). КНС-2  "Мысль"</t>
  </si>
  <si>
    <t>Центр музыкальный</t>
  </si>
  <si>
    <t>инв.2060995</t>
  </si>
  <si>
    <t>Д245.9Е3 479685</t>
  </si>
  <si>
    <t>Х1М4234К090000442</t>
  </si>
  <si>
    <t>.10.2009</t>
  </si>
  <si>
    <t>инв.10000650. ТП-115, дачи</t>
  </si>
  <si>
    <t>Трансформатор сил. ТМФ 400-6/0,4, ТП-291  (47068207)</t>
  </si>
  <si>
    <t>инв.10000651. Училище №39, ТП-291</t>
  </si>
  <si>
    <t>инв.10000652. Корп.10 резерв</t>
  </si>
  <si>
    <t>2.4.1448</t>
  </si>
  <si>
    <t>2.4.1449</t>
  </si>
  <si>
    <t>00000034</t>
  </si>
  <si>
    <t>накладная</t>
  </si>
  <si>
    <t>00000186</t>
  </si>
  <si>
    <t>00000267</t>
  </si>
  <si>
    <t>Начисленная амортизация (износ), руб.</t>
  </si>
  <si>
    <t>Трансформер "Кольцо"</t>
  </si>
  <si>
    <t>инв.10106830, 10106829. Состоит из 5 элементов</t>
  </si>
  <si>
    <t>11.12.2014</t>
  </si>
  <si>
    <t>99/2620140041</t>
  </si>
  <si>
    <t>Сенсорная тропа "Змейка"</t>
  </si>
  <si>
    <t>инв.10106837, 10106838</t>
  </si>
  <si>
    <t>инв.10106842, 10106843</t>
  </si>
  <si>
    <t xml:space="preserve">Игровой лабиринт </t>
  </si>
  <si>
    <t>Факс PANASONIC KX-ГТ9822</t>
  </si>
  <si>
    <t>2.4.2025</t>
  </si>
  <si>
    <t>2.4.2026</t>
  </si>
  <si>
    <t>2.4.2027</t>
  </si>
  <si>
    <t>2.4.0727</t>
  </si>
  <si>
    <t>2.4.0728</t>
  </si>
  <si>
    <t>2.4.0729</t>
  </si>
  <si>
    <t>2.4.0732</t>
  </si>
  <si>
    <t>2.4.0733</t>
  </si>
  <si>
    <t>2.4.0734</t>
  </si>
  <si>
    <t>2.4.0735</t>
  </si>
  <si>
    <t>2.4.0736</t>
  </si>
  <si>
    <t>2.4.0737</t>
  </si>
  <si>
    <t>Металлодетектор ручной</t>
  </si>
  <si>
    <t>сч-ф № УТ240</t>
  </si>
  <si>
    <t>Насос ЭЦВ-10- 63/150</t>
  </si>
  <si>
    <t xml:space="preserve">Плита электическая </t>
  </si>
  <si>
    <t>Баян Тула 209</t>
  </si>
  <si>
    <t xml:space="preserve">инв.10000435. ОАО "АХП", автобаза </t>
  </si>
  <si>
    <t>инв.10000449.ОАО "АХП", к.106</t>
  </si>
  <si>
    <t>Сплит-система BALLU 0,9</t>
  </si>
  <si>
    <t>Микроскоп</t>
  </si>
  <si>
    <t>2.4.2377</t>
  </si>
  <si>
    <t>МФУ HP Laser Jet Pro 100 M 125ra</t>
  </si>
  <si>
    <t>Сухой бассейн</t>
  </si>
  <si>
    <t>инв.010104029</t>
  </si>
  <si>
    <t>инв.10104687/1,88</t>
  </si>
  <si>
    <t>Тарелка Sabian 13 "CRASH</t>
  </si>
  <si>
    <t>2.5.0440</t>
  </si>
  <si>
    <t>2.5.0441</t>
  </si>
  <si>
    <t xml:space="preserve">Детский диван-мат "Уголок" </t>
  </si>
  <si>
    <t>инв.10116328. 140х140х30(15)</t>
  </si>
  <si>
    <t xml:space="preserve">Мат </t>
  </si>
  <si>
    <t>инв.10116320. 200х138х7</t>
  </si>
  <si>
    <t>Телефон-факс Panasonic</t>
  </si>
  <si>
    <t>2.5.0140</t>
  </si>
  <si>
    <t>2.5.0143</t>
  </si>
  <si>
    <t>2.5.0627</t>
  </si>
  <si>
    <t xml:space="preserve"> КНС - 1  "Мысль"</t>
  </si>
  <si>
    <t>инв.10106949</t>
  </si>
  <si>
    <t>Баян "Юпитер" конц.многотембров.</t>
  </si>
  <si>
    <t>2.5.1003</t>
  </si>
  <si>
    <t>2.5.1004</t>
  </si>
  <si>
    <t>2.5.1005</t>
  </si>
  <si>
    <t>2.5.1006</t>
  </si>
  <si>
    <t>2.5.1007</t>
  </si>
  <si>
    <t>2.5.1008</t>
  </si>
  <si>
    <t>Домра малая-1</t>
  </si>
  <si>
    <t>Духовой оркестр</t>
  </si>
  <si>
    <t>Набор инструментов для народного оркестра (6 домр, 5 балалаек, 1 балалайка-бас)</t>
  </si>
  <si>
    <t>Пианино "Петров"</t>
  </si>
  <si>
    <t>Пианино "Приморье"</t>
  </si>
  <si>
    <t>Пианино "Тюмень"</t>
  </si>
  <si>
    <t>Пианино "Урал"</t>
  </si>
  <si>
    <t>Пианино "Чайка"</t>
  </si>
  <si>
    <t>Пианино "Шольце"</t>
  </si>
  <si>
    <t>Пианино "Рейниш"</t>
  </si>
  <si>
    <t>Ударная установка</t>
  </si>
  <si>
    <t>Холодильник Минск</t>
  </si>
  <si>
    <t>Усилитель Риган</t>
  </si>
  <si>
    <t>Тумба файловая</t>
  </si>
  <si>
    <t>2.5.0233</t>
  </si>
  <si>
    <t>2.5.0234</t>
  </si>
  <si>
    <t>2.5.0237</t>
  </si>
  <si>
    <t>2.5.0238</t>
  </si>
  <si>
    <t>2.5.0239</t>
  </si>
  <si>
    <t>2.5.0240</t>
  </si>
  <si>
    <t>Системный блок</t>
  </si>
  <si>
    <t>2.5.0329</t>
  </si>
  <si>
    <t>874</t>
  </si>
  <si>
    <t>2.5.0336</t>
  </si>
  <si>
    <t>2.5.0337</t>
  </si>
  <si>
    <t>2.5.0338</t>
  </si>
  <si>
    <t>2.5.0339</t>
  </si>
  <si>
    <t>Камера КСО 266 /ЦРП 1/ (47003707, 47003807, 47003907, 47004007, 47004107, 47004207, 47004307)</t>
  </si>
  <si>
    <t>инв.101061008</t>
  </si>
  <si>
    <t>2.5.0132</t>
  </si>
  <si>
    <t>2.5.0564</t>
  </si>
  <si>
    <t>2.5.0565</t>
  </si>
  <si>
    <t>2.5.0566</t>
  </si>
  <si>
    <t>2.5.0567</t>
  </si>
  <si>
    <t>2.5.0003</t>
  </si>
  <si>
    <t>2.5.0006</t>
  </si>
  <si>
    <t>2.5.0060</t>
  </si>
  <si>
    <t>2.5.0090</t>
  </si>
  <si>
    <t>2.5.0091</t>
  </si>
  <si>
    <t>2.5.0092</t>
  </si>
  <si>
    <t>акт приема-передачи</t>
  </si>
  <si>
    <t>198-р</t>
  </si>
  <si>
    <t>140/08</t>
  </si>
  <si>
    <t>2.4.0848</t>
  </si>
  <si>
    <t>2.4.0849</t>
  </si>
  <si>
    <t>инв.10000540, 10000541. ОАО "АХП", ЦРП-7</t>
  </si>
  <si>
    <t>КНС-4 (территория бассейна "Нептун")</t>
  </si>
  <si>
    <t>Генератор ПСП 2-3</t>
  </si>
  <si>
    <t>1048</t>
  </si>
  <si>
    <t>инв.1040842</t>
  </si>
  <si>
    <t>инв.016307271</t>
  </si>
  <si>
    <t>инв.01380798</t>
  </si>
  <si>
    <t>107</t>
  </si>
  <si>
    <t>108</t>
  </si>
  <si>
    <t>109</t>
  </si>
  <si>
    <t>112</t>
  </si>
  <si>
    <t>21</t>
  </si>
  <si>
    <t>Школьная метеостанция</t>
  </si>
  <si>
    <t>"Кросна ИНТ-П"</t>
  </si>
  <si>
    <t>инв.3061101</t>
  </si>
  <si>
    <t>инв.3061092/1</t>
  </si>
  <si>
    <t>инв.3061085,а</t>
  </si>
  <si>
    <t xml:space="preserve">Электронное приложение к учебнику «География. Земля и люди. 7 класс». Просвещение. Сферы. </t>
  </si>
  <si>
    <t>Панель</t>
  </si>
  <si>
    <t>Шкаф для одежды</t>
  </si>
  <si>
    <t>Телевизор Рубин</t>
  </si>
  <si>
    <t>Конструктор "ПервоРобот NXT"-2шт</t>
  </si>
  <si>
    <t>лазерный</t>
  </si>
  <si>
    <t>2.4.0791</t>
  </si>
  <si>
    <t>2.4.0796</t>
  </si>
  <si>
    <t>2.4.0797</t>
  </si>
  <si>
    <t>инв.210106200049</t>
  </si>
  <si>
    <t>инв.210106300024</t>
  </si>
  <si>
    <t>инв.210106300026</t>
  </si>
  <si>
    <t>2.5.1273</t>
  </si>
  <si>
    <t>2.5.1274</t>
  </si>
  <si>
    <t>Передвижная конструкция для выставки картин</t>
  </si>
  <si>
    <t>11-2015</t>
  </si>
  <si>
    <t>инв.3120169</t>
  </si>
  <si>
    <t>договор на поставку</t>
  </si>
  <si>
    <t>2.4.0477</t>
  </si>
  <si>
    <t>2.4.0478</t>
  </si>
  <si>
    <t>2.4.0479</t>
  </si>
  <si>
    <t>2.4.0480</t>
  </si>
  <si>
    <t>2.4.0481</t>
  </si>
  <si>
    <t>2.4.0482</t>
  </si>
  <si>
    <t>2.4.0483</t>
  </si>
  <si>
    <t>2.4.0484</t>
  </si>
  <si>
    <t>2.4.0485</t>
  </si>
  <si>
    <t>2.4.0486</t>
  </si>
  <si>
    <t>2.4.0487</t>
  </si>
  <si>
    <t>2.4.0927</t>
  </si>
  <si>
    <t>2.4.0618</t>
  </si>
  <si>
    <t>2.4.0622</t>
  </si>
  <si>
    <t>2.4.0862</t>
  </si>
  <si>
    <t>2.4.0855</t>
  </si>
  <si>
    <t>24.06.2014</t>
  </si>
  <si>
    <t>42/06</t>
  </si>
  <si>
    <t>Монитор Samsung 19,5</t>
  </si>
  <si>
    <t>инв.902220</t>
  </si>
  <si>
    <t>Трансформатор</t>
  </si>
  <si>
    <t>2.4.1685</t>
  </si>
  <si>
    <t>2.4.1686</t>
  </si>
  <si>
    <t>2.5.1078</t>
  </si>
  <si>
    <t>Трансформатор ТСМА-180-6/0,4 ТП-293/2  (47025007)</t>
  </si>
  <si>
    <t>инв.1380015</t>
  </si>
  <si>
    <t>2.5.0662</t>
  </si>
  <si>
    <t>2.5.0663</t>
  </si>
  <si>
    <t>2.5.0664</t>
  </si>
  <si>
    <t>2.5.0665</t>
  </si>
  <si>
    <t>2.5.0666</t>
  </si>
  <si>
    <t>2.5.0667</t>
  </si>
  <si>
    <t>2.5.0668</t>
  </si>
  <si>
    <t>2.4.1474</t>
  </si>
  <si>
    <t>2.4.1475</t>
  </si>
  <si>
    <t>2.4.1476</t>
  </si>
  <si>
    <t>Набор спектрал.трубок</t>
  </si>
  <si>
    <t>Блок Durable</t>
  </si>
  <si>
    <t>инв.10104366</t>
  </si>
  <si>
    <t>Ноутбук Intel Celeron 900, 15.6", 2 GB DDR2</t>
  </si>
  <si>
    <t>инв.10104236</t>
  </si>
  <si>
    <t>инв.10106307</t>
  </si>
  <si>
    <t>2.5.1198</t>
  </si>
  <si>
    <t>инв.37002809</t>
  </si>
  <si>
    <t>133</t>
  </si>
  <si>
    <t>Принтер HPL P1102</t>
  </si>
  <si>
    <t>инв.10104581</t>
  </si>
  <si>
    <t>инв.01380803</t>
  </si>
  <si>
    <t>инв.2060904</t>
  </si>
  <si>
    <t>2.4.0795.К</t>
  </si>
  <si>
    <t>инв.10104157-58</t>
  </si>
  <si>
    <t>Ноутбук</t>
  </si>
  <si>
    <t>Машина стиральная</t>
  </si>
  <si>
    <t>III - 2006</t>
  </si>
  <si>
    <t>Принтер</t>
  </si>
  <si>
    <t>2.5.0511</t>
  </si>
  <si>
    <t>21.12.2010; 09.02.2011</t>
  </si>
  <si>
    <t>557</t>
  </si>
  <si>
    <t>362</t>
  </si>
  <si>
    <t>66</t>
  </si>
  <si>
    <t>Видеокамера Раnasonic</t>
  </si>
  <si>
    <t>Столик медицинский</t>
  </si>
  <si>
    <t>Установка  "Псков"</t>
  </si>
  <si>
    <t>Хлеборезка АХМ-300</t>
  </si>
  <si>
    <t>2.4.1336</t>
  </si>
  <si>
    <t>государственнй контракт на поставку товаров</t>
  </si>
  <si>
    <t>2.4.1664</t>
  </si>
  <si>
    <t xml:space="preserve">Потолочный кронштейн </t>
  </si>
  <si>
    <t>для проектора Retlecta</t>
  </si>
  <si>
    <t>VIII -2005 г.</t>
  </si>
  <si>
    <t>Стол производственный СГПП-8/6-Н</t>
  </si>
  <si>
    <t>Тумба для оргтехники</t>
  </si>
  <si>
    <t xml:space="preserve">инв.01380769. Световое сопровождение для дискотеки </t>
  </si>
  <si>
    <t>2.5.0823</t>
  </si>
  <si>
    <t>2.5.0824</t>
  </si>
  <si>
    <t>2.5.0855</t>
  </si>
  <si>
    <t>2.5.0598</t>
  </si>
  <si>
    <t>Мяч футбольный</t>
  </si>
  <si>
    <t>инв.210106300101-102. SELECT BRILLIANT FIFA</t>
  </si>
  <si>
    <t>инв.10106180. 1200х1000мм. Различные звуковые и тактильные элементы. Оптоволоконная подсветка элементов и зеркала. Источник света в комплекте.</t>
  </si>
  <si>
    <t>2.5.0579</t>
  </si>
  <si>
    <t>2.4.1537</t>
  </si>
  <si>
    <t>2.4.1538</t>
  </si>
  <si>
    <t>2.4.0767</t>
  </si>
  <si>
    <t>2.4.1444</t>
  </si>
  <si>
    <t>2.4.2379</t>
  </si>
  <si>
    <t>Ручной металлодетектор ВМ-612</t>
  </si>
  <si>
    <t>контракт на поставку оборудования</t>
  </si>
  <si>
    <t>044-МД-ФЭ-15/2320150060</t>
  </si>
  <si>
    <t>2.4.0603</t>
  </si>
  <si>
    <t>2.4.0604</t>
  </si>
  <si>
    <t>2.4.0605</t>
  </si>
  <si>
    <t>Гимнастическая лестница</t>
  </si>
  <si>
    <t>Станок круглопилильный</t>
  </si>
  <si>
    <t>Станок токарный 16Д20</t>
  </si>
  <si>
    <t>Дг-СЛОТ0002197/2120130062</t>
  </si>
  <si>
    <t>2.4.1292</t>
  </si>
  <si>
    <t>2.4.1313</t>
  </si>
  <si>
    <t>2.4.1314</t>
  </si>
  <si>
    <t>2.5.1010</t>
  </si>
  <si>
    <t>Музыкальный центр Панасоник</t>
  </si>
  <si>
    <t>2.5.1134</t>
  </si>
  <si>
    <t>2.5.1135</t>
  </si>
  <si>
    <t>2.5.1136</t>
  </si>
  <si>
    <t>2.5.1137</t>
  </si>
  <si>
    <t>2.5.1138</t>
  </si>
  <si>
    <t>2.5.1139</t>
  </si>
  <si>
    <t>2.5.1140</t>
  </si>
  <si>
    <t>2.5.1142</t>
  </si>
  <si>
    <t>2.5.1143</t>
  </si>
  <si>
    <t>2.5.1144</t>
  </si>
  <si>
    <t>2.5.1146</t>
  </si>
  <si>
    <t>Электроплита Электра</t>
  </si>
  <si>
    <t>Пульт микшерный "Arctic"</t>
  </si>
  <si>
    <t>Цифровое пианино Celviano AP-400</t>
  </si>
  <si>
    <t>Кондиционер CHIGO KFR 23 GS</t>
  </si>
  <si>
    <t>инв.10106811</t>
  </si>
  <si>
    <t>2.4.1458</t>
  </si>
  <si>
    <t>инв.10000448. ул.Чапаева</t>
  </si>
  <si>
    <t>Трансформатор ТМ 100-6/0,4 (ТП 96)  (47021307)</t>
  </si>
  <si>
    <t>Трансформатор ТМ 250-6/0,4 ТП-101 (47021607)</t>
  </si>
  <si>
    <t>инв.10000452. куст скважин №2 ул.Заводская ТП-101</t>
  </si>
  <si>
    <t>акт раскроя</t>
  </si>
  <si>
    <t>Программно-метод.комплекс</t>
  </si>
  <si>
    <t>инв.10106936</t>
  </si>
  <si>
    <t>инв.10106907</t>
  </si>
  <si>
    <t>Холодильник "Саратов-452"</t>
  </si>
  <si>
    <t>инв.3061023</t>
  </si>
  <si>
    <t xml:space="preserve">акт приема передачи </t>
  </si>
  <si>
    <t>2.4.1505</t>
  </si>
  <si>
    <t>2.4.1506</t>
  </si>
  <si>
    <t>2.4.1508</t>
  </si>
  <si>
    <t>2.4.1509</t>
  </si>
  <si>
    <t>2.4.1510</t>
  </si>
  <si>
    <t>2.4.1511</t>
  </si>
  <si>
    <t>инв.3061083,а</t>
  </si>
  <si>
    <t>инв.3061091,а</t>
  </si>
  <si>
    <t>Мебель- стенка детская</t>
  </si>
  <si>
    <t>Центрифуга прачечная ЛЦ-10</t>
  </si>
  <si>
    <t>монитор</t>
  </si>
  <si>
    <t>2.4.1286</t>
  </si>
  <si>
    <t>2.4.1287</t>
  </si>
  <si>
    <t>2.4.1288</t>
  </si>
  <si>
    <t>2.4.1289</t>
  </si>
  <si>
    <t>2.4.1291</t>
  </si>
  <si>
    <t>2.4.0382</t>
  </si>
  <si>
    <t>2.4.0384</t>
  </si>
  <si>
    <t>инв.10106904-10106930</t>
  </si>
  <si>
    <t>инв.10106876-10106903</t>
  </si>
  <si>
    <t>Аппарат испытания диэлектриков "АИД-70М"</t>
  </si>
  <si>
    <t>189-р</t>
  </si>
  <si>
    <t xml:space="preserve"> Счт-000081</t>
  </si>
  <si>
    <t>инв.10104077</t>
  </si>
  <si>
    <t>Ноутбук ASUS</t>
  </si>
  <si>
    <t>354</t>
  </si>
  <si>
    <t>2.4.1134</t>
  </si>
  <si>
    <t>инв.10106549-558</t>
  </si>
  <si>
    <t>инв.3061016</t>
  </si>
  <si>
    <t>Распред. устройство КРУ /12 камер/ РТП (47066707)</t>
  </si>
  <si>
    <t>инв.10000639. РТП110/6, корп.157</t>
  </si>
  <si>
    <t>инв.10000641. ЦРП-16</t>
  </si>
  <si>
    <t>инв. 10104966</t>
  </si>
  <si>
    <t>инв.10106277</t>
  </si>
  <si>
    <t>инв.10106033</t>
  </si>
  <si>
    <t>2.4.1961</t>
  </si>
  <si>
    <t>2.4.1962</t>
  </si>
  <si>
    <t>2.4.1963</t>
  </si>
  <si>
    <t>инв.1380303</t>
  </si>
  <si>
    <t>Весы CAS SW-5</t>
  </si>
  <si>
    <t>II - 2003</t>
  </si>
  <si>
    <t>2.4.0404.К</t>
  </si>
  <si>
    <t>Стерилизатор воздушный ГП-10 МО</t>
  </si>
  <si>
    <t>2.4.1293</t>
  </si>
  <si>
    <t>2.4.1294</t>
  </si>
  <si>
    <t>01-2001</t>
  </si>
  <si>
    <t>10-2004</t>
  </si>
  <si>
    <t>2.4.0998</t>
  </si>
  <si>
    <t>Видеокамера SonyHDR-CX250E</t>
  </si>
  <si>
    <t>2.5.0119</t>
  </si>
  <si>
    <t>2.5.0129</t>
  </si>
  <si>
    <t>инв.10106652. Размер 3207х402х1209,6. Состоит из 2 частей, 2 шкафа с выдв. дверцами, цвет голубой, кофейный</t>
  </si>
  <si>
    <t>контракт на поставку мебели</t>
  </si>
  <si>
    <t>Мебель стенка детская 4</t>
  </si>
  <si>
    <t>инв.10106655. Размер 800х400х1228. Состоит из 5 шкафов, цвет салатный, кофейный</t>
  </si>
  <si>
    <t>Сервер</t>
  </si>
  <si>
    <t>Хододильник "Свияга 410"</t>
  </si>
  <si>
    <t>01.2014</t>
  </si>
  <si>
    <t>Борона активная (почвофреза) 1,5м</t>
  </si>
  <si>
    <t>BOMET (U 540/1) с валом BO4061AF018141</t>
  </si>
  <si>
    <t>инв.01380778</t>
  </si>
  <si>
    <t>2.5.0761</t>
  </si>
  <si>
    <t>2.5.0762</t>
  </si>
  <si>
    <t>2.5.0763</t>
  </si>
  <si>
    <t>ТДМ-401У2. инв. 89422434 (89212406) (оценка 2011)</t>
  </si>
  <si>
    <t>2.4.1465</t>
  </si>
  <si>
    <t>27.10.2015; 30.11.2015</t>
  </si>
  <si>
    <t>871; 969</t>
  </si>
  <si>
    <t>2.4.1452</t>
  </si>
  <si>
    <t>2.4.0711</t>
  </si>
  <si>
    <t>2.4.0712</t>
  </si>
  <si>
    <t>2.4.0713</t>
  </si>
  <si>
    <t>2.4.0714</t>
  </si>
  <si>
    <t>2.4.0715</t>
  </si>
  <si>
    <t>2.4.0716</t>
  </si>
  <si>
    <t>2.5.0539</t>
  </si>
  <si>
    <t>2.5.0540</t>
  </si>
  <si>
    <t>2.5.0541</t>
  </si>
  <si>
    <t>инв.010104012, 015</t>
  </si>
  <si>
    <t>I / 2008</t>
  </si>
  <si>
    <t>2.4.1434</t>
  </si>
  <si>
    <t>2.4.1435</t>
  </si>
  <si>
    <t>2.4.1436</t>
  </si>
  <si>
    <t>приобретено у "Нии- ХимФотоПроект"</t>
  </si>
  <si>
    <t xml:space="preserve">справка-счет </t>
  </si>
  <si>
    <t>22МХ 371999</t>
  </si>
  <si>
    <t>Flatron L 1715 S</t>
  </si>
  <si>
    <t>XII / 2007</t>
  </si>
  <si>
    <t xml:space="preserve"> </t>
  </si>
  <si>
    <t>Столик подъемный</t>
  </si>
  <si>
    <t>Балалайка Секунда</t>
  </si>
  <si>
    <t>Кресло SP-А</t>
  </si>
  <si>
    <t>инв.01630022</t>
  </si>
  <si>
    <t>2544</t>
  </si>
  <si>
    <t>7201-035139</t>
  </si>
  <si>
    <t>2.4.1041</t>
  </si>
  <si>
    <t xml:space="preserve">договор розничной купли-продажи </t>
  </si>
  <si>
    <t>969/11/2720130152</t>
  </si>
  <si>
    <t>инв.10106815</t>
  </si>
  <si>
    <t>ЗМ3410400-20005565</t>
  </si>
  <si>
    <t>Фотоаппарат цифровой</t>
  </si>
  <si>
    <t>Процессор цифровой</t>
  </si>
  <si>
    <t>Вентилятор ц/б ВЦ 14-46</t>
  </si>
  <si>
    <t>2.4.1644</t>
  </si>
  <si>
    <t>инв. 89217306. МК-6056</t>
  </si>
  <si>
    <t>инв.89207906. Настольно-сверлильный 2М-115</t>
  </si>
  <si>
    <t>Реестровый номер</t>
  </si>
  <si>
    <t xml:space="preserve">распоряжение Администрации Алтайского края  </t>
  </si>
  <si>
    <t>Сканер Hp ScanJet G3010</t>
  </si>
  <si>
    <t>Экран на треноге</t>
  </si>
  <si>
    <t>Тренажер "Беговая дорожка"</t>
  </si>
  <si>
    <t>Аккустическая система Leem</t>
  </si>
  <si>
    <t xml:space="preserve">инв.10104076к. 75квт,3000 об/мин,станция смешивания "Южная" </t>
  </si>
  <si>
    <t>инв.10106561</t>
  </si>
  <si>
    <t>1983</t>
  </si>
  <si>
    <t>Шкаф книжный</t>
  </si>
  <si>
    <t>849</t>
  </si>
  <si>
    <t>Набор д/исслед. Тока</t>
  </si>
  <si>
    <t>инв.1380420,19</t>
  </si>
  <si>
    <t>инв.1380421</t>
  </si>
  <si>
    <t>инв.1380418</t>
  </si>
  <si>
    <t>инв.10104007</t>
  </si>
  <si>
    <t>Домра  мастеровая</t>
  </si>
  <si>
    <t>Игровая зона "Кухня"</t>
  </si>
  <si>
    <t>2.5.1258</t>
  </si>
  <si>
    <t>2.5.1259</t>
  </si>
  <si>
    <t>2.5.1260</t>
  </si>
  <si>
    <t>2.5.1261</t>
  </si>
  <si>
    <t>2.5.1262</t>
  </si>
  <si>
    <t>2.5.1263</t>
  </si>
  <si>
    <t>2.5.1264</t>
  </si>
  <si>
    <t>2.5.1265</t>
  </si>
  <si>
    <t>инв.1631925.Длина -1500 мм, с 5 открыты-ми полками, 2 одноств. и 1 двухстворч.шкафчиком</t>
  </si>
  <si>
    <t>17.12.2014</t>
  </si>
  <si>
    <t>инв.01380749</t>
  </si>
  <si>
    <t>Мольберт полевой простой</t>
  </si>
  <si>
    <t>сч-ф № 327</t>
  </si>
  <si>
    <t>Снегоуборщик</t>
  </si>
  <si>
    <t>Кол-во</t>
  </si>
  <si>
    <t>2.5.0554</t>
  </si>
  <si>
    <t>2.5.0555</t>
  </si>
  <si>
    <t>2.5.0556</t>
  </si>
  <si>
    <t>Мясорубка МИМ 300</t>
  </si>
  <si>
    <t>2.5.0517</t>
  </si>
  <si>
    <t>2.5.0518</t>
  </si>
  <si>
    <t>2.5.0519</t>
  </si>
  <si>
    <t>Стойка обозрение</t>
  </si>
  <si>
    <t>31020090167466</t>
  </si>
  <si>
    <t>VII -2007 г.</t>
  </si>
  <si>
    <t>2.4.2414</t>
  </si>
  <si>
    <t>2.4.2415</t>
  </si>
  <si>
    <t>Компьютерное оборудование в комплекте</t>
  </si>
  <si>
    <t xml:space="preserve">инв.10134120. Процессор AMD A4 - 4000, Материнская плата ASUS A58M-K, Жесткий диск Western Digital 500GB, Оперативная память Crucial 4GB, Блок питания Powercool 500WT
</t>
  </si>
  <si>
    <t>инв. В составе: системный блок, монитор 18,5" AOS E950SWDAK 1366x768 TH LED 16:9,  мышь Оklik 145M черный оптическая USB, устройство бесперебойного питания FSP Group 800, клавиатура Оklik 145M черный  USB, сетевой шнур, программное обеспечение Microsoft Win SL 8,1x64 Russian</t>
  </si>
  <si>
    <t>приказ (край); акт приема-передачи (край)</t>
  </si>
  <si>
    <t>26.10.2015; 23.11.2015</t>
  </si>
  <si>
    <t>488; б/н</t>
  </si>
  <si>
    <t xml:space="preserve">МФУ лазерное HP LaserJet Pro </t>
  </si>
  <si>
    <t>инв. M125 rnw</t>
  </si>
  <si>
    <t>2.5.1275</t>
  </si>
  <si>
    <t>2.5.1276</t>
  </si>
  <si>
    <t>2016</t>
  </si>
  <si>
    <t>Стенка шведская гимнастическая</t>
  </si>
  <si>
    <t>инв.1631950, 1631953-1631954. Деревянная</t>
  </si>
  <si>
    <t>инв.1631951, 1631955-1631956. Деревянная</t>
  </si>
  <si>
    <t>2.4.2416</t>
  </si>
  <si>
    <t>Выпрямитель сварочный ВД-402УЗ</t>
  </si>
  <si>
    <t>инв. Предназначен для ручной сварки</t>
  </si>
  <si>
    <t>22/10/15</t>
  </si>
  <si>
    <t>Насосный агрегат Д320-50</t>
  </si>
  <si>
    <t>инв.00066985</t>
  </si>
  <si>
    <t>инв.00066997</t>
  </si>
  <si>
    <t>2.4.2421</t>
  </si>
  <si>
    <t>2.4.2422</t>
  </si>
  <si>
    <t>результаты инвентаризации; акт об оценке ТМЦ</t>
  </si>
  <si>
    <t>09.11.2015; 21.01.2016</t>
  </si>
  <si>
    <t>12.09.2014; 13.07.2015; 22.01.2016</t>
  </si>
  <si>
    <t>29.10.2014; 05.08.2015; 10.02.2016</t>
  </si>
  <si>
    <t>980; 667; 141</t>
  </si>
  <si>
    <t>10.09.2014; 22.01.2016</t>
  </si>
  <si>
    <t>09-1538; СЛ-21/68</t>
  </si>
  <si>
    <t>приказ Управления Алтайского края по транс., дорожного хоз-ва и связи, акт приема-передачи № 105/09-040, распоряжение</t>
  </si>
  <si>
    <t>Воздушный т- компресор ТВ-80-1,6 МО-1</t>
  </si>
  <si>
    <t>№ 89153304</t>
  </si>
  <si>
    <t>№ 89159304</t>
  </si>
  <si>
    <t>инв.89163004</t>
  </si>
  <si>
    <t>инв.№ 89003718</t>
  </si>
  <si>
    <t>инв.89156904</t>
  </si>
  <si>
    <t>№ 89060018</t>
  </si>
  <si>
    <t>№ 89157904</t>
  </si>
  <si>
    <t>2.5.1277</t>
  </si>
  <si>
    <t>Трибуна</t>
  </si>
  <si>
    <t>инв.1631958</t>
  </si>
  <si>
    <t>2.4.2423</t>
  </si>
  <si>
    <t>Насос КМЛ2 80/160 7,5 кВт</t>
  </si>
  <si>
    <t>02-2015</t>
  </si>
  <si>
    <t>инв.13601350. Зав.№ 4 с электродвигателем</t>
  </si>
  <si>
    <t>П17</t>
  </si>
  <si>
    <t>216</t>
  </si>
  <si>
    <t>2.5.1278</t>
  </si>
  <si>
    <t>Машина переплетная СВ-180</t>
  </si>
  <si>
    <t>инв.1631894</t>
  </si>
  <si>
    <t>договор поставки товаров, выполнения работ, оказания услуг</t>
  </si>
  <si>
    <t>2.4.2425</t>
  </si>
  <si>
    <t>ПК DEXP Aguilon O 116</t>
  </si>
  <si>
    <t xml:space="preserve">инв.1631895. Pentium J 2900 </t>
  </si>
  <si>
    <t>Б-00035559/0220160031</t>
  </si>
  <si>
    <t>Комитет администрации города Яровое по образованию</t>
  </si>
  <si>
    <t>Цифровой фотоаппарат</t>
  </si>
  <si>
    <t>инв.210104200022. Ёмкость ФОВ-2,6-06; V-10 куб.м</t>
  </si>
  <si>
    <t>договор на поставку товара для муниц.нужд; счет-фактура</t>
  </si>
  <si>
    <t xml:space="preserve">договор дарения </t>
  </si>
  <si>
    <t>инв.10000383, 10000384, 10000385. ОАО "АХП"</t>
  </si>
  <si>
    <t>Камера КСО 2М /ЦРП 7/ (47005107, 47005207)</t>
  </si>
  <si>
    <t>Трансформатор сварочный</t>
  </si>
  <si>
    <t>инв.3061173</t>
  </si>
  <si>
    <t>инв.10000544. Подсобное хоз-во, ТП-119</t>
  </si>
  <si>
    <t>2.4.1546</t>
  </si>
  <si>
    <t>2.4.1547</t>
  </si>
  <si>
    <t>2.4.1548</t>
  </si>
  <si>
    <t>2.4.1549</t>
  </si>
  <si>
    <t>2.4.1550</t>
  </si>
  <si>
    <t>2.4.0913</t>
  </si>
  <si>
    <t>Стол угловой станд.разб.</t>
  </si>
  <si>
    <t>инв.01660079-80</t>
  </si>
  <si>
    <t>инв.1060011</t>
  </si>
  <si>
    <t>инв.10106229</t>
  </si>
  <si>
    <t>XII - 1994</t>
  </si>
  <si>
    <t>Стол рабочий в кабинет</t>
  </si>
  <si>
    <t>2.4.2398</t>
  </si>
  <si>
    <t>993</t>
  </si>
  <si>
    <t>инв. 89422433 (оценка 2013). КНС - 4 "Нептун"</t>
  </si>
  <si>
    <t>инв. 89422449 (оценка 2013). КНС- 3  "ОРС"</t>
  </si>
  <si>
    <t>2.4.1912</t>
  </si>
  <si>
    <t>2.4.1915</t>
  </si>
  <si>
    <t>2.4.1916</t>
  </si>
  <si>
    <t>2.5.0682</t>
  </si>
  <si>
    <t>инв.10104357, 10104359, цвет черный</t>
  </si>
  <si>
    <t>МФУ лазерное Canon i-SENSYS MF4018</t>
  </si>
  <si>
    <t>инв.10104338</t>
  </si>
  <si>
    <t>инв.10104382</t>
  </si>
  <si>
    <t>МФУ лазерное Xerox Phaser 3300MFP/X</t>
  </si>
  <si>
    <t>инв.10104386</t>
  </si>
  <si>
    <t>Принтер-копир- сканер лазерный Kyocera</t>
  </si>
  <si>
    <t>инв.10104276</t>
  </si>
  <si>
    <t>инв.10104277, 10104279, в комплекте: ADM + монитор LCD BenQ 21.5``</t>
  </si>
  <si>
    <t>МФУ Xerox WorkCentre 321V_N</t>
  </si>
  <si>
    <t>инв.10104428</t>
  </si>
  <si>
    <t>счет-фактура; договор поставки продукции</t>
  </si>
  <si>
    <t>TOSHIBA</t>
  </si>
  <si>
    <t xml:space="preserve">договор аренды </t>
  </si>
  <si>
    <t>825</t>
  </si>
  <si>
    <t xml:space="preserve">757; 45; </t>
  </si>
  <si>
    <t>26.10.2006; 26.10.2006; 14.06.2006</t>
  </si>
  <si>
    <t>Пульт МЕКSE</t>
  </si>
  <si>
    <t>2.4.2435</t>
  </si>
  <si>
    <t>2.4.2436</t>
  </si>
  <si>
    <t>2.4.2437</t>
  </si>
  <si>
    <t xml:space="preserve"> в составе: ноутбук ICL RayBook Si52: 133120M/4Gb/500Gb/DVDRW/HDG/152"/WiFi/BT/WT/ W7Pro/ MSOStdAE/Cam/ Schoolsoft/Mouse/FlashSD8G</t>
  </si>
  <si>
    <t xml:space="preserve">Мультимедиа комплекс 
</t>
  </si>
  <si>
    <t>в составе: мультимедиа – проектор Epson EB-X11H,
лампа для мультимедиа – проектора EB-X11H, кронштейн потолочный Proffix PCM63100, установочный комплект, кабель соединительный VGA 10 м, экран настенный Digis DSOC-1101T</t>
  </si>
  <si>
    <t>Мобильная площадка для обучения детей навыкам безопасного поведения на дорогах</t>
  </si>
  <si>
    <t>2.5.0576</t>
  </si>
  <si>
    <t>Пучок фибероптического волокна "Звездный дождь 100"</t>
  </si>
  <si>
    <t>инв.89003306. Мощность 30квт, ул.Северная, 2 водозабор</t>
  </si>
  <si>
    <t>Комплект видеофильмов</t>
  </si>
  <si>
    <t>ОЦ</t>
  </si>
  <si>
    <t>Стеллаж угловой</t>
  </si>
  <si>
    <t>инв.010106106-110</t>
  </si>
  <si>
    <t>сч-ф № 42</t>
  </si>
  <si>
    <t xml:space="preserve">Проектор  </t>
  </si>
  <si>
    <t>инв.10104142</t>
  </si>
  <si>
    <t xml:space="preserve">акт приема-передачи  </t>
  </si>
  <si>
    <t>Установка для хлорирования воды ЭН-25</t>
  </si>
  <si>
    <t>инв.210106300060</t>
  </si>
  <si>
    <t>Компьютер в комплекте</t>
  </si>
  <si>
    <t>инв.010106086-88</t>
  </si>
  <si>
    <t>инв.010106089-91</t>
  </si>
  <si>
    <t>Диван детский</t>
  </si>
  <si>
    <t>Реквизиты документа, подтверждающего возникновение права муниципальной собственности</t>
  </si>
  <si>
    <t>12.1993</t>
  </si>
  <si>
    <t xml:space="preserve">сч.фактура </t>
  </si>
  <si>
    <t>22ЕН124280</t>
  </si>
  <si>
    <t>инв.37031209</t>
  </si>
  <si>
    <t>2.5.0883</t>
  </si>
  <si>
    <t>2.5.0884</t>
  </si>
  <si>
    <t>2.5.0885</t>
  </si>
  <si>
    <t>2.5.0886</t>
  </si>
  <si>
    <t>2.5.0887</t>
  </si>
  <si>
    <t>2.5.0888</t>
  </si>
  <si>
    <t>2.5.0889</t>
  </si>
  <si>
    <t>2.5.0890</t>
  </si>
  <si>
    <t>2.5.0891</t>
  </si>
  <si>
    <t>2.5.0892</t>
  </si>
  <si>
    <t>Подраздел 2.2 "Транспорт"</t>
  </si>
  <si>
    <t>Компрессорная установка</t>
  </si>
  <si>
    <t xml:space="preserve">инв.10106590-94,10106001 (3х6000, 1х9000, 1х8000) </t>
  </si>
  <si>
    <t>Качели-балансир</t>
  </si>
  <si>
    <t xml:space="preserve">инв.010106166-175 (2х3960, 2х3990, 1х4125, 1х3630, 2х4950, 2х6340) </t>
  </si>
  <si>
    <t>Комплект игров."Уголок для ряжения"</t>
  </si>
  <si>
    <t>Холодильник "Бирюса 6ЕК-1"</t>
  </si>
  <si>
    <t>10-2007</t>
  </si>
  <si>
    <t>10-2008</t>
  </si>
  <si>
    <t xml:space="preserve"> инв.10106299. Прыжковый, перемен.высоты</t>
  </si>
  <si>
    <t>385</t>
  </si>
  <si>
    <t>2.5.1323</t>
  </si>
  <si>
    <t>Мат 2х1х0,1</t>
  </si>
  <si>
    <t>инв.1631965. Искуственная кожа</t>
  </si>
  <si>
    <t>2920160050/ПОС</t>
  </si>
  <si>
    <t>2.4.2438</t>
  </si>
  <si>
    <t>Машина стиральная INDESIT</t>
  </si>
  <si>
    <t>Б-00074398/ 2920160049</t>
  </si>
  <si>
    <t xml:space="preserve">инв.1631896.Цвет белый, фронтальная загрузка 7 кг, размер 1000об/60х40х85 </t>
  </si>
  <si>
    <t>2.5.1324</t>
  </si>
  <si>
    <t>Полка книжная</t>
  </si>
  <si>
    <t>04.2016</t>
  </si>
  <si>
    <t>инв.1631966</t>
  </si>
  <si>
    <t xml:space="preserve">счет-фактура; договор поставки; договор поставки </t>
  </si>
  <si>
    <t>Микроволновая печь</t>
  </si>
  <si>
    <t>Кухня 220 Эквилон</t>
  </si>
  <si>
    <t>2.4.2439</t>
  </si>
  <si>
    <t>Газоанализатор ОКА- МТ (CH4, CO2)</t>
  </si>
  <si>
    <t>Документ- камера Mimio View</t>
  </si>
  <si>
    <t>206</t>
  </si>
  <si>
    <t>431</t>
  </si>
  <si>
    <t>424</t>
  </si>
  <si>
    <t>2.4.0505</t>
  </si>
  <si>
    <t>2.4.0516</t>
  </si>
  <si>
    <t>429</t>
  </si>
  <si>
    <t>2.4.0405</t>
  </si>
  <si>
    <t>оц - 701574,54</t>
  </si>
  <si>
    <t>Проектор ACER</t>
  </si>
  <si>
    <t>2.4.2440</t>
  </si>
  <si>
    <t>2.4.2441</t>
  </si>
  <si>
    <t>2.4.2442</t>
  </si>
  <si>
    <t>2.4.2444</t>
  </si>
  <si>
    <t>2.4.2445</t>
  </si>
  <si>
    <t>2.4.2446</t>
  </si>
  <si>
    <t>2.4.2447</t>
  </si>
  <si>
    <t>2.4.2449</t>
  </si>
  <si>
    <t>2.4.2450</t>
  </si>
  <si>
    <t>2.4.2451</t>
  </si>
  <si>
    <t>2.4.2452</t>
  </si>
  <si>
    <t>2.4.2453</t>
  </si>
  <si>
    <t>2.4.2454</t>
  </si>
  <si>
    <t>2.4.2455</t>
  </si>
  <si>
    <t>Лазерный принтер</t>
  </si>
  <si>
    <t>Принтер/ ксерокс/ сканер</t>
  </si>
  <si>
    <t>212</t>
  </si>
  <si>
    <t>2.4.2456</t>
  </si>
  <si>
    <t>2.4.2457</t>
  </si>
  <si>
    <t>Телефон-факс</t>
  </si>
  <si>
    <t>инв.010104047-010104054. ИПБ АРС Васк 650</t>
  </si>
  <si>
    <t>инв.010104061-0101014062. Источник Back-UPS RS1000</t>
  </si>
  <si>
    <t>инв.010104056. Xerox Phasser 3428D</t>
  </si>
  <si>
    <t>инв.010104086. HP Laser  Jet P2055D</t>
  </si>
  <si>
    <t>инв.010104057-010104059. Xerox Phaser 3428D</t>
  </si>
  <si>
    <t>инв.010104074-010104076. HP LJ M1005 (CB376A)</t>
  </si>
  <si>
    <t>инв.010104092. CPU Intel Celeron G1630/DDR-III 4GB/SATA 500GB Seagate/LiteON DVD-RW</t>
  </si>
  <si>
    <t>инв.010104088. mATX 400/500Gb/DVD</t>
  </si>
  <si>
    <t>инв.010104078. X2 6000/250Gb/видео 8400/DVD</t>
  </si>
  <si>
    <t>инв.010104079. X2 6000/250Gb/видео 8400/DVD</t>
  </si>
  <si>
    <t xml:space="preserve"> 6инв.010104077. X2000/250Gb/видео 8400/DVD</t>
  </si>
  <si>
    <t>инв.010104034. Panasonic KX-FC233RU</t>
  </si>
  <si>
    <t>2.5.1325</t>
  </si>
  <si>
    <t>2.5.1327</t>
  </si>
  <si>
    <t>2.5.1328</t>
  </si>
  <si>
    <t>2.5.1329</t>
  </si>
  <si>
    <t>2.5.1330</t>
  </si>
  <si>
    <t>2.5.1331</t>
  </si>
  <si>
    <t>2.5.1332</t>
  </si>
  <si>
    <t>2.5.1333</t>
  </si>
  <si>
    <t>2.5.1334</t>
  </si>
  <si>
    <t>2.5.1335</t>
  </si>
  <si>
    <t>2.5.1336</t>
  </si>
  <si>
    <t>2.5.1337</t>
  </si>
  <si>
    <t>инв.010106065</t>
  </si>
  <si>
    <t>Пылесос</t>
  </si>
  <si>
    <t>инв.010106019</t>
  </si>
  <si>
    <t>инв.010106015. Т-образный</t>
  </si>
  <si>
    <t>инв.010106014. Т-образный</t>
  </si>
  <si>
    <t>инв.010106011</t>
  </si>
  <si>
    <t>инв.010106017-010106018</t>
  </si>
  <si>
    <t>Холодильник "Бирюса 6"</t>
  </si>
  <si>
    <t>инв.010106001</t>
  </si>
  <si>
    <t>инв.010106009</t>
  </si>
  <si>
    <t>инв.010106032,34-37</t>
  </si>
  <si>
    <t>инв.010106038-010106041</t>
  </si>
  <si>
    <t>2.4.1395</t>
  </si>
  <si>
    <t xml:space="preserve">Кинопроектор </t>
  </si>
  <si>
    <t>Холодильник "Бирюса"-131К (спл)</t>
  </si>
  <si>
    <t>478</t>
  </si>
  <si>
    <t>2.4.2458</t>
  </si>
  <si>
    <t>инв.010104094</t>
  </si>
  <si>
    <t>2.5.1338</t>
  </si>
  <si>
    <t>2.5.1339</t>
  </si>
  <si>
    <t>05-2016</t>
  </si>
  <si>
    <t>инв.1631971-72</t>
  </si>
  <si>
    <t>2920160057</t>
  </si>
  <si>
    <t>инв.1631973-74</t>
  </si>
  <si>
    <t>2920160060</t>
  </si>
  <si>
    <t>2.4.2459</t>
  </si>
  <si>
    <t>Принтер струйный А4 EPSON L130</t>
  </si>
  <si>
    <t xml:space="preserve">распоряжение; акт приема-передачи </t>
  </si>
  <si>
    <t>22.04.2016; 30.05.2016</t>
  </si>
  <si>
    <t>486; б/н</t>
  </si>
  <si>
    <t>610</t>
  </si>
  <si>
    <t>2.5.1341</t>
  </si>
  <si>
    <t>инв.10104038. SAMSUNG</t>
  </si>
  <si>
    <t>догово безвозмездной передачи</t>
  </si>
  <si>
    <t>2.4.2460</t>
  </si>
  <si>
    <t>Углошлифовальная машина</t>
  </si>
  <si>
    <t>Б-00107897/0220160056</t>
  </si>
  <si>
    <t>Стиральная машина IMESA</t>
  </si>
  <si>
    <t>инв.010106162</t>
  </si>
  <si>
    <t>Машина стирально-отжимная IMESA LM-23</t>
  </si>
  <si>
    <t>инв.10106177/1</t>
  </si>
  <si>
    <t>инв.010106158</t>
  </si>
  <si>
    <t>инв.010106176</t>
  </si>
  <si>
    <t>инв.010104018</t>
  </si>
  <si>
    <t>инв.010104036</t>
  </si>
  <si>
    <t>инв.010104001</t>
  </si>
  <si>
    <t>инв.010106015-16</t>
  </si>
  <si>
    <t>инв.010106011-12</t>
  </si>
  <si>
    <t>инв.010104008</t>
  </si>
  <si>
    <t>инв.010104004</t>
  </si>
  <si>
    <t>инв.010106001-02</t>
  </si>
  <si>
    <t>инв.010104006</t>
  </si>
  <si>
    <t>оц -1821599,21</t>
  </si>
  <si>
    <t>Ксерокс CANON ЧС-330</t>
  </si>
  <si>
    <t>инв.10104203</t>
  </si>
  <si>
    <t>инв.10104136-37</t>
  </si>
  <si>
    <t xml:space="preserve">инв.10104098. Клав.-мультимед </t>
  </si>
  <si>
    <t>оц -1837996,46</t>
  </si>
  <si>
    <t xml:space="preserve">Аккустическая система </t>
  </si>
  <si>
    <t>инв.10104050, 10104031</t>
  </si>
  <si>
    <t>инв.10106737</t>
  </si>
  <si>
    <t xml:space="preserve">Прилавок- витрина холодильная </t>
  </si>
  <si>
    <t>оц - 1976654,21</t>
  </si>
  <si>
    <t>659</t>
  </si>
  <si>
    <t>инв.10104360. Интерскол УШМ-180</t>
  </si>
  <si>
    <t>2.5.1343</t>
  </si>
  <si>
    <t>Сплит система Kentatsu</t>
  </si>
  <si>
    <t>26</t>
  </si>
  <si>
    <t>728</t>
  </si>
  <si>
    <t>инв. Наружный и внутренний блок</t>
  </si>
  <si>
    <t>инв.201002</t>
  </si>
  <si>
    <t>инв.01380830. Комплект: системный блок, монитор, клавиатура, мышь.</t>
  </si>
  <si>
    <t>инв.01380831</t>
  </si>
  <si>
    <t>инв.02040878</t>
  </si>
  <si>
    <t>инв.02060985</t>
  </si>
  <si>
    <t>инв.02060987</t>
  </si>
  <si>
    <t>инв.012012</t>
  </si>
  <si>
    <t>инв.022012</t>
  </si>
  <si>
    <t>инв.2061000В,Г,Д, Е, А, Б</t>
  </si>
  <si>
    <t>инв.ВА0000000062</t>
  </si>
  <si>
    <t>инв.21010600094-93</t>
  </si>
  <si>
    <t>инв.010104081</t>
  </si>
  <si>
    <t>инв.010104039</t>
  </si>
  <si>
    <t>инв.010104054</t>
  </si>
  <si>
    <t>инв.11175</t>
  </si>
  <si>
    <t>инв.ВА 0000000058</t>
  </si>
  <si>
    <t>инв.210104200012. С комплектом приспособлений</t>
  </si>
  <si>
    <t>инв.210106300070. VP - L 500</t>
  </si>
  <si>
    <t>инв.21010420011. 19 LCD Acer</t>
  </si>
  <si>
    <t>инв.21010420009. 17 "LCD Aser Al 1717 Fs</t>
  </si>
  <si>
    <t>инв.21010420008. 17 "Samsung 721 N"</t>
  </si>
  <si>
    <t>инв.21010420007. 17 "LCD Aser Al 1717 Fs</t>
  </si>
  <si>
    <t>инв.21010420032</t>
  </si>
  <si>
    <t>инв.210106300084. DELL Inspirion</t>
  </si>
  <si>
    <t>инв.инв.210106300068,71</t>
  </si>
  <si>
    <t>инв.000000000000070</t>
  </si>
  <si>
    <t>инв.143. Т334 FS/0,75 кВт, 4-х такт. 33,5см3, гол+3х лоп.нож.руль, 8 кг</t>
  </si>
  <si>
    <t>инв.01380805. Комплект: системный блок, монитор, клавиатура, мышь</t>
  </si>
  <si>
    <t>инв.01380813. Комплект: системный блок, монитор, клавиатура, мышь</t>
  </si>
  <si>
    <t>инв.03060991.  HP LJ 1005</t>
  </si>
  <si>
    <t>инв.16. Комплект: системный блок, монитор, клавиатура, мышь</t>
  </si>
  <si>
    <t>инв.26</t>
  </si>
  <si>
    <t>инв.01630715-715/1</t>
  </si>
  <si>
    <t>инв.1027,а</t>
  </si>
  <si>
    <t>инв.1028,а</t>
  </si>
  <si>
    <t>инв.3061100</t>
  </si>
  <si>
    <t>инв.3061100,а</t>
  </si>
  <si>
    <t>инв.3061108</t>
  </si>
  <si>
    <t>инв.01380834,д</t>
  </si>
  <si>
    <t>инв.3061057</t>
  </si>
  <si>
    <t>инв.2040876</t>
  </si>
  <si>
    <t>инв.3061080,а</t>
  </si>
  <si>
    <t>инв.3060999. Ч/б</t>
  </si>
  <si>
    <t>инв.3061076,а. Черный 1680*1050</t>
  </si>
  <si>
    <t>инв.1604213</t>
  </si>
  <si>
    <t>инв.3120165. Программное обеспечение: (Коробки) Microsoft Office Home and Business 2013 32/64 Russia Only EM DVD No Skype</t>
  </si>
  <si>
    <t>инв.3120165. Acer 23" G236HLBid Black FullHD LED 5ms 16:9 DVD HDMI 100K:1 200cd</t>
  </si>
  <si>
    <t>инв.3120165</t>
  </si>
  <si>
    <t>инв.01380047</t>
  </si>
  <si>
    <t>инв. 20400141</t>
  </si>
  <si>
    <t>Жалюзи (10 шт.)</t>
  </si>
  <si>
    <t>инв.3061077,а</t>
  </si>
  <si>
    <t>Жалюзи (3 шт.)</t>
  </si>
  <si>
    <t>инв.2040979</t>
  </si>
  <si>
    <t>инв.1040957. С монитором и бесперебойником</t>
  </si>
  <si>
    <t>инв.2040982. LCD  ASUS</t>
  </si>
  <si>
    <t>инв.30601019,А. Intel Core 2</t>
  </si>
  <si>
    <t>инв.3061057,А</t>
  </si>
  <si>
    <t>инв.3061227</t>
  </si>
  <si>
    <t>инв.3061228</t>
  </si>
  <si>
    <t>инв.3061063,А. SocAM3/F7025/Athion II X3 455/4096</t>
  </si>
  <si>
    <t>инв.3061062,А</t>
  </si>
  <si>
    <t xml:space="preserve"> инв.092013. Hewlett- Packard LaserJet Pro PI 102RU (A4, 18ppm, 1200dpi, 2Mb, 1 лоток
150), USB арт. CE651A + Картридж принтера лазерного Hewlett-Packard для HP LJ  1102/P1102w/M 1132/M1212NF/M 1214NFH (1,6K) арт. CE285A+ Кабель/шнур USB 2.0 A&gt;B Male-Male 1.8m (принтер/сканер</t>
  </si>
  <si>
    <t>инв.3061234</t>
  </si>
  <si>
    <t>инв.3061051,А</t>
  </si>
  <si>
    <t>инв.30610058,А</t>
  </si>
  <si>
    <t>инв.3061065,А</t>
  </si>
  <si>
    <t>инв.3061229</t>
  </si>
  <si>
    <t>инв.2061035</t>
  </si>
  <si>
    <t>инв.3061073,А</t>
  </si>
  <si>
    <t>инв.3040910</t>
  </si>
  <si>
    <t>инв.3060979,А</t>
  </si>
  <si>
    <t>инв.3060987,А</t>
  </si>
  <si>
    <t>инв.3060986,А</t>
  </si>
  <si>
    <t>инв.3060954. Председатель</t>
  </si>
  <si>
    <t>инв.306101230</t>
  </si>
  <si>
    <t>инв.1.101.04000029</t>
  </si>
  <si>
    <t>инв.1.101.04000022</t>
  </si>
  <si>
    <t>инв.1.101.04000023</t>
  </si>
  <si>
    <t>инв.1.101.04000024</t>
  </si>
  <si>
    <t>инв.1.101.04000026</t>
  </si>
  <si>
    <t>Фотокамера Canon</t>
  </si>
  <si>
    <t>инв.1.101.04000035</t>
  </si>
  <si>
    <t>инв.1.101.04000018</t>
  </si>
  <si>
    <t>инв.1.101.04000017</t>
  </si>
  <si>
    <t>Радиотелефон Panasonic TCO-20719</t>
  </si>
  <si>
    <t>инв.1.101.04000019. COLDEN INTER DSR-8001 PREMUM CLASS</t>
  </si>
  <si>
    <t>инв.1.101.04000031</t>
  </si>
  <si>
    <t>Монитор LCD  ACER  AL 1916 AS Silver-Black 8 ms</t>
  </si>
  <si>
    <t>инв.1.101.04000020</t>
  </si>
  <si>
    <t>Компьютер Сeleron</t>
  </si>
  <si>
    <t>инв.1.101.04000005</t>
  </si>
  <si>
    <t>Компьютер Prestigio с монитором</t>
  </si>
  <si>
    <t>инв.1.101.04000006</t>
  </si>
  <si>
    <t>инв.1.101.04000007</t>
  </si>
  <si>
    <t>инв.1.101.04000008</t>
  </si>
  <si>
    <t>инв.1.101.04000034. В составе: СБ Dual Core Е2220 2,4 GHz-Asus P5</t>
  </si>
  <si>
    <t>инв.1.101.04000038. Зав.номер 15971</t>
  </si>
  <si>
    <t>инв.1.101.04000045</t>
  </si>
  <si>
    <t>инв.1.101.04000046</t>
  </si>
  <si>
    <t xml:space="preserve">инв.1101300124. В сборе </t>
  </si>
  <si>
    <t>инв.1.101.04000027. АКG С 417 РР</t>
  </si>
  <si>
    <t>инв.1.111.04000046</t>
  </si>
  <si>
    <t>инв.1.111.04000050. Фото</t>
  </si>
  <si>
    <t>Видеокамера цифровая Soni</t>
  </si>
  <si>
    <t>инв.1.111.04000049</t>
  </si>
  <si>
    <t>инв.1.111.04000048</t>
  </si>
  <si>
    <t>Монитор BENQ 2420 HD</t>
  </si>
  <si>
    <t>Монитор BENQ</t>
  </si>
  <si>
    <t>инв.1101340115</t>
  </si>
  <si>
    <t>Цифровая фотокамера SONI</t>
  </si>
  <si>
    <t>инв.1.101.04000001</t>
  </si>
  <si>
    <t>инв.1.101.06000041</t>
  </si>
  <si>
    <t>инв.1.101.06000042</t>
  </si>
  <si>
    <t>Видеомонитор LG 19</t>
  </si>
  <si>
    <t>12-2008</t>
  </si>
  <si>
    <t>инв.1.101.04000037</t>
  </si>
  <si>
    <t>инв.1.101.06000047</t>
  </si>
  <si>
    <t>инв.1.101.04000025</t>
  </si>
  <si>
    <t>инв.1.101.06000039</t>
  </si>
  <si>
    <t>инв.1.101.06000043</t>
  </si>
  <si>
    <t>инв.1.101.06000044</t>
  </si>
  <si>
    <t>инв.1.101.06000040</t>
  </si>
  <si>
    <t>инв.1101340126</t>
  </si>
  <si>
    <t>инв.10104167</t>
  </si>
  <si>
    <t>инв.10104169</t>
  </si>
  <si>
    <t>инв.10104186</t>
  </si>
  <si>
    <t>инв.10104305</t>
  </si>
  <si>
    <t>инв.10104149</t>
  </si>
  <si>
    <t>инв.01380037. Автоответчик</t>
  </si>
  <si>
    <t>инв.10104148</t>
  </si>
  <si>
    <t>инв.10104022. ELITEGROUP 651-M</t>
  </si>
  <si>
    <t>инв.10104154. 120 Gb</t>
  </si>
  <si>
    <t>Системный блок INTEL</t>
  </si>
  <si>
    <t>Монитор 19 LCD</t>
  </si>
  <si>
    <t>инв.10104028-29</t>
  </si>
  <si>
    <t>инв.10104054. В комплекте: системный блок, монитор</t>
  </si>
  <si>
    <t>инв.10104043,45. В комплекте: системный блок, монитор</t>
  </si>
  <si>
    <t>10-2005</t>
  </si>
  <si>
    <t>инв.10104096. В комплекте: системный блок, монитор</t>
  </si>
  <si>
    <t>инв.10104135</t>
  </si>
  <si>
    <t>Монитор Aser TFT 19 AL1916</t>
  </si>
  <si>
    <t>инв.10104139</t>
  </si>
  <si>
    <t>Компьютер учителя  LGA 775 1024 Mb</t>
  </si>
  <si>
    <t>инв.10104140</t>
  </si>
  <si>
    <t>МФУ Xerox WorkCentre 3119</t>
  </si>
  <si>
    <t>инв.10104138. В комплекте: системный блок, монитор</t>
  </si>
  <si>
    <t>инв.10104173,74,75,72</t>
  </si>
  <si>
    <t>инв.10104170-70</t>
  </si>
  <si>
    <t>инв.10104163</t>
  </si>
  <si>
    <t>Монитор SamsungSyncMaster 19*941MW TFT</t>
  </si>
  <si>
    <t>инв.10104196</t>
  </si>
  <si>
    <t>инв.10104191</t>
  </si>
  <si>
    <t>инв.10104242. Программно-технический комплекс</t>
  </si>
  <si>
    <t xml:space="preserve">инв.10104330. В комплект входит: монитор 21,5 Philips LED Wide E223V5LSB2 Black,системный блок N44 S-A4(FM1), клавиатура KS-060SU Dialog, манипулятор "мышь" Genius, кабель, удлинитель  </t>
  </si>
  <si>
    <t>инв.10104324</t>
  </si>
  <si>
    <t>инв.10104194</t>
  </si>
  <si>
    <t>инв.10104136. 21Mb/SD</t>
  </si>
  <si>
    <t>11-2009</t>
  </si>
  <si>
    <t>инв.10106810</t>
  </si>
  <si>
    <t>инв.10106978</t>
  </si>
  <si>
    <t>инв.10104024</t>
  </si>
  <si>
    <t xml:space="preserve">инв.10104025 </t>
  </si>
  <si>
    <t>11-1999</t>
  </si>
  <si>
    <t>12-1999</t>
  </si>
  <si>
    <t>11-2008</t>
  </si>
  <si>
    <t>07.2010</t>
  </si>
  <si>
    <t>инв.01380819</t>
  </si>
  <si>
    <t>инв.01380796</t>
  </si>
  <si>
    <t>инв.01630722</t>
  </si>
  <si>
    <t>инв.3060996</t>
  </si>
  <si>
    <t>инв.01384730</t>
  </si>
  <si>
    <t>инв.1061017</t>
  </si>
  <si>
    <t>инв.3061031</t>
  </si>
  <si>
    <t>инв.3061280. Колонки 1 большая, 2 малые</t>
  </si>
  <si>
    <t>инв.3061244</t>
  </si>
  <si>
    <t>инв.30612101</t>
  </si>
  <si>
    <t>инв.3061295</t>
  </si>
  <si>
    <t>инв.3061260-61</t>
  </si>
  <si>
    <t>инв.3061275</t>
  </si>
  <si>
    <t>инв.3061299</t>
  </si>
  <si>
    <t>инв.3060949</t>
  </si>
  <si>
    <t>инв.3061258</t>
  </si>
  <si>
    <t>инв.30612103</t>
  </si>
  <si>
    <t>инв.30612104</t>
  </si>
  <si>
    <t>инв.30612139</t>
  </si>
  <si>
    <t>инв.3061263</t>
  </si>
  <si>
    <t>инв.30612136</t>
  </si>
  <si>
    <t>инв.30612134</t>
  </si>
  <si>
    <t>инв.30612110</t>
  </si>
  <si>
    <t>инв.30612162</t>
  </si>
  <si>
    <t>инв.30612140</t>
  </si>
  <si>
    <t>инв.30612141</t>
  </si>
  <si>
    <t>инв.30612163</t>
  </si>
  <si>
    <t>инв.3061078,в</t>
  </si>
  <si>
    <t>инв.3061079,в</t>
  </si>
  <si>
    <t>инв.3061080,в</t>
  </si>
  <si>
    <t>инв.3061294</t>
  </si>
  <si>
    <t>инв.01380766</t>
  </si>
  <si>
    <t>инв.3061256. Processor 2600+, 1,6 ГГц, 224Мб ОЗУ</t>
  </si>
  <si>
    <t>инв.013680212</t>
  </si>
  <si>
    <t>инв.01380323</t>
  </si>
  <si>
    <t>Компьютер Sempron 2,8</t>
  </si>
  <si>
    <t>инв.2040987</t>
  </si>
  <si>
    <t xml:space="preserve">Компьютер CTR Office с монитором </t>
  </si>
  <si>
    <t>инв.30612143</t>
  </si>
  <si>
    <t>Компьютер Intel pentium - 4 с монитором</t>
  </si>
  <si>
    <t>инв.3061292</t>
  </si>
  <si>
    <t>Компьютер в комплекте Dual Core E2180 2 GHz,LGA</t>
  </si>
  <si>
    <t>инв.252012</t>
  </si>
  <si>
    <t>Кондиционер CHIGO KFR-88</t>
  </si>
  <si>
    <t>инв.3040985</t>
  </si>
  <si>
    <t>инв.3040904</t>
  </si>
  <si>
    <t>инв.30612138. VPL EX 2100 ANSI 1m 1024*768</t>
  </si>
  <si>
    <t>инв.3040913. Celeron D-C 2,OGHz/HHD320Gb/DDR/DVD монитор19</t>
  </si>
  <si>
    <t>инв.30612135. Intel Core 2 Duo(монитор19/клав/мышь)</t>
  </si>
  <si>
    <t xml:space="preserve"> инв.3040914. Xerox Phaser 3117</t>
  </si>
  <si>
    <t>инв.3061032</t>
  </si>
  <si>
    <t>инв.3061262</t>
  </si>
  <si>
    <t>Ноутбук 15.6 "ASUS N53SM в комплекте с сумкой</t>
  </si>
  <si>
    <t>инв.30612112</t>
  </si>
  <si>
    <t>инв.30612113. 2-полосная активная акустическая система с микш.пультом,микрофон,стойка микрофонная</t>
  </si>
  <si>
    <t>инв.6Г00000000000000000000001</t>
  </si>
  <si>
    <t>Проектор BenQ М610</t>
  </si>
  <si>
    <t>инв.08042013</t>
  </si>
  <si>
    <t>инв.30612118</t>
  </si>
  <si>
    <t>инв.3061296</t>
  </si>
  <si>
    <t>инв.30612111</t>
  </si>
  <si>
    <t>инв.3061298</t>
  </si>
  <si>
    <t>инв.3061251</t>
  </si>
  <si>
    <t>инв.30612102</t>
  </si>
  <si>
    <t>инв.3061269</t>
  </si>
  <si>
    <t>инв.3061271</t>
  </si>
  <si>
    <t>инв.3061273</t>
  </si>
  <si>
    <t>инв.6Г00000000000000000000007</t>
  </si>
  <si>
    <t>инв.30612107</t>
  </si>
  <si>
    <t>инв.30612108</t>
  </si>
  <si>
    <t>инв.30612109</t>
  </si>
  <si>
    <t>инв.30612100</t>
  </si>
  <si>
    <t>инв.3061264</t>
  </si>
  <si>
    <t>инв.3061293</t>
  </si>
  <si>
    <t>инв.3061076в</t>
  </si>
  <si>
    <t>инв.01630728. Серо-черного цвета (Центр встреч)</t>
  </si>
  <si>
    <t>инв.3061041а</t>
  </si>
  <si>
    <t>инв.3061072,в</t>
  </si>
  <si>
    <t>инв.30612127</t>
  </si>
  <si>
    <t>Баннер "9 Мая"</t>
  </si>
  <si>
    <t>инв.6Г000000000000000000000018, 3061283-3061291. Серый</t>
  </si>
  <si>
    <t>инв.30612123, 30612124</t>
  </si>
  <si>
    <t>инв.3061278</t>
  </si>
  <si>
    <t>инв.30612121</t>
  </si>
  <si>
    <t>Бензотриммер Кратон GGT-900</t>
  </si>
  <si>
    <t>инв.30612114</t>
  </si>
  <si>
    <t>инв.306121126</t>
  </si>
  <si>
    <t>инв.30612116</t>
  </si>
  <si>
    <t>инв.3061172</t>
  </si>
  <si>
    <t>инв.3061081,в</t>
  </si>
  <si>
    <t>инв.507. Радиосистема YTS</t>
  </si>
  <si>
    <t>инв.3061171,72,71в</t>
  </si>
  <si>
    <t>Костюм "Джек Воробей"</t>
  </si>
  <si>
    <t>инв.3061187</t>
  </si>
  <si>
    <t>инв.3061073. Т233/0,65 квт-0,9</t>
  </si>
  <si>
    <t>инв.6Г</t>
  </si>
  <si>
    <t>инв.10104025</t>
  </si>
  <si>
    <t>инв.1104015</t>
  </si>
  <si>
    <t>инв.10106667</t>
  </si>
  <si>
    <t>инв.10104030-31</t>
  </si>
  <si>
    <t>инв.10104059. Принтер/Копир/Сканер</t>
  </si>
  <si>
    <t>инв.10104060</t>
  </si>
  <si>
    <t>инв.01380015</t>
  </si>
  <si>
    <t>инв.10104012</t>
  </si>
  <si>
    <t>инв.10106004-5</t>
  </si>
  <si>
    <t>Скамейка детская "Слоник"</t>
  </si>
  <si>
    <t>инв. 10106647</t>
  </si>
  <si>
    <t>инв.10106666</t>
  </si>
  <si>
    <t>инв.10106704</t>
  </si>
  <si>
    <t>инв.10106643</t>
  </si>
  <si>
    <t>инв.10106644</t>
  </si>
  <si>
    <t>инв.10106705</t>
  </si>
  <si>
    <t>Стенды "Рябинка, Лукоморье, морозко, универсальный, теремок"</t>
  </si>
  <si>
    <t>инв.10104047</t>
  </si>
  <si>
    <t>инв. №10104097</t>
  </si>
  <si>
    <t>инв.10104130</t>
  </si>
  <si>
    <t>целевая программа из края 2008год, счет-фактура</t>
  </si>
  <si>
    <t>инв.10106467</t>
  </si>
  <si>
    <t>инв.10104127</t>
  </si>
  <si>
    <t>инв.10106468</t>
  </si>
  <si>
    <t>инв.10106470</t>
  </si>
  <si>
    <t>инв.10106469</t>
  </si>
  <si>
    <t>инв.10106484</t>
  </si>
  <si>
    <t>инв.10106485</t>
  </si>
  <si>
    <t>инв.10106486-87</t>
  </si>
  <si>
    <t>инв.10106471-72</t>
  </si>
  <si>
    <t>инв.10106473-74</t>
  </si>
  <si>
    <t>инв.10106477</t>
  </si>
  <si>
    <t>инв.10106478</t>
  </si>
  <si>
    <t>инв.10106481,83</t>
  </si>
  <si>
    <t>инв.10106488</t>
  </si>
  <si>
    <t>инв.10104126</t>
  </si>
  <si>
    <t>инв.10106138</t>
  </si>
  <si>
    <t>инв.10160137</t>
  </si>
  <si>
    <t>инв.10160136</t>
  </si>
  <si>
    <t>инв.10106139</t>
  </si>
  <si>
    <t>инв.10104165</t>
  </si>
  <si>
    <t>инв.10104327-28</t>
  </si>
  <si>
    <t>инв.10104173</t>
  </si>
  <si>
    <t>инв.10104176</t>
  </si>
  <si>
    <t>инв.10104175</t>
  </si>
  <si>
    <t>инв.10104201</t>
  </si>
  <si>
    <t>инв.10104210</t>
  </si>
  <si>
    <t>инв.10104192. Состоит: бубен - 3, бубенцы - 2, дощечки - 1, дудочка - 1, колотушки - 7, ложки дерев. - 11, маракасы - 2, металлофон - 1, молоточек -1, погремушка - 1, прищепки - 2, рубель - 1, сундучок - 1, счеты - 1, треугольник метал. - 3, трещотки -2</t>
  </si>
  <si>
    <t>целевая программа из края 2008год, приказ (край)</t>
  </si>
  <si>
    <t>инв.10106941</t>
  </si>
  <si>
    <t>инв.10106950</t>
  </si>
  <si>
    <t>инв.10106948</t>
  </si>
  <si>
    <t>инв.10106979</t>
  </si>
  <si>
    <t>инв.10106935. Таблицы  + наглядные пособия</t>
  </si>
  <si>
    <t>инв.10104215. состоит из 3 компьютеров</t>
  </si>
  <si>
    <t xml:space="preserve"> из края 2008год, приказ (край)</t>
  </si>
  <si>
    <t>инв.10104214</t>
  </si>
  <si>
    <t>инв.10106937</t>
  </si>
  <si>
    <t>инв.10106943</t>
  </si>
  <si>
    <t>инв.10106944</t>
  </si>
  <si>
    <t>инв.10106945</t>
  </si>
  <si>
    <t>инв.10106949, 10106968, 10106969, 10106971</t>
  </si>
  <si>
    <t>инв.10106974</t>
  </si>
  <si>
    <t>II -2007</t>
  </si>
  <si>
    <t>Телевизор "VESTEL"</t>
  </si>
  <si>
    <t>инв.10104031</t>
  </si>
  <si>
    <t>инв.10104133</t>
  </si>
  <si>
    <t xml:space="preserve">Компьютер ученика  Start Master LGA </t>
  </si>
  <si>
    <t>инв.10104146-47,48,49,50</t>
  </si>
  <si>
    <t xml:space="preserve"> инв.10104067-68,69. Клав.-мультимед</t>
  </si>
  <si>
    <t>инв.10104154</t>
  </si>
  <si>
    <t>инв.10104159</t>
  </si>
  <si>
    <t>инв.10104168</t>
  </si>
  <si>
    <t>инв.10104170</t>
  </si>
  <si>
    <t>инв.10104172</t>
  </si>
  <si>
    <t>инв.10104174</t>
  </si>
  <si>
    <t>инв.10104189</t>
  </si>
  <si>
    <t>инв.10104190</t>
  </si>
  <si>
    <t xml:space="preserve">Компьютер планшетный, </t>
  </si>
  <si>
    <t>инв.10104200,197,198,199, 196</t>
  </si>
  <si>
    <t>Ноутбук Asus P53E</t>
  </si>
  <si>
    <t xml:space="preserve">инв.10104193, 10104205-209  </t>
  </si>
  <si>
    <t>Ноутбук Asus X 54 C</t>
  </si>
  <si>
    <t>инв.10104190, 10104202</t>
  </si>
  <si>
    <t>инв.10104204. Программно-технический комплекс</t>
  </si>
  <si>
    <t>Ноутбук ASUS X502CA</t>
  </si>
  <si>
    <t xml:space="preserve"> инв.10104217. Pentium UVL 987/1.5GHz Igma HD4000/320Gb/4Gb) LAN1000 WiFi+BT Cam W8</t>
  </si>
  <si>
    <t>инв.10104221</t>
  </si>
  <si>
    <t>инв.10104216. Pentium Gb/4Gb/GT720M-2Gb/DVDRW/CR/LAN100/WIFI+BT</t>
  </si>
  <si>
    <t xml:space="preserve">инв.10104308.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DSOC-1101T;Многофункциональное устройство Xerox WC3210; Акустическая система DIALOG AD-05
</t>
  </si>
  <si>
    <t>инв.1010422-28, 33-37. 4N2600/2GB/500Gb/10,1"/HD/WiFi/Cam/6c/blue/W7Pro/Of2013StdAcdmc/SchoolSoft/mouse/Flash карта SD8Gb</t>
  </si>
  <si>
    <t>инв.10106006</t>
  </si>
  <si>
    <t>инв.10106005</t>
  </si>
  <si>
    <t>инв.10104330</t>
  </si>
  <si>
    <t>инв.10104317, 18, 10104320, 10104321,10104319. ASUS 15,6, X553MA (90NB04X1MO 2070) Celeron N2830/2,16G Hz iGMA),10104317 - Acer 15,6 Acpire E-5-511-C565(NXMPKER004)  Celeron N2930/2,16G  MA)</t>
  </si>
  <si>
    <t>инв.10104322. В комплект № 1 входит: ноутбук ICL RAYBook Si52 i3- 3120M/4Gb/500Gb/vint/DVD RW/Web2 Mpix/WiFi/Wen7 Pro/MsOfficeStd 2013 Rus/ ПО педагога Интерактивный ежедневник /ПО Intel Education Solution/ПО IT Infastructure manager - 1; проектор Epson EB-X11H - шт.; кронштейн потолочный Proffix PCM63 100 - 1 шт.; кабель соединительный VGA 10 м - 1 шт.; аккустическая система JetBalance JB-214 - 1 шт.; МФУ Xerox WC32010 - 1 шт.; экран настенный Digis DSOC - 1101 T -1 шт.</t>
  </si>
  <si>
    <t xml:space="preserve">инв.   В составе: монитор АОС 19" Е960Sda, системный блок DEPO Neos 260W7_P64/SM/G1610/ 1x4G1333/T500G/CIS/DMU/KB/Mo/ 400W/CAR3PCB/Dallas Lock 8/0-K, источник бесперебойного питания АРС Back UPS CS 500-RS w/o interface port, фильтр сетевой PowerCube 1,6м (5 розеток), для ИБП, серый, программное обеспечение Confident СЗИ от НСД Dallas Lock 8/0-K (50-99) </t>
  </si>
  <si>
    <t xml:space="preserve">инв.1380050,51, 150, 151. </t>
  </si>
  <si>
    <t>12-2007</t>
  </si>
  <si>
    <t>инв.101066496-6520</t>
  </si>
  <si>
    <t>инв.10104125</t>
  </si>
  <si>
    <t>инв.10104138-39</t>
  </si>
  <si>
    <t>инв.10106135</t>
  </si>
  <si>
    <t>инв. 10104309. 3 предмета</t>
  </si>
  <si>
    <t>инв.10106936. Диск</t>
  </si>
  <si>
    <t>инв.10106573. Н/ж</t>
  </si>
  <si>
    <t>Баян "Рубин"</t>
  </si>
  <si>
    <t>Магнитофон Panasonic</t>
  </si>
  <si>
    <t>инв.10104035,36</t>
  </si>
  <si>
    <t>Таблица - Растворимость солей, кислот</t>
  </si>
  <si>
    <t>Таблица - Правила техники безопасности</t>
  </si>
  <si>
    <t>Таблица - Обращение свед.о группе уг</t>
  </si>
  <si>
    <t>Таблица - Окраска индик.в разл.средах</t>
  </si>
  <si>
    <t>Таблица - Химические св-ва метал-в</t>
  </si>
  <si>
    <t>Центр музык. "SONI"</t>
  </si>
  <si>
    <t>инв.10106150, 54, 10106411, 10106458-459, 10106154, 10106091-92,94,95, 96, 97, 201, 401,405</t>
  </si>
  <si>
    <t>инв.10106682,83, 685,686</t>
  </si>
  <si>
    <t>инв.10106582</t>
  </si>
  <si>
    <t>инв.10104043</t>
  </si>
  <si>
    <t>инв.10106602</t>
  </si>
  <si>
    <t>инв.10104035-35</t>
  </si>
  <si>
    <t>Компьютер персональный</t>
  </si>
  <si>
    <t xml:space="preserve">инв.10104068. {59381390} Lenovo B590 1005M/4096/500/DVD-RW/int/Cam/BT/Black/W8SL64 </t>
  </si>
  <si>
    <t>инв.10106604</t>
  </si>
  <si>
    <t>инв.10106603</t>
  </si>
  <si>
    <t>инв. 10104061</t>
  </si>
  <si>
    <t>инв.10106828</t>
  </si>
  <si>
    <t>инв.№10106021, 6601</t>
  </si>
  <si>
    <t>инв.10104069</t>
  </si>
  <si>
    <t>инв.10104074</t>
  </si>
  <si>
    <t>инв.10104065</t>
  </si>
  <si>
    <t>инв.10104146</t>
  </si>
  <si>
    <t>инв.10106734-35</t>
  </si>
  <si>
    <t>инв.10104147</t>
  </si>
  <si>
    <t>край, счет-фактура</t>
  </si>
  <si>
    <t>инв.10104572</t>
  </si>
  <si>
    <t>инв.10106745</t>
  </si>
  <si>
    <t>инв.10106744</t>
  </si>
  <si>
    <t>инв.10106738</t>
  </si>
  <si>
    <t>инв.10106740</t>
  </si>
  <si>
    <t>инв.10106743</t>
  </si>
  <si>
    <t>инв.10106741</t>
  </si>
  <si>
    <t>инв.10104700</t>
  </si>
  <si>
    <t>край, счет</t>
  </si>
  <si>
    <t>инв.10106938</t>
  </si>
  <si>
    <t>инв.1010693</t>
  </si>
  <si>
    <t>диски</t>
  </si>
  <si>
    <t>инв.101041010. 40 ВК- Х латунь</t>
  </si>
  <si>
    <t>инв.01380005. В комплекте: системный блок, монитор, клавиатура, мышь</t>
  </si>
  <si>
    <t>инв.101040003 В комплекте: системный блок, монитор, клавиатура,манипулятор, мышь</t>
  </si>
  <si>
    <t>инв.10104008. Установка для электрохимического синтеза актив. дезенфиц. растворов"</t>
  </si>
  <si>
    <t>инв.10104006. АРМ преподователя 1 шт.,АРМ слушателя 10 шт.</t>
  </si>
  <si>
    <t>инв.10104005. В комплекте: системный блок, монитор, клавиатура,манипулятор, мышь)</t>
  </si>
  <si>
    <t>Компьютер Office</t>
  </si>
  <si>
    <t>инв.10104004. В комплекте: системный блок, монитор, клавиатура,манипулятор, мышь)</t>
  </si>
  <si>
    <t xml:space="preserve">инв.10104030. в комплекте: монитор Aguarius,  системный блок  Pentium 4 </t>
  </si>
  <si>
    <t>02-2007</t>
  </si>
  <si>
    <t>инв.10104049. Монитор ASER</t>
  </si>
  <si>
    <t>инв.10104064</t>
  </si>
  <si>
    <t>инв.10104038, 10104041</t>
  </si>
  <si>
    <t>Термометр ТЭН-5  электронный</t>
  </si>
  <si>
    <t>инв.10106369</t>
  </si>
  <si>
    <t>Компьютер  в комплекте</t>
  </si>
  <si>
    <t>инв.10104080</t>
  </si>
  <si>
    <t>Компьютер ученика  Start Master LGA 775</t>
  </si>
  <si>
    <t>инв.10104134-136</t>
  </si>
  <si>
    <t>инв.10104137-139</t>
  </si>
  <si>
    <t xml:space="preserve"> инв.10104099. Клав.-мультимед - 10 шт.</t>
  </si>
  <si>
    <t>инв.10104116-17</t>
  </si>
  <si>
    <t>инв.10104070</t>
  </si>
  <si>
    <t>инв.10104156-158</t>
  </si>
  <si>
    <t>инв.10104153</t>
  </si>
  <si>
    <t>инв.01380618-619, 0138001</t>
  </si>
  <si>
    <t>Системный блок S-775/PDC E-5500/320 Gb/2Gb/CD</t>
  </si>
  <si>
    <t xml:space="preserve"> инв.10104623-627</t>
  </si>
  <si>
    <t>Монитор 17 ASER V 173BK/BK</t>
  </si>
  <si>
    <t>инв.10104628-637</t>
  </si>
  <si>
    <t>инв.10104284</t>
  </si>
  <si>
    <t>инв.10104689-91</t>
  </si>
  <si>
    <t>инв.10104680</t>
  </si>
  <si>
    <t>инев.10104681-83</t>
  </si>
  <si>
    <t>инв.10104685</t>
  </si>
  <si>
    <t>Компьютер планшетный</t>
  </si>
  <si>
    <t>Ноутбук программно-технический комплекс</t>
  </si>
  <si>
    <t>инв.10104707</t>
  </si>
  <si>
    <t>инв.10104701</t>
  </si>
  <si>
    <t xml:space="preserve">инв.101041012.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 Многофункциональное устройство Xerox WC3210; Акустическая система DIALOG AD-05
</t>
  </si>
  <si>
    <t xml:space="preserve">инв.101041005-09. В составе:Ноутбук ICL RayBook Sil52 13-3120М/4GB/500Gb/DVDRW/HDG/15"/WiFi/BT/W7Pro/MSOStdAE/Cam/Schoolsoft/Mouse/FlashSD8Gb;
Проектор Epson EB-X11H
Кронштейн потолочный Proffix PCM63100
Кабель соединительный VGA 10м
Экран настенный Digis DSOC-1101T
Многофункциональное устройст-во Xerox WC3210;
Акустическая система DIALOG AD-05
МФУ Xerox WC3210
</t>
  </si>
  <si>
    <t>инв.10104989</t>
  </si>
  <si>
    <t xml:space="preserve">Принтер лазерный Canon LBR </t>
  </si>
  <si>
    <t>инв.10106990. Настенная, зеленая (мел), 3000*1000</t>
  </si>
  <si>
    <t>инв.101061017. RoverMateB06</t>
  </si>
  <si>
    <t>инв.101061022. RoverMateB07</t>
  </si>
  <si>
    <t>инв.101061023. RoverMateB08</t>
  </si>
  <si>
    <t>инв.101061025-042. RoverMateB09</t>
  </si>
  <si>
    <t>инв.101061024. RoverScanM800</t>
  </si>
  <si>
    <t>инв.10106597. RoverMateB01</t>
  </si>
  <si>
    <t>инв.10104101</t>
  </si>
  <si>
    <t>инв.10104102</t>
  </si>
  <si>
    <t>инв.10106340</t>
  </si>
  <si>
    <t>инв.10106359</t>
  </si>
  <si>
    <t>инв.10106342</t>
  </si>
  <si>
    <t>инв.10106347</t>
  </si>
  <si>
    <t>инв.10106361</t>
  </si>
  <si>
    <t>инв.10106360</t>
  </si>
  <si>
    <t>инв.10106346</t>
  </si>
  <si>
    <t>инв.10106350</t>
  </si>
  <si>
    <t>инв.10106341</t>
  </si>
  <si>
    <t>инв.01380514</t>
  </si>
  <si>
    <t>инв.01380512-513</t>
  </si>
  <si>
    <t>инв.01380519</t>
  </si>
  <si>
    <t>инв.01380520</t>
  </si>
  <si>
    <t>инв.01380521</t>
  </si>
  <si>
    <t>инв.01380055</t>
  </si>
  <si>
    <t>инв.10104081</t>
  </si>
  <si>
    <t>инв.10106759</t>
  </si>
  <si>
    <t>Компьютерный измертельный блок</t>
  </si>
  <si>
    <t>инв.10104082</t>
  </si>
  <si>
    <t>инв.10106017</t>
  </si>
  <si>
    <t>инв.10106085</t>
  </si>
  <si>
    <t>инв.10106100-101</t>
  </si>
  <si>
    <t>инв.010106165</t>
  </si>
  <si>
    <t>инв.010104002</t>
  </si>
  <si>
    <t>инв.010104007</t>
  </si>
  <si>
    <t>инв.010104016</t>
  </si>
  <si>
    <t>инв.010104030/1</t>
  </si>
  <si>
    <t>Кипятильник электрический КНЭ 50/100</t>
  </si>
  <si>
    <t xml:space="preserve"> инв.10104062</t>
  </si>
  <si>
    <t xml:space="preserve">Плита электрическая ЭП-4ЖШ </t>
  </si>
  <si>
    <t>инв.10104063</t>
  </si>
  <si>
    <t xml:space="preserve"> инв.10104029. В сборе</t>
  </si>
  <si>
    <t>инв.10104034-35</t>
  </si>
  <si>
    <t>инв.10104055</t>
  </si>
  <si>
    <t>инв.10104054</t>
  </si>
  <si>
    <t>Проектор мультимедийный Hitachi CP-EX 250</t>
  </si>
  <si>
    <t>инв.10104069. Беспроводной Mimio Pad, 174 -7666</t>
  </si>
  <si>
    <t>инв.10104073. IRU Patriot 528 K P2020M/4Gb/320Gb/ DVDRW/HDG/15,6"/W64/black/BT/Cam</t>
  </si>
  <si>
    <t>инв.10106116-17</t>
  </si>
  <si>
    <t>инв.10106121-28</t>
  </si>
  <si>
    <t>инв.10106129-32</t>
  </si>
  <si>
    <t>инв.10106133-35</t>
  </si>
  <si>
    <t>инв.10106144-47</t>
  </si>
  <si>
    <t>инв.10106172.Воздушно- пузырьковая колонна+мягкое основание+комплект зеркальных панелей</t>
  </si>
  <si>
    <t>инв.10104061</t>
  </si>
  <si>
    <t>инв.10104062</t>
  </si>
  <si>
    <t>инв.10104056</t>
  </si>
  <si>
    <t>инв.10106279, 10106280</t>
  </si>
  <si>
    <t>инв.10106286</t>
  </si>
  <si>
    <t>инв.10104106</t>
  </si>
  <si>
    <t>инв.10104114-1</t>
  </si>
  <si>
    <t>инв.10104141</t>
  </si>
  <si>
    <t>инв.10104144</t>
  </si>
  <si>
    <t>инв.10104145. В комплекте: принтер, ноутбук, проектор</t>
  </si>
  <si>
    <t>инв.10106932-10106933</t>
  </si>
  <si>
    <t>инв.10104188</t>
  </si>
  <si>
    <t>инв.10104218</t>
  </si>
  <si>
    <t>инв.10104219</t>
  </si>
  <si>
    <t>инв.10104243</t>
  </si>
  <si>
    <t>инв.10106950-10106951</t>
  </si>
  <si>
    <t>инв.10104250</t>
  </si>
  <si>
    <t>инв.10106954</t>
  </si>
  <si>
    <t>инв.10104254</t>
  </si>
  <si>
    <t>инв.10106969</t>
  </si>
  <si>
    <t>инв.10106970</t>
  </si>
  <si>
    <t>Ком-т учебно-наглядного оборудования для кабинета географии</t>
  </si>
  <si>
    <t>Комплект учебно-наглядного оборудования для кабинета физики</t>
  </si>
  <si>
    <t>инв.10106966</t>
  </si>
  <si>
    <t>инв.10106967</t>
  </si>
  <si>
    <t>инв.10104977</t>
  </si>
  <si>
    <t>инв.10104012. В комплекте: системный блок, монитор, клавиатура, мышь</t>
  </si>
  <si>
    <t>инв.10104052,027</t>
  </si>
  <si>
    <t>инв.10104038. Монитор, сист.блок</t>
  </si>
  <si>
    <t>Монитор LG-192 WS-SN</t>
  </si>
  <si>
    <t>инв.10104048</t>
  </si>
  <si>
    <t>инв.10104060. 250 Gb</t>
  </si>
  <si>
    <t>инв.10104056-10104059</t>
  </si>
  <si>
    <t>инв.10104087</t>
  </si>
  <si>
    <t>инв.10104088</t>
  </si>
  <si>
    <t>инв.10104105</t>
  </si>
  <si>
    <t>Набор комп.техники DeLux</t>
  </si>
  <si>
    <t>инв.10104084</t>
  </si>
  <si>
    <t>инв.10104072-77</t>
  </si>
  <si>
    <t>инв.10104078. Принтер,сканер, копир</t>
  </si>
  <si>
    <t>инв.10104079-80. Принтер,сканер, копир</t>
  </si>
  <si>
    <t>Принтер/сканер/копир  CANON  лазерный</t>
  </si>
  <si>
    <t xml:space="preserve"> инв.10104103. В комплекте: монитор, сист.блок, клав.-мультимед.</t>
  </si>
  <si>
    <t>инв.10104133-36</t>
  </si>
  <si>
    <t>инв.10104183-87</t>
  </si>
  <si>
    <t>инв.10104189. Программно-технический комплекс</t>
  </si>
  <si>
    <t>инв.10104258,260,261-262, 220,228-229, 235,238-242. Rover Book E506</t>
  </si>
  <si>
    <t xml:space="preserve">инв.10104978. В составе: Ноутбук ICL RayBook Sil52 P2020/4GB/500Gb/DVDRW/HD/15"/WiFi/BT/W7Pro/MSOStdAE/Cam/Schoolsoft/Mouse/FlashSD8 Gb;Мультимедиа проектор Epson EB-X11H в комплекте с кабелем соединительным VGA, кронштейном потолочным Proffix PCM63100, установочным комплектом; Экран настенный Digis DSOC-1101T; Многофункциональное устройство Xerox WC3210; Акустическая система DIALOG AD-05
</t>
  </si>
  <si>
    <t>инв.10104968</t>
  </si>
  <si>
    <t>инв.101061018. RoverMateB07</t>
  </si>
  <si>
    <t>инв.101061020. RoverMateB08</t>
  </si>
  <si>
    <t>инв.101061021-35. RoverMateB09</t>
  </si>
  <si>
    <t>инв.101061036. RoverScanM800</t>
  </si>
  <si>
    <t>инв.101061011. RoverMateB01</t>
  </si>
  <si>
    <t>инв.10104980. Сист.блок team RAY 1041Lс ПО</t>
  </si>
  <si>
    <t>Монитор BenQ</t>
  </si>
  <si>
    <t xml:space="preserve">инв.10104979 </t>
  </si>
  <si>
    <t xml:space="preserve">инв.10104982 </t>
  </si>
  <si>
    <t>Холодильник "Stinol" Fe345)</t>
  </si>
  <si>
    <t>инв.10106145</t>
  </si>
  <si>
    <t>инв.10106196,10106185-10106198</t>
  </si>
  <si>
    <t>инв.10106287</t>
  </si>
  <si>
    <t>инв.10106274</t>
  </si>
  <si>
    <t xml:space="preserve">инв.10106284-5. ХМ 2826 , 2-х камерный </t>
  </si>
  <si>
    <t>инв.10106802</t>
  </si>
  <si>
    <t>инв.10106821</t>
  </si>
  <si>
    <t>инв.10106976-10106986, 10106991, 10106993-10106996, 10106999; 101061001- 101061006</t>
  </si>
  <si>
    <t>инв.101061009</t>
  </si>
  <si>
    <t>инв.101061010. Состоит из 2 шкафов 1,8*0,75/0,45 со смотрированными сверху 2-х ярусными полками размером 1,2*1,0*0,25 светло-коричневого цвета</t>
  </si>
  <si>
    <t>инв.10106863-875, 849-862</t>
  </si>
  <si>
    <t>инв.10106684</t>
  </si>
  <si>
    <t xml:space="preserve">инв.10106090-114 (кроме 10106097, 10106112,10106113) </t>
  </si>
  <si>
    <t xml:space="preserve">инв.10104193,10104194, 10104196, 10104198-10104199, 10104201,10104203, 10104207-10104209, 10104212-10104213, 10104215, 10104192 </t>
  </si>
  <si>
    <t>инв.1380312</t>
  </si>
  <si>
    <t xml:space="preserve">инв.10106712-13 </t>
  </si>
  <si>
    <t>инв.10106024-030, 254, 272, 800-801, 231-232, 226,273</t>
  </si>
  <si>
    <t xml:space="preserve">инв.01360171. лазерный, А4                                    </t>
  </si>
  <si>
    <t xml:space="preserve">Компьютер "CELERON </t>
  </si>
  <si>
    <t>инв.10104011-12</t>
  </si>
  <si>
    <t>Компьютер 21,5 LC LED</t>
  </si>
  <si>
    <t>инв.10104188. В комплект входит: компьютер GLX i3-3220\4GB\500GB\DVD-RW\V-int, LCD- панель ViewSonic 23.6", wide, VG2433-LED, черная, 5мс, 1920х1080, 300кд/м2, 20М:1, 170/160, D-Sub. DVI, лицензия Microsoft Win Home Basic 7 SP1 64-bit , установочный комплект Microsoft Win Home Basic 7 SP1 64-bit, лицензии Microsoft OfficeStd 2013, лицензия Symantec 36 months, лицензия Symantec 12 months продление (2 шт), манипулятор "Мышь" Genius USB, клавиатура Genius USB (104, черная)</t>
  </si>
  <si>
    <t>инв.10104200. В комплект входит: компьютер GLX i3-3220\4GB\500GB\DVD-RW\V-int, LCD- панель ViewSonic 23.6", wide, VG2433-LED, черная, 5мс, 1920х1080, 300кд/м2, 20М:1, 170/160, D-Sub. DVI, лицензия Microsoft Win Home Basic 7 SP1 64-bit , установочный комплект Microsoft Win Home Basic 7 SP1 64-bit, лицензии Microsoft OfficeStd 2013, лицензия Symantec 36 months, лицензия Symantec 12 months продление (2 шт), манипулятор "Мышь" Genius USB, клавиатура Genius USB (104, черная)</t>
  </si>
  <si>
    <t>Трансформатор силовой ТМЗ-1000/6-04</t>
  </si>
  <si>
    <t>инв</t>
  </si>
  <si>
    <t>инв.10104019</t>
  </si>
  <si>
    <t>инв.10104022</t>
  </si>
  <si>
    <t>инв.10106605</t>
  </si>
  <si>
    <t>инв.1380025</t>
  </si>
  <si>
    <t>инв.01380023</t>
  </si>
  <si>
    <t>инв.10106858</t>
  </si>
  <si>
    <t>инв.10106589</t>
  </si>
  <si>
    <t>инв.10106590</t>
  </si>
  <si>
    <t>инв.10106627</t>
  </si>
  <si>
    <t>инв.10106626</t>
  </si>
  <si>
    <t>инв.10106625</t>
  </si>
  <si>
    <t xml:space="preserve">Пылесос SAMSUNG SC-8830 </t>
  </si>
  <si>
    <t>инв.10106614</t>
  </si>
  <si>
    <t xml:space="preserve">МФУ HP Laser Jet Pro </t>
  </si>
  <si>
    <t>инв.10106628</t>
  </si>
  <si>
    <t>инв.10106629</t>
  </si>
  <si>
    <t>инв.10106630</t>
  </si>
  <si>
    <t>инв.10106631</t>
  </si>
  <si>
    <t>инв.10106632</t>
  </si>
  <si>
    <t>инв.10106633</t>
  </si>
  <si>
    <t xml:space="preserve">Генератор ацетиленовый "Малыш" </t>
  </si>
  <si>
    <t>Насос С-245 с двигателем</t>
  </si>
  <si>
    <t>2.4.2462</t>
  </si>
  <si>
    <t>2.4.2465</t>
  </si>
  <si>
    <t>2.4.2467</t>
  </si>
  <si>
    <t>2.4.2468</t>
  </si>
  <si>
    <t>2.4.2469</t>
  </si>
  <si>
    <t>2.4.2470</t>
  </si>
  <si>
    <t>Фискальный регистратор Штрих-М-ФР-К</t>
  </si>
  <si>
    <t>договор поставки товара</t>
  </si>
  <si>
    <t>передаточный акт с МУП "Горводоканал"</t>
  </si>
  <si>
    <t>Кондиционер RIX I/O (внутренний+наружный блоки)</t>
  </si>
  <si>
    <t>Мотопомпа бензиновая GWP-80-01</t>
  </si>
  <si>
    <t>Установка горизонтального бурения М-2</t>
  </si>
  <si>
    <t>Двигатель, приспособления для бурения</t>
  </si>
  <si>
    <t>Электрогенератор DY8000LX</t>
  </si>
  <si>
    <t>Пресс ПГР-70 кВт</t>
  </si>
  <si>
    <t>инв.3061004,А. Intel Core 2 Duo Е8400 (монитор19 /клав/мышь), TV-тюнер</t>
  </si>
  <si>
    <t>2.5.1345</t>
  </si>
  <si>
    <t>Лестница-стремянка 8-ми ступ. 2,44 м</t>
  </si>
  <si>
    <t>инв.30612168</t>
  </si>
  <si>
    <t>289/3320162090</t>
  </si>
  <si>
    <t>2.4.2472</t>
  </si>
  <si>
    <t>Перфоратор П-22/620 ЭР Интерскол (кейс)</t>
  </si>
  <si>
    <t>инв.30612169</t>
  </si>
  <si>
    <t>905</t>
  </si>
  <si>
    <t>2.5.1346</t>
  </si>
  <si>
    <t>инв.210106300117. Двухстворчатая</t>
  </si>
  <si>
    <t>6120161038</t>
  </si>
  <si>
    <t>2.4.0499</t>
  </si>
  <si>
    <t>929</t>
  </si>
  <si>
    <t>2.5.1347</t>
  </si>
  <si>
    <t>Форма волейбольная</t>
  </si>
  <si>
    <t>инв.210106300124-133</t>
  </si>
  <si>
    <t>6220161064</t>
  </si>
  <si>
    <t>2.4.2473</t>
  </si>
  <si>
    <t>Детектор валют Mercury D-40 SAMURAI white</t>
  </si>
  <si>
    <t>РО0001523</t>
  </si>
  <si>
    <t>2.4.2474</t>
  </si>
  <si>
    <t>Персональный компьютер (в сборе) ИС Стандарт</t>
  </si>
  <si>
    <t>муниципальный контракт</t>
  </si>
  <si>
    <t>ЭА-0120160093</t>
  </si>
  <si>
    <t xml:space="preserve">инв.10134123, 10134125-4127. Монитор BenQ GW2270
Системный блок gamemax, Процессор AMD A4-4000, оперативная память Kingmax 8gb DDR3, материнская плата Asus A68HM-K, жесткий диск Patriot blast 240gb, блок питания gamemax gt-300.
</t>
  </si>
  <si>
    <t>2.5.1348</t>
  </si>
  <si>
    <t>2.5.1349</t>
  </si>
  <si>
    <t>2.5.1350</t>
  </si>
  <si>
    <t xml:space="preserve">инв.1631975. Длина - 3000 мм, состоит из пяти секцмй с пятью открытыми полками и десятью шкафчиками с дверцами </t>
  </si>
  <si>
    <t>2620160076</t>
  </si>
  <si>
    <t>Стол-ромашка</t>
  </si>
  <si>
    <t>инв.1631976. Стол круглый из шести секций с регулируе-мыми ножками</t>
  </si>
  <si>
    <t>Стол логопедический</t>
  </si>
  <si>
    <t>инв.1631977. Стол прямоугольный 1,2 м с зеркалом</t>
  </si>
  <si>
    <t>2.4.2475</t>
  </si>
  <si>
    <t>2.4.2476</t>
  </si>
  <si>
    <t>Дрель ДА-10/14,4</t>
  </si>
  <si>
    <t>инв.1631979</t>
  </si>
  <si>
    <t>Машина протирочно-резательная МПР-350М</t>
  </si>
  <si>
    <t>инв.10104074.</t>
  </si>
  <si>
    <t>44</t>
  </si>
  <si>
    <t>617/2620160081</t>
  </si>
  <si>
    <t>975</t>
  </si>
  <si>
    <t>982</t>
  </si>
  <si>
    <t>2.5.1351</t>
  </si>
  <si>
    <t>Колонки 2,1 SVEN MS-2050</t>
  </si>
  <si>
    <t xml:space="preserve">МБУ ДО "ДШИ" г.Яровое </t>
  </si>
  <si>
    <t>3120168108</t>
  </si>
  <si>
    <t>инв.3120178. 2*12,5 Вт, сабвуфер 30 Вт, материал дерево, USB/SD Bluetooth, ПДУ</t>
  </si>
  <si>
    <t>2.4.2477</t>
  </si>
  <si>
    <t>Коса ЗУБР электрическая</t>
  </si>
  <si>
    <t xml:space="preserve">2016 </t>
  </si>
  <si>
    <t>с верх.двигателем</t>
  </si>
  <si>
    <t>18</t>
  </si>
  <si>
    <t>12/2720160075</t>
  </si>
  <si>
    <t>1003</t>
  </si>
  <si>
    <t>2.4.2479</t>
  </si>
  <si>
    <t>2.4.2480</t>
  </si>
  <si>
    <t>2.4.2481</t>
  </si>
  <si>
    <t>2.4.2482</t>
  </si>
  <si>
    <t>2.4.2483</t>
  </si>
  <si>
    <t>26.07.2016; 15.09.2016</t>
  </si>
  <si>
    <t>1222; б/н</t>
  </si>
  <si>
    <t>Web-камера Defender</t>
  </si>
  <si>
    <t>Автоматизированная система оповещения PVR-4 USB (MIX)</t>
  </si>
  <si>
    <t>Системный блок в комплекте Norbel Personal</t>
  </si>
  <si>
    <t>Источник бесперебойного питания Ippon</t>
  </si>
  <si>
    <t>2.4.2484</t>
  </si>
  <si>
    <t>2.4.2485</t>
  </si>
  <si>
    <t>2.4.2486</t>
  </si>
  <si>
    <t>Монитор Wide Acer LED</t>
  </si>
  <si>
    <t>инв.902239</t>
  </si>
  <si>
    <t>55</t>
  </si>
  <si>
    <t>2.5.1353</t>
  </si>
  <si>
    <t>инв.902235</t>
  </si>
  <si>
    <t>договор оказания услуг</t>
  </si>
  <si>
    <t>инв.902236. Корпус, жесткий диск, процесор, материнская плата, память, блок питания, вентилятор, привод</t>
  </si>
  <si>
    <t>инв.902241. Черный</t>
  </si>
  <si>
    <t>1045</t>
  </si>
  <si>
    <t>2.5.1354</t>
  </si>
  <si>
    <t>Шкаф для игрушек и дидактических игр</t>
  </si>
  <si>
    <t>инв.1631985</t>
  </si>
  <si>
    <t>договор на постаку мебели</t>
  </si>
  <si>
    <t>2620160103</t>
  </si>
  <si>
    <t>2.4.2488</t>
  </si>
  <si>
    <t>инв.30612172</t>
  </si>
  <si>
    <t>3320162125</t>
  </si>
  <si>
    <t>Ноутбук ASUS х75а</t>
  </si>
  <si>
    <t>1087</t>
  </si>
  <si>
    <t>2.4.2489</t>
  </si>
  <si>
    <t>Конвектор электрический Electrolux ECH/AG-1000 MFR</t>
  </si>
  <si>
    <t>28/09</t>
  </si>
  <si>
    <t>2.4.2490</t>
  </si>
  <si>
    <t>Насос 1Д 315-71 с двигателем</t>
  </si>
  <si>
    <t>инв.13601372</t>
  </si>
  <si>
    <t>2.4.2491</t>
  </si>
  <si>
    <t>2.4.2492</t>
  </si>
  <si>
    <t>3220161013</t>
  </si>
  <si>
    <t>МФУ HP Color Laser Jet Pro 100 M 176n</t>
  </si>
  <si>
    <t>инв.2061066. Принтер/копир/сканер цветной лазерный</t>
  </si>
  <si>
    <t>инв.2061065. В комплекте: ПК Crede Home Start II, монитор TFT 21,5 " Philips (черный), клавиатура Exegate, манипулятор Exegate (черная) оптическая</t>
  </si>
  <si>
    <t>2.4.2493</t>
  </si>
  <si>
    <t>2.4.2494</t>
  </si>
  <si>
    <t>2.4.2495</t>
  </si>
  <si>
    <t>Проектор EPSON EB-S04</t>
  </si>
  <si>
    <t>А-00143964</t>
  </si>
  <si>
    <t>МФУ HP  LaserJet Pro M125г</t>
  </si>
  <si>
    <t>Настенный экран Lumien Eco Picture</t>
  </si>
  <si>
    <t>14.10.2014; 25.01.2016; 20.01.2016; 25.01.2016; 22.03.2016; 06.09.2016</t>
  </si>
  <si>
    <t>1192; 25/01; 22; 2016/09-06</t>
  </si>
  <si>
    <t>17.10.2014; 21.04.2016; 19.10.2016</t>
  </si>
  <si>
    <t>10.10.2014; 22.01.2016; 19.10.2016</t>
  </si>
  <si>
    <t>2.4.2496</t>
  </si>
  <si>
    <t>Триммер бензиновый PATRIOT</t>
  </si>
  <si>
    <t>01.11.216</t>
  </si>
  <si>
    <t>2520160158</t>
  </si>
  <si>
    <t>инв.101041018. Серийный номер - 001. Вес - 7 кг.</t>
  </si>
  <si>
    <t>2.5.1359</t>
  </si>
  <si>
    <t>Жалюзи рулонные</t>
  </si>
  <si>
    <t>инв.1631992, 162993, 162994. 2 шт. - бежевый цвет ( 6200,00 руб., 1,75х 1,64 см), 1 шт. - зеленый цвет (6785,00 руб., 1,75х1,06 см)</t>
  </si>
  <si>
    <t>Телефакс Panasonic KX-FT-21 PS</t>
  </si>
  <si>
    <t>1216</t>
  </si>
  <si>
    <t>г.Яровое, Аквапарк "Лава" -1088м, Оз.Большое Яровое - 777м (пересечение ул.Алтайская с ул.Первомайская), Аквапарк "Лава"-777м (пересечение ул.Алтайская с ул.Менделеева)</t>
  </si>
  <si>
    <t>2.4.2498</t>
  </si>
  <si>
    <t>Насос дренажный ЗУБР ЗАПГ-1100-С</t>
  </si>
  <si>
    <t>Погружной</t>
  </si>
  <si>
    <t>04</t>
  </si>
  <si>
    <t>2.4.2499</t>
  </si>
  <si>
    <t>2.4.2500</t>
  </si>
  <si>
    <t>Устройство разогрева вязких сред УРВС(Д)-1</t>
  </si>
  <si>
    <t>инв.13601454</t>
  </si>
  <si>
    <t>057КП-1603-021</t>
  </si>
  <si>
    <t>Реостат баластный РБ-302</t>
  </si>
  <si>
    <t>14/01/2016</t>
  </si>
  <si>
    <t>2.4.2501</t>
  </si>
  <si>
    <t>2.4.2502</t>
  </si>
  <si>
    <t>МФУ Kyocera FS-1125 MFP</t>
  </si>
  <si>
    <t>инв.10134134</t>
  </si>
  <si>
    <t>муниципальный контракт на поставку товара</t>
  </si>
  <si>
    <t>ЕП4-012016-6158</t>
  </si>
  <si>
    <t>Принтер Kyocera FS-1040</t>
  </si>
  <si>
    <t>инв.10134135</t>
  </si>
  <si>
    <t>2.5.1360</t>
  </si>
  <si>
    <t>2.5.1361</t>
  </si>
  <si>
    <t>Телевизор LG</t>
  </si>
  <si>
    <t>инв.10134136</t>
  </si>
  <si>
    <t>ЕП4-0120160156</t>
  </si>
  <si>
    <t>28.11.216</t>
  </si>
  <si>
    <t>ЕП4-0120160154</t>
  </si>
  <si>
    <t xml:space="preserve">Стол "Ольха" </t>
  </si>
  <si>
    <t>инв.01366305. 1900*900*750мм</t>
  </si>
  <si>
    <t>2.5.1362</t>
  </si>
  <si>
    <t>2.5.1363</t>
  </si>
  <si>
    <t>инв.1631988. Круглый из 6 секций с регулируемыми ножками</t>
  </si>
  <si>
    <t xml:space="preserve">инв.1631995. Стол зеркалом </t>
  </si>
  <si>
    <t>1308</t>
  </si>
  <si>
    <t>2.4.2503</t>
  </si>
  <si>
    <t>Снегоуборщик GST 60-S PRORAB</t>
  </si>
  <si>
    <t>инв.10134137</t>
  </si>
  <si>
    <t>2.5.1364</t>
  </si>
  <si>
    <t>2.4.2504</t>
  </si>
  <si>
    <t>2.4.2505</t>
  </si>
  <si>
    <t>Ноутбук ASER</t>
  </si>
  <si>
    <t>А-00182044</t>
  </si>
  <si>
    <t>Микросистема Rolsen RMD-200</t>
  </si>
  <si>
    <t>инв.10104083. DVD/CD</t>
  </si>
  <si>
    <t>2.5.1365</t>
  </si>
  <si>
    <t>Прогулочный комплект "Стандарт"</t>
  </si>
  <si>
    <t>Знаки дорожные</t>
  </si>
  <si>
    <t>2.4.2506</t>
  </si>
  <si>
    <t>2.4.2507</t>
  </si>
  <si>
    <t>Принтер Pantum Р2500W</t>
  </si>
  <si>
    <t>инв.902246</t>
  </si>
  <si>
    <t>А-09299403</t>
  </si>
  <si>
    <t>Емкость б/у</t>
  </si>
  <si>
    <t>инв.902268</t>
  </si>
  <si>
    <t>инв.13601359, 13601455</t>
  </si>
  <si>
    <t>29.04.2016; 02.12.2016</t>
  </si>
  <si>
    <t>14.01.2016; 09.08.2016</t>
  </si>
  <si>
    <t>2; 009</t>
  </si>
  <si>
    <t>2.4.2508</t>
  </si>
  <si>
    <t>Электрическая тепловая завеса Neoclina ТЗС-610</t>
  </si>
  <si>
    <t>для поста охраны</t>
  </si>
  <si>
    <t>2.4.2509</t>
  </si>
  <si>
    <t>2.4.2510</t>
  </si>
  <si>
    <t>2.4.2511</t>
  </si>
  <si>
    <t>Сучкорез Husgvarna 140</t>
  </si>
  <si>
    <t>Краскопульт Ставр КЭ-800</t>
  </si>
  <si>
    <t>09/11/16</t>
  </si>
  <si>
    <t>Перфоратор П-30/900 ЭР (кейс)</t>
  </si>
  <si>
    <t>2.4.2512</t>
  </si>
  <si>
    <t>Ноутбук LENOVO Idea Pad</t>
  </si>
  <si>
    <t>инв.10104720</t>
  </si>
  <si>
    <t>2820160162</t>
  </si>
  <si>
    <t>18.05.2016; 22.12.2016</t>
  </si>
  <si>
    <t>462; 1336</t>
  </si>
  <si>
    <t>1364</t>
  </si>
  <si>
    <t xml:space="preserve">инв.1632005-1632010. Стенды: "Наша группа"1х3470, "Для Вас, родители" 1 шт.х3470,00;  "Растем и развиваемся вместе", "Для мам и пап ребенка" 2 шт.х3690,00; "Наша Родина - Россия" 1шт.х3400,00, переносной 1 шт.х 6000,00  </t>
  </si>
  <si>
    <t>1344</t>
  </si>
  <si>
    <t>инв.1632011-1632012. Сигналь-ные жилеты со свето-отраж. эле-ментами 2 компл. (базовый + 20 детских жилетов)</t>
  </si>
  <si>
    <t>2.4.2513</t>
  </si>
  <si>
    <t>2.4.2514</t>
  </si>
  <si>
    <t>Сканер Epson Work-forse DS-520</t>
  </si>
  <si>
    <t>2226</t>
  </si>
  <si>
    <t>Принтер Ricoh SP210</t>
  </si>
  <si>
    <t>2.4.2516</t>
  </si>
  <si>
    <t>2.4.2517</t>
  </si>
  <si>
    <t>Договор бюджетного учреждения на выполнение работ для нужд бюджетного учреждения</t>
  </si>
  <si>
    <t>6220110168</t>
  </si>
  <si>
    <t>Пожарная сигнализация, система оповещения "Гранит-8"</t>
  </si>
  <si>
    <t>6120110129</t>
  </si>
  <si>
    <t>2.5.1367</t>
  </si>
  <si>
    <t>Микроволновая печь Midea MM720CKE-S</t>
  </si>
  <si>
    <t>инв.10136306</t>
  </si>
  <si>
    <t>1306</t>
  </si>
  <si>
    <t>ЕП4-0120160162</t>
  </si>
  <si>
    <t>2.5.0002</t>
  </si>
  <si>
    <t>2.4.2519</t>
  </si>
  <si>
    <t xml:space="preserve">Проектор AcerX113P </t>
  </si>
  <si>
    <t>инв.10104359</t>
  </si>
  <si>
    <t>А-00198359/ 2420160162</t>
  </si>
  <si>
    <t>1397</t>
  </si>
  <si>
    <t>2.4.2520</t>
  </si>
  <si>
    <t>2.4.2521</t>
  </si>
  <si>
    <t>2.4.2523</t>
  </si>
  <si>
    <t>2.4.2524</t>
  </si>
  <si>
    <t>Пылесос Magnit RMV-1636</t>
  </si>
  <si>
    <t>инв.1632014</t>
  </si>
  <si>
    <t>договор розничной продажи</t>
  </si>
  <si>
    <t>2720160136</t>
  </si>
  <si>
    <t>2.5.1368</t>
  </si>
  <si>
    <t>2.5.1369</t>
  </si>
  <si>
    <t>инв.1632015</t>
  </si>
  <si>
    <t>Елка искусственная 2,4 м</t>
  </si>
  <si>
    <t>Световой стол для рисования песком</t>
  </si>
  <si>
    <t>инв.1631989</t>
  </si>
  <si>
    <t>контракт на поставку</t>
  </si>
  <si>
    <t>177/2620160146</t>
  </si>
  <si>
    <t>Ноутбук Deil Inspiron</t>
  </si>
  <si>
    <t>инв.10104721</t>
  </si>
  <si>
    <t>2820160166</t>
  </si>
  <si>
    <t>МФУ HP Laser Jet Pro MFP M132</t>
  </si>
  <si>
    <t>инв.101041019</t>
  </si>
  <si>
    <t>инв.101041020-21</t>
  </si>
  <si>
    <t>2520160185</t>
  </si>
  <si>
    <t>Пылесос SAMSUNG SC4520</t>
  </si>
  <si>
    <t>2017</t>
  </si>
  <si>
    <t>инв.1632016</t>
  </si>
  <si>
    <t>договор безвозмездной передачи (пожертвования) материальных ценностей</t>
  </si>
  <si>
    <t>2.5.1370</t>
  </si>
  <si>
    <t>2.4.2525</t>
  </si>
  <si>
    <t>2.4.2526</t>
  </si>
  <si>
    <t>2.4.2527</t>
  </si>
  <si>
    <t>Винтовой компрессор DL-3,0/8-RA</t>
  </si>
  <si>
    <t>Насос 1К150-125-315</t>
  </si>
  <si>
    <t>инв.13601459</t>
  </si>
  <si>
    <t>Турникет полуавтоматический SA-301</t>
  </si>
  <si>
    <t>инв.13601460</t>
  </si>
  <si>
    <t>инв.13601458. Зав.номер 16060112</t>
  </si>
  <si>
    <t>665</t>
  </si>
  <si>
    <t>Системный блок PROGRESS с монитором</t>
  </si>
  <si>
    <t>700</t>
  </si>
  <si>
    <t>2.4.2528</t>
  </si>
  <si>
    <t>Микроконтроллерный блок защиты присоединений МКЗП-М1.1</t>
  </si>
  <si>
    <t>14-12</t>
  </si>
  <si>
    <t>614</t>
  </si>
  <si>
    <t>2.4.2529</t>
  </si>
  <si>
    <t>инв.10104089</t>
  </si>
  <si>
    <t>договор безвозмездной передачи</t>
  </si>
  <si>
    <t>2.5.1371</t>
  </si>
  <si>
    <t>2.5.1372</t>
  </si>
  <si>
    <t>2.5.1373</t>
  </si>
  <si>
    <t>2.5.1374</t>
  </si>
  <si>
    <t>инв.1632018</t>
  </si>
  <si>
    <t>Зеркальный шар</t>
  </si>
  <si>
    <t>инв.1632019</t>
  </si>
  <si>
    <t>инв.1632020</t>
  </si>
  <si>
    <t>Ионизатор увлажнитель воздуха ультразвуковой "Мелодия"</t>
  </si>
  <si>
    <t>инв.1632021</t>
  </si>
  <si>
    <t>Стол "Ромашка - 6"</t>
  </si>
  <si>
    <t>Профессиональный источник света к зеркальному шару</t>
  </si>
  <si>
    <t>2.4.2530</t>
  </si>
  <si>
    <t>2.4.2531</t>
  </si>
  <si>
    <t>Антенна параболическая М5 400</t>
  </si>
  <si>
    <t>2016/12-09/NSK</t>
  </si>
  <si>
    <t>инв. Радиостанция Аргут16 каналов</t>
  </si>
  <si>
    <t>2.4.2532</t>
  </si>
  <si>
    <t>МФУ Brother DCP-7051</t>
  </si>
  <si>
    <t>инв.204</t>
  </si>
  <si>
    <t>3320172001</t>
  </si>
  <si>
    <t>2.4.2533</t>
  </si>
  <si>
    <t>Ноутбук Acer Aspire ES-531-CLK 15,6</t>
  </si>
  <si>
    <t>инв.1004205</t>
  </si>
  <si>
    <t>2.4.2534</t>
  </si>
  <si>
    <t xml:space="preserve">Агрегат СМ 100-65-200/4 с электродвигателем </t>
  </si>
  <si>
    <t>инв.19/39-001001. КНС-5</t>
  </si>
  <si>
    <t>1616</t>
  </si>
  <si>
    <t>ГАЗ-3221</t>
  </si>
  <si>
    <t>06.12.2016; 28.03.2016</t>
  </si>
  <si>
    <t>1287; 277</t>
  </si>
  <si>
    <t>инв.10106714. Салатовый цвет, фасад желтый, кромка желтая</t>
  </si>
  <si>
    <t>договор безвозмездного пользования имуществом</t>
  </si>
  <si>
    <t>17-03-01</t>
  </si>
  <si>
    <t>2.4.2535</t>
  </si>
  <si>
    <t>2.4.2536</t>
  </si>
  <si>
    <t>2.4.2537</t>
  </si>
  <si>
    <t>2.4.2538</t>
  </si>
  <si>
    <t>2.4.2539</t>
  </si>
  <si>
    <t>2.4.2540</t>
  </si>
  <si>
    <t>Установка ультрофиолетовая VAN Erp</t>
  </si>
  <si>
    <t>инв.785</t>
  </si>
  <si>
    <t>Волосоловка КАР Kriptol RKA 090.A</t>
  </si>
  <si>
    <t>инв.786</t>
  </si>
  <si>
    <t>Теплообменник 40 кВт</t>
  </si>
  <si>
    <t>инв.787</t>
  </si>
  <si>
    <t>Фильтровальная установка</t>
  </si>
  <si>
    <t>инв.782. д.900мм, верхнее присоединение</t>
  </si>
  <si>
    <t>16/ 6220171029</t>
  </si>
  <si>
    <t>306/ 6220171030</t>
  </si>
  <si>
    <t>Насос дозир.мембранный РКХ-МА/А 2-6 230V</t>
  </si>
  <si>
    <t>инв.783</t>
  </si>
  <si>
    <t>Термостат к теплообменнику 16А</t>
  </si>
  <si>
    <t>инв.788</t>
  </si>
  <si>
    <t>видеокамера, телефон D-Link, IP-телефон, коммутатор D-Link</t>
  </si>
  <si>
    <t>40260F № 60012856</t>
  </si>
  <si>
    <t>19.10.2016; 06.12.2016; 22.03.2017</t>
  </si>
  <si>
    <t>офисная  (цвет «бук бавария»)</t>
  </si>
  <si>
    <t>офисная  (цвет «бук бавария») со стеклом</t>
  </si>
  <si>
    <t xml:space="preserve">Цифровая фотокамера FujiFilm FinePix A800 </t>
  </si>
  <si>
    <t>Рабочая зона на 3-х человек</t>
  </si>
  <si>
    <t>Комитет  администрации г.Яровое по культуре, спорту и молодежной политике</t>
  </si>
  <si>
    <t xml:space="preserve">Комитет администрации г. Яровое по культуре, спорту и молодежной политике </t>
  </si>
  <si>
    <t>309</t>
  </si>
  <si>
    <t>2.5.1376</t>
  </si>
  <si>
    <t>2.5.1377</t>
  </si>
  <si>
    <t>2.5.1378</t>
  </si>
  <si>
    <t>Уголок для творчества</t>
  </si>
  <si>
    <t>инв.1632100. Размеры 560х1200, цвет- бежевый, кромка-лайм, оранжевый</t>
  </si>
  <si>
    <t xml:space="preserve">инв.1632101. Размеры 1700х1700, цвет- бежевый, кромка-лайм, оранжевый  </t>
  </si>
  <si>
    <t>Шкаф для настольных стол</t>
  </si>
  <si>
    <t>инв.1632102. Размеры 1632х450, цвет-бежевый, оранжевый, синий, лайм</t>
  </si>
  <si>
    <t>контракт на поставку модулей для сюжетно- ролевых игр</t>
  </si>
  <si>
    <t>2820170034</t>
  </si>
  <si>
    <t xml:space="preserve">Вазон "Короб В- 15" </t>
  </si>
  <si>
    <t>2.4.2542</t>
  </si>
  <si>
    <t>2.4.2543</t>
  </si>
  <si>
    <t>Видеокамера IP</t>
  </si>
  <si>
    <t>шар, цилиндрическая "день-ночь"</t>
  </si>
  <si>
    <t>2017/03-03</t>
  </si>
  <si>
    <t>2920170046</t>
  </si>
  <si>
    <t>инв.10104375.Зав. №  V 01693 17</t>
  </si>
  <si>
    <t>2.5.1380</t>
  </si>
  <si>
    <t>2.5.1381</t>
  </si>
  <si>
    <t>2.5.1382</t>
  </si>
  <si>
    <t>2.5.1383</t>
  </si>
  <si>
    <t>2.5.1384</t>
  </si>
  <si>
    <t>2.5.1385</t>
  </si>
  <si>
    <t>2.5.1386</t>
  </si>
  <si>
    <t>2.5.1387</t>
  </si>
  <si>
    <t>2.5.1388</t>
  </si>
  <si>
    <t>Горка с лестницей (малая)</t>
  </si>
  <si>
    <t>440</t>
  </si>
  <si>
    <t>Степпер с ручкой</t>
  </si>
  <si>
    <t>Бегущий по волнам</t>
  </si>
  <si>
    <t xml:space="preserve">Обруч пластмассовый </t>
  </si>
  <si>
    <t>500 мм</t>
  </si>
  <si>
    <t>Мяч гимнастический с рожками</t>
  </si>
  <si>
    <t>2.4.2544</t>
  </si>
  <si>
    <t xml:space="preserve">Моноблок PowerCoolP2158 </t>
  </si>
  <si>
    <t>В составе: моноблок PowerCoolP2158; пакет прикладных офисных программ MicrocoftOffice; клавиатура адаптированная беспроводная PretorianClevy; джойстик компьютерный беспроводной PretorianJoystickSimplyWorks; кнопка компьютерная беспроводная PretorianSimplyWorksSwitch 75; ресивер для беспроводной связи (USB) PretorianSimplyWorksReseive; инфракрасные наушники PhilipsSHC1300; комплект программного обеспечения "Логопед"</t>
  </si>
  <si>
    <t>распоряжение (край), акт приема-передачи (край)</t>
  </si>
  <si>
    <t>17.03.2017; 21.04.2017</t>
  </si>
  <si>
    <t>2.5.1389</t>
  </si>
  <si>
    <t>2.5.1390</t>
  </si>
  <si>
    <t>2.5.1391</t>
  </si>
  <si>
    <t>2.5.1392</t>
  </si>
  <si>
    <t>2.5.1393</t>
  </si>
  <si>
    <t>2.5.1394</t>
  </si>
  <si>
    <t>2.5.1395</t>
  </si>
  <si>
    <t>2.5.1396</t>
  </si>
  <si>
    <t>2.5.1397</t>
  </si>
  <si>
    <t>2.5.1398</t>
  </si>
  <si>
    <t>2.5.1399</t>
  </si>
  <si>
    <t>2.5.1400</t>
  </si>
  <si>
    <t xml:space="preserve">28.03.2017; </t>
  </si>
  <si>
    <t>Слухоречевой тренажер "Соло-01В" (М)</t>
  </si>
  <si>
    <t>Тактильная сенсорная доска</t>
  </si>
  <si>
    <t>Водопад</t>
  </si>
  <si>
    <t>Светодиодный экран</t>
  </si>
  <si>
    <t>Сухой дождь</t>
  </si>
  <si>
    <t>Мягкая форма</t>
  </si>
  <si>
    <t>Ионизатор воздуха</t>
  </si>
  <si>
    <t>Тактильная дорожка</t>
  </si>
  <si>
    <t>Сенсорная комната</t>
  </si>
  <si>
    <t>Логопедический программный комплекс для коррекции звукопроизно-шения "Специальные образо-вательные средства"</t>
  </si>
  <si>
    <t>Акустическая настенная тактильная панель</t>
  </si>
  <si>
    <t>2.5.1401</t>
  </si>
  <si>
    <t>2.5.1402</t>
  </si>
  <si>
    <t>2.5.1403</t>
  </si>
  <si>
    <t>2.5.1404</t>
  </si>
  <si>
    <t>2.5.1405</t>
  </si>
  <si>
    <t>2.5.1406</t>
  </si>
  <si>
    <t>2.5.1407</t>
  </si>
  <si>
    <t>2.5.1408</t>
  </si>
  <si>
    <t>2.5.1409</t>
  </si>
  <si>
    <t>2.5.1410</t>
  </si>
  <si>
    <t>Набор педагога-психолога</t>
  </si>
  <si>
    <t xml:space="preserve">В комплекте: развивающая игра "Баррикадо"; развивающая игра "Книга-лабиринт"; развивающая игра "Лабиринт-2"; тактильная игра "Рисуем на песке"; мозаика "Счет, цвет, форма"; прозрачный мольберт; сенсор-ная тропа для ног (подушечек 7 шт.) </t>
  </si>
  <si>
    <t>Комплект физкультурного оборудования для проведения ЛФК</t>
  </si>
  <si>
    <t>Мяч прыгающий "Фитобол"</t>
  </si>
  <si>
    <t>Набор массажных мячиков</t>
  </si>
  <si>
    <t>Комплект "следочков" ладоней и ступней</t>
  </si>
  <si>
    <t>Дорожка из упругих объемных элементов с наклонными поверхностями</t>
  </si>
  <si>
    <t>Тактильная змейка с песком</t>
  </si>
  <si>
    <t>Ортопедическая дорожка</t>
  </si>
  <si>
    <t>2.5.1411</t>
  </si>
  <si>
    <t>2.5.1412</t>
  </si>
  <si>
    <t>2.5.1413</t>
  </si>
  <si>
    <t>2.5.1414</t>
  </si>
  <si>
    <t>2.5.1415</t>
  </si>
  <si>
    <t>2.5.1416</t>
  </si>
  <si>
    <t>2.5.1417</t>
  </si>
  <si>
    <t>2.5.1418</t>
  </si>
  <si>
    <t>2.5.1419</t>
  </si>
  <si>
    <t>2.5.1420</t>
  </si>
  <si>
    <t>Комплект оборудования для проведения разви-вающих занятий</t>
  </si>
  <si>
    <t>Обучающие блоки Дьениша</t>
  </si>
  <si>
    <t>Комплект счетного материала на магнитах</t>
  </si>
  <si>
    <t>Сенсорные наборы Монтессори и Фребеля</t>
  </si>
  <si>
    <t>Доска с прорезями для перемешивания "Цифры", "Животные"</t>
  </si>
  <si>
    <t>Модульная основа для сюжетно-ролевых игр (Игровой набор Кухня Infinitybasic №5 (Полесье)</t>
  </si>
  <si>
    <t>Набор шумовых музыкальных инструментов</t>
  </si>
  <si>
    <t>Тактильный набор "Шершавый счетный материал (точки)"</t>
  </si>
  <si>
    <t>Тактильный набор "Геометрические формы"</t>
  </si>
  <si>
    <t>Развивающий центр с тактильными переключателями</t>
  </si>
  <si>
    <t>Тактильный набор "Шершавые цифры"</t>
  </si>
  <si>
    <t>Тренажер для глаз "Яблонька"</t>
  </si>
  <si>
    <t>2.5.1421</t>
  </si>
  <si>
    <t>2.5.1422</t>
  </si>
  <si>
    <t>2.5.1423</t>
  </si>
  <si>
    <t>2.5.1424</t>
  </si>
  <si>
    <t>2.5.1425</t>
  </si>
  <si>
    <t>2.5.1426</t>
  </si>
  <si>
    <t>2.5.1427</t>
  </si>
  <si>
    <t>2.5.1428</t>
  </si>
  <si>
    <t>2.5.1429</t>
  </si>
  <si>
    <t>2.5.1430</t>
  </si>
  <si>
    <t>2.5.1431</t>
  </si>
  <si>
    <t>Тренажер "Перемести звезду"</t>
  </si>
  <si>
    <t>Тренажер для глаз "Хитрая рыбка"</t>
  </si>
  <si>
    <t>Сухой бассейн с шарами</t>
  </si>
  <si>
    <t>Набор балансиров</t>
  </si>
  <si>
    <t>Деревянная панель-лабиринт "Рисуем ногами" 1 (настенная игра-тренажер)</t>
  </si>
  <si>
    <t>Говорящий сортер "Квадрат"</t>
  </si>
  <si>
    <t>Набор матрешек (3-х и 5-ти кукольные)</t>
  </si>
  <si>
    <t>Тактильная "Божья коровка"</t>
  </si>
  <si>
    <t>Вкладыши "Мои маленькие друзья"</t>
  </si>
  <si>
    <t>Качели-скорлупа</t>
  </si>
  <si>
    <t>Шнуровка различного уровня сложности ("Корзиночка", "Сапожок", "Дерево")</t>
  </si>
  <si>
    <t>Картотека пальчиковых игр и гимнастики</t>
  </si>
  <si>
    <t>Кабинет логопеда</t>
  </si>
  <si>
    <t>Набор для проведения речевого обследования "Методика Е.А.Стребеле-вой"</t>
  </si>
  <si>
    <t>Мягкий игровой набор</t>
  </si>
  <si>
    <t>2.2.0150</t>
  </si>
  <si>
    <t>409110*Н3004090</t>
  </si>
  <si>
    <t>374100Н0404840</t>
  </si>
  <si>
    <t>ХТТ390995Н121508</t>
  </si>
  <si>
    <t>Автомобиль, гос.номер Н113ХА</t>
  </si>
  <si>
    <t>2.4.2545</t>
  </si>
  <si>
    <t>рычажная г/п 2т высота 3м, цепная HSZ-J г/п 1т(6м)</t>
  </si>
  <si>
    <t>14/12</t>
  </si>
  <si>
    <t>0517600008517000007-0849480-01</t>
  </si>
  <si>
    <t>МУП "ЯТЭК"/ ООО "Заринская сетевая компания"</t>
  </si>
  <si>
    <t>хозяйственное ведение/ аренда</t>
  </si>
  <si>
    <t>16.03.2015; 02.05.2017</t>
  </si>
  <si>
    <t>260; 37-юр</t>
  </si>
  <si>
    <t>Трансформатор ТМФ400-6/0,4  ТП 262/1 (47034707)</t>
  </si>
  <si>
    <t>постановление; договор аренды</t>
  </si>
  <si>
    <t xml:space="preserve">260; </t>
  </si>
  <si>
    <t>Системный телефон Maxicom SNA20W</t>
  </si>
  <si>
    <t xml:space="preserve">хозяйственное ведение/ аренда </t>
  </si>
  <si>
    <t>19.06.2012; 02.05.2017</t>
  </si>
  <si>
    <t>591; 37-юр</t>
  </si>
  <si>
    <t>инв.13601354</t>
  </si>
  <si>
    <t>Пункт распределительный ПР-24</t>
  </si>
  <si>
    <t>15.03.2016; 02.05.2017</t>
  </si>
  <si>
    <t>243; 37-юр</t>
  </si>
  <si>
    <t>2.4.2546</t>
  </si>
  <si>
    <t>договор на выполнение монтажных и пуско-наладочных работ по установке охранной сигнализации</t>
  </si>
  <si>
    <t>1/3120171014</t>
  </si>
  <si>
    <t>Приемно-контрольный охранно-пожарный прибор "Гранит-12"</t>
  </si>
  <si>
    <t>06.06.2017</t>
  </si>
  <si>
    <t>530</t>
  </si>
  <si>
    <t>2.2.0108</t>
  </si>
  <si>
    <t>2.5.1433</t>
  </si>
  <si>
    <t xml:space="preserve">Жалюзи вертикальные </t>
  </si>
  <si>
    <t>инв.10136308. Цвет салатовый</t>
  </si>
  <si>
    <t xml:space="preserve">муниципальный контракт </t>
  </si>
  <si>
    <t>ЕП4-0120170072</t>
  </si>
  <si>
    <t>2.5.1434</t>
  </si>
  <si>
    <t>Мяч волейбольный</t>
  </si>
  <si>
    <t>6220170005</t>
  </si>
  <si>
    <t xml:space="preserve"> инв.789. Micasa VXT 30 (пляжный)</t>
  </si>
  <si>
    <t>2.5.1436</t>
  </si>
  <si>
    <t>2.5.1437</t>
  </si>
  <si>
    <t>Кондиционер Neocclima NS/NU-HAL-09R</t>
  </si>
  <si>
    <t>ЕП4-0120170081</t>
  </si>
  <si>
    <t>инв.10136310</t>
  </si>
  <si>
    <t>Кондиционер Neocclima NS/NU-HAL-12R</t>
  </si>
  <si>
    <t>инв.10136311</t>
  </si>
  <si>
    <t>2.4.2547</t>
  </si>
  <si>
    <t>2.4.2548</t>
  </si>
  <si>
    <t>инв.847</t>
  </si>
  <si>
    <t>6220171051</t>
  </si>
  <si>
    <t>Фискальный накопитель "ФН-1" в составе с ККТ "он-лайн"</t>
  </si>
  <si>
    <t>инв.848</t>
  </si>
  <si>
    <t>ККМ "ЭКР"-2102К-Ф (без фискального накопителя ФН-1)</t>
  </si>
  <si>
    <t>2.5.1438</t>
  </si>
  <si>
    <t>инв.3120195-3120197</t>
  </si>
  <si>
    <t>65/312071016</t>
  </si>
  <si>
    <t>Набор перкуссии шумовой оркестр</t>
  </si>
  <si>
    <t>2.5.1439</t>
  </si>
  <si>
    <t>инв.1631990</t>
  </si>
  <si>
    <t xml:space="preserve">инв. 89422450 (оценка 2013). В комплекте (монитор 22 "ACER" - 1 шт., видеокамера AVC211г/б- 8 шт., видеорегистратор PVDR-0866). ул.Северная,2 водозабор </t>
  </si>
  <si>
    <t>2.4.2549</t>
  </si>
  <si>
    <t>2.4.2550</t>
  </si>
  <si>
    <t>Шлифмашина угловая УШМ-230</t>
  </si>
  <si>
    <t>Мотокоса Т333/09-1,23</t>
  </si>
  <si>
    <t>28/16</t>
  </si>
  <si>
    <t>18.04.2017; 06.07.2017</t>
  </si>
  <si>
    <t>10.05.2017; 28.07.2017</t>
  </si>
  <si>
    <t>416; 697</t>
  </si>
  <si>
    <t>2.4.2551</t>
  </si>
  <si>
    <t>Плеер DVD/MP3/MP4 LG D547H</t>
  </si>
  <si>
    <t>инв.3120215</t>
  </si>
  <si>
    <t>А-00134504/3120172068</t>
  </si>
  <si>
    <t>2.4.2552</t>
  </si>
  <si>
    <t>Монитор HP 23,8"</t>
  </si>
  <si>
    <t>инв.3120216. Цвет черный, 1920*1080</t>
  </si>
  <si>
    <t>2.5.1441</t>
  </si>
  <si>
    <t>Стол рабочий</t>
  </si>
  <si>
    <t>6120171009</t>
  </si>
  <si>
    <t>2.4.2553</t>
  </si>
  <si>
    <t>Расходомер ПРЭМ-32-ГС-LO-O-O-D (сэндвич)</t>
  </si>
  <si>
    <t>2.5.1442</t>
  </si>
  <si>
    <t>Мяч волейбольный Mikasa MVA</t>
  </si>
  <si>
    <t>6220160011</t>
  </si>
  <si>
    <t>2.5.1443</t>
  </si>
  <si>
    <t>Клюшка Bauer</t>
  </si>
  <si>
    <t>2.4.2554</t>
  </si>
  <si>
    <t>2.4.2555</t>
  </si>
  <si>
    <t>2.4.2556</t>
  </si>
  <si>
    <t>2.4.2557</t>
  </si>
  <si>
    <t>2.4.2558</t>
  </si>
  <si>
    <t>2.4.2559</t>
  </si>
  <si>
    <t>Турник брусья скамья для пресса</t>
  </si>
  <si>
    <t>инв.3061105</t>
  </si>
  <si>
    <t>6120170013</t>
  </si>
  <si>
    <t>Тренажер жим ногами</t>
  </si>
  <si>
    <t>инв.3061106</t>
  </si>
  <si>
    <t>инв.3061107</t>
  </si>
  <si>
    <t>Тренажер шаговый</t>
  </si>
  <si>
    <t>Тренажер жим от груди</t>
  </si>
  <si>
    <t>инв.3061109</t>
  </si>
  <si>
    <t>6120171033/1</t>
  </si>
  <si>
    <t>Тренажер жим верхний</t>
  </si>
  <si>
    <t>инв.13601479. Чугун</t>
  </si>
  <si>
    <t>контракт на закупку насосов</t>
  </si>
  <si>
    <t>051760000851700001708494800</t>
  </si>
  <si>
    <t>2.4.2560</t>
  </si>
  <si>
    <t>2.4.2561</t>
  </si>
  <si>
    <t>Насос СМ 200-150-400-4 без двигателя</t>
  </si>
  <si>
    <t>Насос СМ 150-125-315-4 без двигателя</t>
  </si>
  <si>
    <t>инв.13601482. Чугун</t>
  </si>
  <si>
    <t>инв.13601480-81. Чугун</t>
  </si>
  <si>
    <t>2.5.1444</t>
  </si>
  <si>
    <t>2.5.1445</t>
  </si>
  <si>
    <t>2.5.1446</t>
  </si>
  <si>
    <t>Стол книжка</t>
  </si>
  <si>
    <t>инв.10106376</t>
  </si>
  <si>
    <t>Стол с 4-мя встроенными ящиками</t>
  </si>
  <si>
    <t>инв.10106377</t>
  </si>
  <si>
    <t>П0000000228</t>
  </si>
  <si>
    <t>Шкаф-стеллаж под стеклом</t>
  </si>
  <si>
    <t>инв.10106378-10106380</t>
  </si>
  <si>
    <t>2.5.1447</t>
  </si>
  <si>
    <t>инв.3061111</t>
  </si>
  <si>
    <t>6120171035</t>
  </si>
  <si>
    <t>2.5.1448</t>
  </si>
  <si>
    <t>2.4.2562</t>
  </si>
  <si>
    <t>Вентилятор ВКР-5</t>
  </si>
  <si>
    <t>1407</t>
  </si>
  <si>
    <t>инв.3120217 (220*255мм),218, 219,220  (190*235мм магнолия),221,222 (215*225мм магнолия), 223,224 (215*225 небес.), 225 (190*235мм небес.)</t>
  </si>
  <si>
    <t>2.5.1449</t>
  </si>
  <si>
    <t>2.5.1450</t>
  </si>
  <si>
    <t>Диван-кровать с механизмом</t>
  </si>
  <si>
    <t>Мебель офисная</t>
  </si>
  <si>
    <t>3120172072</t>
  </si>
  <si>
    <t>инв. Цвет- черно-белый (для одежды с 2мя дверцами, полки для бумаг)</t>
  </si>
  <si>
    <t>2.4.2563</t>
  </si>
  <si>
    <t>УКВ радиостанция в комплекте</t>
  </si>
  <si>
    <t xml:space="preserve">28.02.2017; 01.02.2017 </t>
  </si>
  <si>
    <t>254; 0000074</t>
  </si>
  <si>
    <t>В комплекте: антенна OPEK VH-2201-1 шт.; аккумуляторная батарея SECURITY FORCE -1 шт.; радиостанция ALINCO -1 шт.; блок бесперебойного питания "Волна-ББП 3/20" - 1 шт.</t>
  </si>
  <si>
    <t>2.4.2564</t>
  </si>
  <si>
    <t xml:space="preserve">Насос АХ 3/15-Е-СД </t>
  </si>
  <si>
    <t>инв.13601483. Двигатель АИМУ80А2У1 IM1081 1,5/3000 380В. Зав.номер насоса № 124, зав.номер двигателя № 41232.</t>
  </si>
  <si>
    <t>19</t>
  </si>
  <si>
    <t>2.5.1451</t>
  </si>
  <si>
    <t>инв.101061038</t>
  </si>
  <si>
    <t>Мини АТС</t>
  </si>
  <si>
    <t>инв.10104139-10104140</t>
  </si>
  <si>
    <t>2.4.2565</t>
  </si>
  <si>
    <t>2.4.2566</t>
  </si>
  <si>
    <t>инв.10104138. В комплекте: OFU 48/80 комплект связи с PC через USB (АТС), В80 Базовый блок АТС MP80 на 10 универсальных платомест, Модуль 2СЛ+6АЛ MP 48/80 19, Модуль 4СТА MP48/80 19, Модуль 8 АЛ MP48/80 19</t>
  </si>
  <si>
    <t>29.05.2017; 18.09.2017</t>
  </si>
  <si>
    <t>499; 828</t>
  </si>
  <si>
    <t>556; 1012</t>
  </si>
  <si>
    <t>распоряжение (край</t>
  </si>
  <si>
    <t>Теплосчетчик СПТ-941-2К</t>
  </si>
  <si>
    <t>1203</t>
  </si>
  <si>
    <t>2.5.1453</t>
  </si>
  <si>
    <t>Доска для мела</t>
  </si>
  <si>
    <t>инв.10106381. Магнитная, 100*150 см, зеленая</t>
  </si>
  <si>
    <t>2.4.2568</t>
  </si>
  <si>
    <t>Щит управления системой фильтрации</t>
  </si>
  <si>
    <t>инв.851</t>
  </si>
  <si>
    <t>64/6220171067</t>
  </si>
  <si>
    <t>2.4.2569</t>
  </si>
  <si>
    <t xml:space="preserve">Аккумуляторная дрель ДА 12Л-2к </t>
  </si>
  <si>
    <t>инв.    Вихрь.</t>
  </si>
  <si>
    <t>6120171049</t>
  </si>
  <si>
    <t>2.5.1454</t>
  </si>
  <si>
    <t>Мебель "Детская кухня"</t>
  </si>
  <si>
    <t>инв.1632037</t>
  </si>
  <si>
    <t>Мозаичное панно "Полдень"</t>
  </si>
  <si>
    <t>2.4.2570</t>
  </si>
  <si>
    <t>2.4.2571</t>
  </si>
  <si>
    <t>Проектор AcerX115</t>
  </si>
  <si>
    <t>А-00226456/2420170117</t>
  </si>
  <si>
    <t>Ноутбук Asus</t>
  </si>
  <si>
    <t xml:space="preserve">инв.10104364. </t>
  </si>
  <si>
    <t>инв.10104363</t>
  </si>
  <si>
    <t>2.5.1456</t>
  </si>
  <si>
    <t>2.5.1457</t>
  </si>
  <si>
    <t>2.5.1458</t>
  </si>
  <si>
    <t>3120171022</t>
  </si>
  <si>
    <t>Смычок для скрипки HANS KLEIN HKVB-10</t>
  </si>
  <si>
    <t>Скрипка студенческая в футляре со смычком Hora SKR 100-1/4</t>
  </si>
  <si>
    <t>инв.3120251</t>
  </si>
  <si>
    <t>2.5.1459</t>
  </si>
  <si>
    <t>2.5.1460</t>
  </si>
  <si>
    <t>Скрипка студенческая в футляре со смычком Hora SKR 100-1/8</t>
  </si>
  <si>
    <t>инв.3120252</t>
  </si>
  <si>
    <t>Скрипка студенческая в футляре со смычком и канифолью Strunal B16-2/2</t>
  </si>
  <si>
    <t>инв.3120253</t>
  </si>
  <si>
    <t>2.5.1461</t>
  </si>
  <si>
    <t>2.5.1462</t>
  </si>
  <si>
    <t>2.5.1463</t>
  </si>
  <si>
    <t>Классическая гитара FranciscoEsteve IGR07</t>
  </si>
  <si>
    <t>инв.3120226</t>
  </si>
  <si>
    <t>инв.3120227</t>
  </si>
  <si>
    <t>Кейс для классической гитары Godin</t>
  </si>
  <si>
    <t>Жесткий нейлоновый чехол для аккустической гитары OnStrage</t>
  </si>
  <si>
    <t>инв.3120228-3120229</t>
  </si>
  <si>
    <t>инв.3120230</t>
  </si>
  <si>
    <t>2.5.1464</t>
  </si>
  <si>
    <t>2.5.1465</t>
  </si>
  <si>
    <t>2.5.1466</t>
  </si>
  <si>
    <t>2.5.1467</t>
  </si>
  <si>
    <t>2.5.1468</t>
  </si>
  <si>
    <t>2.5.1469</t>
  </si>
  <si>
    <t>Радиосистема ручная 8 каналов AUDIO-TEXNICA ATW</t>
  </si>
  <si>
    <t>инв.3120231</t>
  </si>
  <si>
    <t>Акустическая система пассивная ROAD READY HS15</t>
  </si>
  <si>
    <t>инв.3120232 -33</t>
  </si>
  <si>
    <t>Классическая гитара Sigma CO-6M</t>
  </si>
  <si>
    <t>Акустическая гитара Yamaha FG280 BROWN AUNBURST</t>
  </si>
  <si>
    <t>Метроном механический</t>
  </si>
  <si>
    <t>инв.3120234</t>
  </si>
  <si>
    <t>инв.3120235-37. CHRUB WSM-330 TR; MAELZEL System в пластиковом корпусе; TAKTELL Wittner890161</t>
  </si>
  <si>
    <t>Балалайка прима 3-струнная ВРМ Doff</t>
  </si>
  <si>
    <t>инв.3120238</t>
  </si>
  <si>
    <t>Домра малая 3-струнная  Doff DRM</t>
  </si>
  <si>
    <t>инв.3120254</t>
  </si>
  <si>
    <t>инв.3612181. Размер: 1000х750 мм. Вес ~ 84 кг. Из натуральных камнейАлтая: ревневской яшмы, белорецкого кварцита, коргонского порфира</t>
  </si>
  <si>
    <t>2.4.2572</t>
  </si>
  <si>
    <t>Клапан КСТ-80/52.Б с блоком управления ТРМ32-Щ4.01</t>
  </si>
  <si>
    <t>инв.13601484</t>
  </si>
  <si>
    <t>30/08/2017</t>
  </si>
  <si>
    <t>2.4.2573</t>
  </si>
  <si>
    <t>Детектор определения подлинности валют и рублей</t>
  </si>
  <si>
    <t>2.4.2574</t>
  </si>
  <si>
    <t>Прибор приемно-контрольный "КВАРЦ"</t>
  </si>
  <si>
    <t>инв.3120271</t>
  </si>
  <si>
    <t>договор купли-продажи оборудования</t>
  </si>
  <si>
    <t>007/2017/3120172109</t>
  </si>
  <si>
    <t>инв.010104015-16, 010104018</t>
  </si>
  <si>
    <t>2.5.1470</t>
  </si>
  <si>
    <t>2.5.1471</t>
  </si>
  <si>
    <t>ЕП4-0120170152</t>
  </si>
  <si>
    <t>инв.10136314. Цвет "орех", с двумя полками</t>
  </si>
  <si>
    <t>инв.10136312, 10136313. Цвет бежевый.</t>
  </si>
  <si>
    <t>ЕП4-0120170148</t>
  </si>
  <si>
    <t>2.4.2575</t>
  </si>
  <si>
    <t>Тахограф  "Штрих-Тахо RUS"</t>
  </si>
  <si>
    <t>инв.10104377. Исп.15 SM</t>
  </si>
  <si>
    <t>0220170114</t>
  </si>
  <si>
    <t>2.5.1474</t>
  </si>
  <si>
    <t>Световозвращающая нарукавная повязка</t>
  </si>
  <si>
    <t>K4MF496 PO74655</t>
  </si>
  <si>
    <t>Z8NAJL10057644410</t>
  </si>
  <si>
    <t>1705</t>
  </si>
  <si>
    <t>МБУК "Музей истории" г.Яровое</t>
  </si>
  <si>
    <t>2.5.1475</t>
  </si>
  <si>
    <t>Радиомикрофон Skytec</t>
  </si>
  <si>
    <t>инв.3612182</t>
  </si>
  <si>
    <t>3320172104</t>
  </si>
  <si>
    <t>2.2.0153</t>
  </si>
  <si>
    <t>У 0704106</t>
  </si>
  <si>
    <t>договор купли-продажи автомобиля</t>
  </si>
  <si>
    <t>2.4.2576</t>
  </si>
  <si>
    <t>2.4.2577</t>
  </si>
  <si>
    <t>2.4.2578</t>
  </si>
  <si>
    <t>2.4.2579</t>
  </si>
  <si>
    <t>МФУ (принтер/сканер/копир)</t>
  </si>
  <si>
    <t>инв.209. Pantium M6500</t>
  </si>
  <si>
    <t>3520171013</t>
  </si>
  <si>
    <t>Проектор ViewSonic</t>
  </si>
  <si>
    <t>инв.210.</t>
  </si>
  <si>
    <t>инв.211. с возможностью настенного крепления</t>
  </si>
  <si>
    <t>Экран Lumien Eco  на штативе</t>
  </si>
  <si>
    <t xml:space="preserve">Ноутбук Asus </t>
  </si>
  <si>
    <t>инв.212</t>
  </si>
  <si>
    <t>05.10.2017; 14.11.2017</t>
  </si>
  <si>
    <t>2017/10-05; 2017/11-14</t>
  </si>
  <si>
    <t>2.4.2580</t>
  </si>
  <si>
    <t>Система видеонаблюдения территории футбольного поля</t>
  </si>
  <si>
    <t>инв.3061117. В составе: регистратор компактный 4-х канальны- 1 шт.; видеокамера TC22W NOVICAM- 2 шт.; жесткий диск - 2 шт.</t>
  </si>
  <si>
    <t>20.11.20.17</t>
  </si>
  <si>
    <t>договор купли-продажи оборудования; договор монтажа видеонаблюдения</t>
  </si>
  <si>
    <t>6120170019/1; 6120170018/1</t>
  </si>
  <si>
    <t>2.5.1476</t>
  </si>
  <si>
    <t>2.5.1477</t>
  </si>
  <si>
    <t>2.5.1478</t>
  </si>
  <si>
    <t>2.5.1479</t>
  </si>
  <si>
    <t>Шкаф</t>
  </si>
  <si>
    <t>инв.2061068. 1860*960*450</t>
  </si>
  <si>
    <t>3220171012</t>
  </si>
  <si>
    <t xml:space="preserve">инв.2061069. </t>
  </si>
  <si>
    <t>инв.2061070-2061072</t>
  </si>
  <si>
    <t>Стеллаж потолочный</t>
  </si>
  <si>
    <t>инв.2061073-2061079</t>
  </si>
  <si>
    <t>2.4.2581</t>
  </si>
  <si>
    <t>2.4.2582</t>
  </si>
  <si>
    <t>инв.3612183</t>
  </si>
  <si>
    <t>3320171030</t>
  </si>
  <si>
    <t>Ноутбук Samsung NP305V</t>
  </si>
  <si>
    <t>инв.36132184</t>
  </si>
  <si>
    <t>2.4.2583</t>
  </si>
  <si>
    <t>2.4.2584</t>
  </si>
  <si>
    <t>МФУ (принтер/сканер/копир) HP LaserJet Pro</t>
  </si>
  <si>
    <t>инв.3612185</t>
  </si>
  <si>
    <t>инв.3612186</t>
  </si>
  <si>
    <t>Принтер Epson L132</t>
  </si>
  <si>
    <t>А-00264602/3320171029</t>
  </si>
  <si>
    <t>2.4.2585</t>
  </si>
  <si>
    <t>2.4.2586</t>
  </si>
  <si>
    <t>Проектор Aser X115 DLP</t>
  </si>
  <si>
    <t>инв.101041022</t>
  </si>
  <si>
    <t>инв.101041023- 24. С треногой</t>
  </si>
  <si>
    <t>3523/ 2520170157</t>
  </si>
  <si>
    <t>2.5.1480</t>
  </si>
  <si>
    <t>инв.10136314-15</t>
  </si>
  <si>
    <t>ЕП4-0120170162</t>
  </si>
  <si>
    <t>2.5.1481</t>
  </si>
  <si>
    <t xml:space="preserve">Стенка мебельная </t>
  </si>
  <si>
    <t>инв.101061015</t>
  </si>
  <si>
    <t>1069</t>
  </si>
  <si>
    <t>14.11.2017; 11.12.2017</t>
  </si>
  <si>
    <t>1003; 1077</t>
  </si>
  <si>
    <t>2.4.2587</t>
  </si>
  <si>
    <t>Машина протирочная резальная</t>
  </si>
  <si>
    <t>инв.10104378. Размеры: 600*340*650</t>
  </si>
  <si>
    <t xml:space="preserve">МБОУ СОШ №14 </t>
  </si>
  <si>
    <t>1121</t>
  </si>
  <si>
    <t>2.2.0001</t>
  </si>
  <si>
    <t>2.4.2588</t>
  </si>
  <si>
    <t>2.4.2589</t>
  </si>
  <si>
    <t>инв.3612189</t>
  </si>
  <si>
    <t>3320172122</t>
  </si>
  <si>
    <t>Системный блок Prestige</t>
  </si>
  <si>
    <t>инв.3612190</t>
  </si>
  <si>
    <t>Монитор Samsung Sync Master 943 N</t>
  </si>
  <si>
    <t>2.4.2590</t>
  </si>
  <si>
    <t>Мясорубка ТМ-32М</t>
  </si>
  <si>
    <t>инв.10104723. Из н/ж стали, габариты 560*460*430.</t>
  </si>
  <si>
    <t>54</t>
  </si>
  <si>
    <t>2.4.2591</t>
  </si>
  <si>
    <t xml:space="preserve">Система видеонаблюдения </t>
  </si>
  <si>
    <t>инв.10104075.  В комплекте: видеокамера цв.ул. Novicam FC13W день/ночь - 3 шт., видеорегистратор 8-ми кан.HiWatch- 1 шт., маршрутизатор ZyXEL-1 шт., накопитель HDD SATA-III - 1 шт., прибор приемно-контрольный " Гранит" - 1 шт., шкаф монтажный ЩМП-2-0 - 1 шт.</t>
  </si>
  <si>
    <t xml:space="preserve">МБДОУ ЦРР - д/с № 32 </t>
  </si>
  <si>
    <t>договор на поставку и монтаж оборудования</t>
  </si>
  <si>
    <t>107/2720170128</t>
  </si>
  <si>
    <t>2.5.1482</t>
  </si>
  <si>
    <t>2.5.1483</t>
  </si>
  <si>
    <t>Конструктор детский по методике Поликарпова</t>
  </si>
  <si>
    <t>Конструктор детский Строитель</t>
  </si>
  <si>
    <t>инв.10106678-10106681</t>
  </si>
  <si>
    <t>инв.10106687-10106690</t>
  </si>
  <si>
    <t>1711/КЗ-25</t>
  </si>
  <si>
    <t>2.4.2592</t>
  </si>
  <si>
    <t xml:space="preserve">Ноутбук ASUS  </t>
  </si>
  <si>
    <t>инв.10104376. Pentium N4200</t>
  </si>
  <si>
    <t>А-00283838</t>
  </si>
  <si>
    <t>2.5.1484</t>
  </si>
  <si>
    <t>Минисистема LG OM7560</t>
  </si>
  <si>
    <t>инв.10104377. DVD, USB, Bluetooth</t>
  </si>
  <si>
    <t>2.4.2593</t>
  </si>
  <si>
    <t>2.4.2594</t>
  </si>
  <si>
    <t>2.4.2595</t>
  </si>
  <si>
    <t>2.4.2596</t>
  </si>
  <si>
    <t>Персональный компьютер ИС Стандарт</t>
  </si>
  <si>
    <t>ЕП4-0120170166</t>
  </si>
  <si>
    <t>инв.10134140. AMD, монитор Philips 21,5"</t>
  </si>
  <si>
    <t xml:space="preserve"> Монитор Philips 21,5"</t>
  </si>
  <si>
    <t>инв.10134143, 10104146</t>
  </si>
  <si>
    <t>МФУ лазерный H PLaserJet Pro</t>
  </si>
  <si>
    <t>инв.10134141, 10134144</t>
  </si>
  <si>
    <t>1172</t>
  </si>
  <si>
    <t>2.2.0154</t>
  </si>
  <si>
    <t>2.2.0155</t>
  </si>
  <si>
    <t>решение Яровского районного суда АК</t>
  </si>
  <si>
    <t>дело № 2-150/2017</t>
  </si>
  <si>
    <t xml:space="preserve">МБДОУ ЦРР - д/с № 31 </t>
  </si>
  <si>
    <t>2.5.1485</t>
  </si>
  <si>
    <t>Кресло для персонала "NET"</t>
  </si>
  <si>
    <t>инв.10136119-10136122</t>
  </si>
  <si>
    <t>ЕП-0120170178</t>
  </si>
  <si>
    <t>Покрытие многофункциональное синтетическое для баскетбола, волейбола, гандбола</t>
  </si>
  <si>
    <t>S=590,9 м2</t>
  </si>
  <si>
    <t>13.10.2017; 22.12.2017</t>
  </si>
  <si>
    <t>1520; б/н</t>
  </si>
  <si>
    <t>инв.01380792. Устройство для усиления  воспроизведения муз.частот</t>
  </si>
  <si>
    <t xml:space="preserve">МБДОУ - д/с № 29 </t>
  </si>
  <si>
    <t xml:space="preserve">МБДОУ ЦРР - д/с № 28 </t>
  </si>
  <si>
    <t>МБДОУ ЦРР - д/с № 31</t>
  </si>
  <si>
    <t>МБДОУ ЦРР - д/с № 32</t>
  </si>
  <si>
    <t xml:space="preserve">МБОУ СОШ №12 </t>
  </si>
  <si>
    <t xml:space="preserve">МБОУ СОШ №19 </t>
  </si>
  <si>
    <t>Администрация города Яровое</t>
  </si>
  <si>
    <t>2.4.2567</t>
  </si>
  <si>
    <t>2.4.2597</t>
  </si>
  <si>
    <t>Система видеонаблюдения</t>
  </si>
  <si>
    <t xml:space="preserve">инв.3061119. В комплекте: регистратор компактный 8-канал.- 1 шт.; видеокамера TC22W NOVIKAM PRO-2.1- 2 шт.; коробка распред.- 2 шт.; жесткий диск- 1 шт. </t>
  </si>
  <si>
    <t>14-2017/0120170028</t>
  </si>
  <si>
    <t>2.4.2598</t>
  </si>
  <si>
    <t>инв.3061120. Прибор адресный охранно-пожарный ВС-ПК "Лавина"- 1 шт.; оповещатель световой со звуковым сигнализатором - 1шт.</t>
  </si>
  <si>
    <t>13/2017/6120170027</t>
  </si>
  <si>
    <t>2.5.1487</t>
  </si>
  <si>
    <t>инв.854</t>
  </si>
  <si>
    <t>6220170027</t>
  </si>
  <si>
    <t>2.5.1488</t>
  </si>
  <si>
    <t>2.5.1489</t>
  </si>
  <si>
    <t>2.5.1490</t>
  </si>
  <si>
    <t xml:space="preserve">Доска магнитно-маркерная </t>
  </si>
  <si>
    <t>3120171024</t>
  </si>
  <si>
    <t>инв.3120256-3120259. 90*120</t>
  </si>
  <si>
    <t>Мольберт хлопушка односторонний</t>
  </si>
  <si>
    <t>инв.3120261-3120270. 60*70</t>
  </si>
  <si>
    <t>Разлинованная доска  ДН-12</t>
  </si>
  <si>
    <t>инв.3120260</t>
  </si>
  <si>
    <t>2.5.1491</t>
  </si>
  <si>
    <t>Чучело птиц</t>
  </si>
  <si>
    <t>инв.3120292-3120294. Вороны серой, петуха, кряквы (селезень)</t>
  </si>
  <si>
    <t>137/3120171029</t>
  </si>
  <si>
    <t>2.4.2599</t>
  </si>
  <si>
    <t>инв.00-000110</t>
  </si>
  <si>
    <t>1217007П</t>
  </si>
  <si>
    <t>Z6FXXXESGXHA 67147</t>
  </si>
  <si>
    <t xml:space="preserve">распоряжение (край) </t>
  </si>
  <si>
    <t>1919</t>
  </si>
  <si>
    <t>Платформа для отжимания от пола</t>
  </si>
  <si>
    <t>акт о приеме-передаче (край)</t>
  </si>
  <si>
    <t>Мешок боксерский Sprinter</t>
  </si>
  <si>
    <t>Клюшка хоккейная</t>
  </si>
  <si>
    <t>2.5.1494</t>
  </si>
  <si>
    <t>2.5.1495</t>
  </si>
  <si>
    <t>2.5.1496</t>
  </si>
  <si>
    <t>2.5.1497</t>
  </si>
  <si>
    <t>2.5.1498</t>
  </si>
  <si>
    <t>2.5.1499</t>
  </si>
  <si>
    <t>2.5.1500</t>
  </si>
  <si>
    <t>2.5.1501</t>
  </si>
  <si>
    <t>Паяльник для пластиковых труб</t>
  </si>
  <si>
    <t>инв.858</t>
  </si>
  <si>
    <t>инв.859</t>
  </si>
  <si>
    <t>инв.860</t>
  </si>
  <si>
    <t>инв.861</t>
  </si>
  <si>
    <t>инв.862</t>
  </si>
  <si>
    <t>инв.863</t>
  </si>
  <si>
    <t>инв.864</t>
  </si>
  <si>
    <t>договор купли-продажи; закупочный акт</t>
  </si>
  <si>
    <t>6220181016; 1</t>
  </si>
  <si>
    <t>Сварочный аппарат 220 Вольт</t>
  </si>
  <si>
    <t>Ручная таль</t>
  </si>
  <si>
    <t>Дисковая пила</t>
  </si>
  <si>
    <t>2.4.2600</t>
  </si>
  <si>
    <t>GSM сигнализация "Express GSM"</t>
  </si>
  <si>
    <t>2.2.0156</t>
  </si>
  <si>
    <t>CY14HA67147</t>
  </si>
  <si>
    <t>Ул.Северная,2 водозабор</t>
  </si>
  <si>
    <t>2.4.2601</t>
  </si>
  <si>
    <t>2.4.2602</t>
  </si>
  <si>
    <t>2.4.2603</t>
  </si>
  <si>
    <t>2.4.2604</t>
  </si>
  <si>
    <t>Газоанализатор СГК-101М "SOLER"</t>
  </si>
  <si>
    <t>ТЭЦ</t>
  </si>
  <si>
    <t>Водокольцевой вакуумный насос ВВН1-25 с двигвтелем 55 кВт/750 об.мин.</t>
  </si>
  <si>
    <t>Насосный агрегат 1КС 50-55 с двигателем 15 кВт/3000 об.мин.</t>
  </si>
  <si>
    <t>Насосный агрегат Д 320-50 с эл.двигателем 75 кВт/1500 об.мин.</t>
  </si>
  <si>
    <t>129-юр</t>
  </si>
  <si>
    <t>01517600008517000024-0849480</t>
  </si>
  <si>
    <t>2.5.1502</t>
  </si>
  <si>
    <t>Лестница 3*9 ступ.</t>
  </si>
  <si>
    <t>инв.856, 857</t>
  </si>
  <si>
    <t>39/6220181012</t>
  </si>
  <si>
    <t>пересечение ул.Алтайская- ул.40 лет Октября</t>
  </si>
  <si>
    <t>пересечение ул.Кулундинская- ул.40 лет Октября</t>
  </si>
  <si>
    <t>2.5.1503</t>
  </si>
  <si>
    <t>Кусторез бензиновый</t>
  </si>
  <si>
    <t>инв.104</t>
  </si>
  <si>
    <t>5520171016</t>
  </si>
  <si>
    <t>2.4.2605</t>
  </si>
  <si>
    <t>Электрокипятильник КНЭ 100-01</t>
  </si>
  <si>
    <t>инв.10104075. Н/ж</t>
  </si>
  <si>
    <t>2.4.2606</t>
  </si>
  <si>
    <t>Инвертор сварочный IN 206 LVP</t>
  </si>
  <si>
    <t>2018</t>
  </si>
  <si>
    <t>2.4.2370.К</t>
  </si>
  <si>
    <t>2.4.2397.К</t>
  </si>
  <si>
    <t>2.4.2607</t>
  </si>
  <si>
    <t>Персональный компьютер DNS Office Celeron J3060</t>
  </si>
  <si>
    <t>инв.10104379</t>
  </si>
  <si>
    <t xml:space="preserve">Комитет администрации города Яровое по образованию </t>
  </si>
  <si>
    <t>ДГ2-00004/0220180022</t>
  </si>
  <si>
    <t>инв.01380403</t>
  </si>
  <si>
    <t>2.5.0976</t>
  </si>
  <si>
    <t>Кресла для зрительного зала</t>
  </si>
  <si>
    <t>инв.ВА0000000099</t>
  </si>
  <si>
    <t>Ф.2017.555100/06201701111</t>
  </si>
  <si>
    <t>Одежда сцены</t>
  </si>
  <si>
    <t>инв.ВА0000000100</t>
  </si>
  <si>
    <t>Ф.2017.555100/06201701122</t>
  </si>
  <si>
    <t>инв.01380037,39,40;а,б</t>
  </si>
  <si>
    <t>2.4.2608</t>
  </si>
  <si>
    <t>ККМ ЭКР-2102К-Ф (без "ФН-1")</t>
  </si>
  <si>
    <t>инв.1.101.34.00140</t>
  </si>
  <si>
    <t>5/2017.14</t>
  </si>
  <si>
    <t>2.4.2609</t>
  </si>
  <si>
    <t>Мойка высокого давления Hammer Flex MVD1600 1600B</t>
  </si>
  <si>
    <t>инв.19/39-001059</t>
  </si>
  <si>
    <t>2.4.2610</t>
  </si>
  <si>
    <t>Портативный цифровой рефлектометр РЕЙС-105М1</t>
  </si>
  <si>
    <t>инв.13601519</t>
  </si>
  <si>
    <t>23/01</t>
  </si>
  <si>
    <t>2.4.2611</t>
  </si>
  <si>
    <t>2.4.2612</t>
  </si>
  <si>
    <t>Радиосистема тревожной сигнализации "Лидер"</t>
  </si>
  <si>
    <t>инв.10104993</t>
  </si>
  <si>
    <t xml:space="preserve"> 29.03.2018</t>
  </si>
  <si>
    <t>12/2018/2320180043</t>
  </si>
  <si>
    <t>инв.10104461</t>
  </si>
  <si>
    <t>11/2018</t>
  </si>
  <si>
    <t>2.5.1506</t>
  </si>
  <si>
    <t>Кровать деревянная</t>
  </si>
  <si>
    <t>2.4.2613</t>
  </si>
  <si>
    <t>Принтер HP Laser Jet Pro M 104а</t>
  </si>
  <si>
    <t>инв.10104378.</t>
  </si>
  <si>
    <t>А-00030562/ 292080025</t>
  </si>
  <si>
    <t>2.4.2614</t>
  </si>
  <si>
    <t>Тахограф АТОЛ Drive 5c СКЗИ (без GPRS)</t>
  </si>
  <si>
    <t>инв.ВА0000000095</t>
  </si>
  <si>
    <t>контракт на поставку товара и оказание услуг</t>
  </si>
  <si>
    <t>062017011011</t>
  </si>
  <si>
    <t>2.4.2615</t>
  </si>
  <si>
    <t>Видеонаблюдение</t>
  </si>
  <si>
    <t>инв.3612191. Видеокамера цветная уличная HiWatch - 2 шт., видеокамера уличная Novicam - 1 шт.</t>
  </si>
  <si>
    <t>договор на поставку и монтаж оборудовавния</t>
  </si>
  <si>
    <t>108/3320171031</t>
  </si>
  <si>
    <t>инв.1631996, 163999-16311007, 16311008-16311012</t>
  </si>
  <si>
    <t>договор на продажу товаров, договор розничной купли-продажи</t>
  </si>
  <si>
    <t>19.02.2018; 15.03.2018</t>
  </si>
  <si>
    <t>б/н; 2120180046</t>
  </si>
  <si>
    <t>2.5.1507</t>
  </si>
  <si>
    <t>Жалюзи веритикальные Ариэль</t>
  </si>
  <si>
    <t>2.5.1508</t>
  </si>
  <si>
    <t>Ламбрикен Ариэль</t>
  </si>
  <si>
    <t>инв.10136124-25. Белые</t>
  </si>
  <si>
    <t>инв.10136123. Коричневый/ бежевый</t>
  </si>
  <si>
    <t>ЕП4-0120180067</t>
  </si>
  <si>
    <t>инв.        AMD</t>
  </si>
  <si>
    <t>2.5.1455 -оц</t>
  </si>
  <si>
    <t>2.4.2443</t>
  </si>
  <si>
    <t>инв.010106054. CHIGO KFR-32WVAC</t>
  </si>
  <si>
    <t>2.4.2616</t>
  </si>
  <si>
    <t>Трассоискатель "Успех АГ-528.60Н"</t>
  </si>
  <si>
    <t>инв.13601525</t>
  </si>
  <si>
    <t>контракт на поставку трассоискателя</t>
  </si>
  <si>
    <t>Ф-2018.74411</t>
  </si>
  <si>
    <t>2.4.2617</t>
  </si>
  <si>
    <t>инв.101041025</t>
  </si>
  <si>
    <t>13/2018/2520180043</t>
  </si>
  <si>
    <t>2.5.1509</t>
  </si>
  <si>
    <t>инв.163079. 2*3м</t>
  </si>
  <si>
    <t>договор купли-продажи товара</t>
  </si>
  <si>
    <t>2520180033</t>
  </si>
  <si>
    <t xml:space="preserve">счет-фактура; договор поставки </t>
  </si>
  <si>
    <t>2.4.2618</t>
  </si>
  <si>
    <t>Электропривод ИРБИ 823-15-04 УХЛЗ,1 IP54</t>
  </si>
  <si>
    <t>инв.13601526</t>
  </si>
  <si>
    <t>22/12/17</t>
  </si>
  <si>
    <t>МФУ Ricoh LESP</t>
  </si>
  <si>
    <t>инв.36331</t>
  </si>
  <si>
    <t>29/03/18</t>
  </si>
  <si>
    <t>2.4.2619</t>
  </si>
  <si>
    <t>3920182032</t>
  </si>
  <si>
    <t>Световое оборудование для уличной сцены</t>
  </si>
  <si>
    <t>2.5.1510</t>
  </si>
  <si>
    <t>2.5.1511</t>
  </si>
  <si>
    <t>2.5.1512</t>
  </si>
  <si>
    <t>2.5.1513</t>
  </si>
  <si>
    <t>2.5.1514</t>
  </si>
  <si>
    <t>2.5.1515</t>
  </si>
  <si>
    <t>2.5.1516</t>
  </si>
  <si>
    <t>2.5.1517</t>
  </si>
  <si>
    <t>2.5.1518</t>
  </si>
  <si>
    <t>2.5.1519</t>
  </si>
  <si>
    <t>Мебель-стенка "Уголок природы"</t>
  </si>
  <si>
    <t>инв.1632067. Длина 220мм, с 5 открыты-ми полками и 2 тумбами</t>
  </si>
  <si>
    <t>2.4.2620</t>
  </si>
  <si>
    <t>Принтер Epson L312</t>
  </si>
  <si>
    <t>инв.10104994</t>
  </si>
  <si>
    <t>А-00113489</t>
  </si>
  <si>
    <t>2.5.1520</t>
  </si>
  <si>
    <t>2.5.1521</t>
  </si>
  <si>
    <t>2.5.1522</t>
  </si>
  <si>
    <t>2.5.1523</t>
  </si>
  <si>
    <t>2.5.1524</t>
  </si>
  <si>
    <t>2.5.1525</t>
  </si>
  <si>
    <t>2.5.1526</t>
  </si>
  <si>
    <t>2.5.1527</t>
  </si>
  <si>
    <t>2620170127</t>
  </si>
  <si>
    <t>инв.1632068. С 4 открытыми полками, зеркалом, рабочим столом с 2 тумбами</t>
  </si>
  <si>
    <t>инв.1632074. С 4 открыми полками, с 2 тумбами</t>
  </si>
  <si>
    <t>инв.1632076. С 3 открытыми полками и 2 тумбами</t>
  </si>
  <si>
    <t>инв.1632077. С доской для рисования, 3 полочками и тумбой с 4 дверцами</t>
  </si>
  <si>
    <t>Мебель "Учебная зона"</t>
  </si>
  <si>
    <t>Мебель "Уголок для рисования"</t>
  </si>
  <si>
    <t>Мебель-стенка  "Книжный уголок"</t>
  </si>
  <si>
    <t>Мебель "Стол для логопедических занятий"</t>
  </si>
  <si>
    <t>Мебель-стенка "Туалетный столик"</t>
  </si>
  <si>
    <t>инв.1632081. Угловая с зеркалом, столешницей и 2 полочками</t>
  </si>
  <si>
    <t>Мебель-стенка "Стеллаж"</t>
  </si>
  <si>
    <t>инв.1632085. С 8 открытыми полочками, 6 шкафчиками</t>
  </si>
  <si>
    <t>Мебель-стенка "Тумба для конструктора"</t>
  </si>
  <si>
    <t>инв.1632088. С 2 открытыми ящиками</t>
  </si>
  <si>
    <t>Мебель-стенка "Учебная зона"</t>
  </si>
  <si>
    <t>инв.1632092. С доской для ртсования и тумбой с 3 дверцами</t>
  </si>
  <si>
    <t>инв.1632099. С 5 полками, 2 тумбами с дверцами</t>
  </si>
  <si>
    <t>Тумба для занятий с психологом</t>
  </si>
  <si>
    <t>инв.16320100. С 2 дверцами, ящиком для песка и открытой полкой</t>
  </si>
  <si>
    <t>2620170128</t>
  </si>
  <si>
    <t>инв.16320101. С 3 полочками, 2 тумбами с дверцей и 2 ящиками</t>
  </si>
  <si>
    <t>Мебель-стенка "Музыкальный уголок"</t>
  </si>
  <si>
    <t>инв.16320102. С 3 открытыми полочками, тумбой с одной дверцей и открытой полкой</t>
  </si>
  <si>
    <t>Мебель "Уголок ряженья"</t>
  </si>
  <si>
    <t>инв.16320103. С полкой, штангой для одежды и зеркалом</t>
  </si>
  <si>
    <t>Тумба "Центр песка и воды"</t>
  </si>
  <si>
    <t xml:space="preserve">инв.16320104. С 2 дверцами, ящиком для песка и открытой полкой </t>
  </si>
  <si>
    <t>Мебель-стенка "Кухня игровая"</t>
  </si>
  <si>
    <t>инв.16320105. Тумба с 3 дверцами и 2 открытыми полками и 1 с дверцами</t>
  </si>
  <si>
    <t>Полка "Музыкальный уголок"</t>
  </si>
  <si>
    <t>инв.16320106. С 4 полочками</t>
  </si>
  <si>
    <t xml:space="preserve">инв.16320107. Состоит из 5 секций, 2 ящика на колесиках, открытые полки с 3 шкафчиками с дверцами </t>
  </si>
  <si>
    <t>2.4.2621</t>
  </si>
  <si>
    <t>2.4.2622</t>
  </si>
  <si>
    <t>2.4.2623</t>
  </si>
  <si>
    <t>2.4.2624</t>
  </si>
  <si>
    <t>2.4.2625</t>
  </si>
  <si>
    <t>инв.13601532</t>
  </si>
  <si>
    <t>контракт на поставку агрегатов электронасосных и электронасосов</t>
  </si>
  <si>
    <t>Ф.2018.72923</t>
  </si>
  <si>
    <t>Насосный агрегат СМ-125-100-250/4</t>
  </si>
  <si>
    <t>инв.13601533</t>
  </si>
  <si>
    <t>Насосный агрегат СМ-150-125-315/4</t>
  </si>
  <si>
    <t>Насосный агрегат СМ-100-65-200/4</t>
  </si>
  <si>
    <t>инв.136001534</t>
  </si>
  <si>
    <t>Насосный агрегат ЭЦВ-10-65-110</t>
  </si>
  <si>
    <t>Насосный агрегат ЭЦВ-8-40-60</t>
  </si>
  <si>
    <t>2.4.2626</t>
  </si>
  <si>
    <t>Насосный агрегат ЭЦВ-8-40-60н</t>
  </si>
  <si>
    <t>инв.13601541</t>
  </si>
  <si>
    <t>весы лабораторные, расходомер, мультиметр, измеритель-регулятор, датчик-Метран 150CD3</t>
  </si>
  <si>
    <t>договоры, счета-фактуры; договор поставки</t>
  </si>
  <si>
    <t>05.04.20.18</t>
  </si>
  <si>
    <t>Навесная перекладина (улица)</t>
  </si>
  <si>
    <t>Перекладина (улица)</t>
  </si>
  <si>
    <t>Снаряд для становой силы (улица)</t>
  </si>
  <si>
    <t>Криволинейная лестница (улица)</t>
  </si>
  <si>
    <t>Площадка для прыжков (улица)</t>
  </si>
  <si>
    <t>Рукоход (улица)</t>
  </si>
  <si>
    <t>Навесные брусья (улица)</t>
  </si>
  <si>
    <t>Качели детские "Тачки"</t>
  </si>
  <si>
    <t>Скамейка детская "Рыбка"</t>
  </si>
  <si>
    <t>инв.010106152. 3х секционная</t>
  </si>
  <si>
    <t>Комплект гимнастический "Паутина"</t>
  </si>
  <si>
    <t>2.5.1528</t>
  </si>
  <si>
    <t>Стол угловой компьютерный б/у</t>
  </si>
  <si>
    <t>инв.3612196. 3 выдвижных ящика, выдвижная полка</t>
  </si>
  <si>
    <t>3320182045</t>
  </si>
  <si>
    <t>2.4.2627</t>
  </si>
  <si>
    <t>Ноутбук HP 15</t>
  </si>
  <si>
    <t>инв.10104381</t>
  </si>
  <si>
    <t>А-00140683/ 2920180059</t>
  </si>
  <si>
    <t>2.5.1529</t>
  </si>
  <si>
    <t>2.5.1530</t>
  </si>
  <si>
    <t>Мебель-прихожая</t>
  </si>
  <si>
    <t>инв.16311014-15</t>
  </si>
  <si>
    <t>2120180064</t>
  </si>
  <si>
    <t>Мебель-обеденная зона</t>
  </si>
  <si>
    <t>инв.16311016</t>
  </si>
  <si>
    <t>2.5.1531</t>
  </si>
  <si>
    <t>Бензотриммер P.I.T P73102 Мастер</t>
  </si>
  <si>
    <t>инв.10104724</t>
  </si>
  <si>
    <t>2.5.1532</t>
  </si>
  <si>
    <t>Триммер бензиновый Энергопром БТ-520</t>
  </si>
  <si>
    <t>инв.3612197</t>
  </si>
  <si>
    <t>332182064</t>
  </si>
  <si>
    <t>мультиметр RD700, ИФН, комбинированный прибор ИС-20, блок регул.и защиты БАЗИС, комплект для измерения сопр. заземления Extech 382252, видеорегистратор, натяжитель В330, мегаомметр Е6-31; накопитель-  архиватор НП-4А, программируемый контроллер узла сети Ethernet  СРМ713-01; видеокамера IP цилиндр. "день-ночь", коммутатор неуправл.; видеорегистратор LTV RNE 4-х канал. ; клещи токоизмерительтные DT; накопитель АДС-91; датчик ДМЭР-МИ; счетчик "Меркурий"; видеорегистратор 8-канал.NVR для записи; контроллер EPLC-96х96 (Щ1); накопитель-  архиватор НП-4А; контроллер регистрации, регулирования защиты Базис-14.Р-32-Д-220-М-Ф</t>
  </si>
  <si>
    <t>14.11.2014; 22.06.2015; 15.07.2015; 27.10.2015; 11.12.2015; 03.03.2016; 15.03.2016; 11.05.2016; 09.11.2016; 20.04.2017; 10.05.2017; 07.06.2017; 16.03.2018; 20.04.2018; 15.06.2018</t>
  </si>
  <si>
    <t>1044; 537; 606; 876; 1010; 219; 244; 430; 1190; 371; 416; 535; 200; 320; 563</t>
  </si>
  <si>
    <t>2.5.1533</t>
  </si>
  <si>
    <t>Автомойка HUTER M-135PW</t>
  </si>
  <si>
    <t>инв.10134147</t>
  </si>
  <si>
    <t>ЕП4-0120180104</t>
  </si>
  <si>
    <t>2.4.2628</t>
  </si>
  <si>
    <t>Сканер Canon Canoscan LIDE 120</t>
  </si>
  <si>
    <t>инв.19-3231354</t>
  </si>
  <si>
    <t>2018/05-21</t>
  </si>
  <si>
    <t>инв.10106565-67 (1х4500,1х3880)</t>
  </si>
  <si>
    <t>инв.10106568-71 (3х4500,1х3880)</t>
  </si>
  <si>
    <t>2.5.1534</t>
  </si>
  <si>
    <t>Мебель- кухня</t>
  </si>
  <si>
    <t>инв.16311013. Состоит: стол тумбовый, мойка, 3 навесных шкафа</t>
  </si>
  <si>
    <t>2120180063</t>
  </si>
  <si>
    <t>06.02.2017; 18.05.2018; 09.07.2018</t>
  </si>
  <si>
    <t>128; 430; 660</t>
  </si>
  <si>
    <t>05.02.2017; 04.05.2018</t>
  </si>
  <si>
    <t>05; 04/05/18</t>
  </si>
  <si>
    <t>МБУ СП "Спортивная школа" г.Яровое</t>
  </si>
  <si>
    <t>2.5.1486</t>
  </si>
  <si>
    <t>2.5.1504</t>
  </si>
  <si>
    <t>2.5.1505</t>
  </si>
  <si>
    <t>2.2.0157</t>
  </si>
  <si>
    <t>А-01, 808787</t>
  </si>
  <si>
    <t>2.2.0100</t>
  </si>
  <si>
    <t>2.4.2629</t>
  </si>
  <si>
    <t>2.4.2630</t>
  </si>
  <si>
    <t>Электрокаменка ЭКМ-15</t>
  </si>
  <si>
    <t>инв.869. Нерж.</t>
  </si>
  <si>
    <t>РУ-2018-0098/6220181073</t>
  </si>
  <si>
    <t>ПУЭКМ 18 (микропроцессорное исполнение)</t>
  </si>
  <si>
    <t>инв.870</t>
  </si>
  <si>
    <t>2.4.2631</t>
  </si>
  <si>
    <t>2.4.2632</t>
  </si>
  <si>
    <t>2.4.2633</t>
  </si>
  <si>
    <t>2.4.2634</t>
  </si>
  <si>
    <t>2.4.2635</t>
  </si>
  <si>
    <t>2.4.2636</t>
  </si>
  <si>
    <t xml:space="preserve">Системный блок Progress </t>
  </si>
  <si>
    <t>Intel Pentium G4560. 2C4T3,5/3Mb)/H110/4GbDDR4/SSD512Gb/Ihdg610(D-SUB+DVI)</t>
  </si>
  <si>
    <t>18.05.2018; 03.07.2018</t>
  </si>
  <si>
    <t>514</t>
  </si>
  <si>
    <t>Монитор Acer 24</t>
  </si>
  <si>
    <t>V246HLbmd черный TN+film LED 5 ms 16:9DVI M/M матовая 250cd 1920х1080 D-Sub FHD  3,9кг</t>
  </si>
  <si>
    <t xml:space="preserve">МФУ лазерное Kyocera  </t>
  </si>
  <si>
    <t>M2635dn (A4, P/C/S/F, 35 стр/мин, 512 Mb, USB 2.0, Ethernet, 1200х1200 dpi, автопод./тонер)</t>
  </si>
  <si>
    <t xml:space="preserve">Источник бесперебойного питания Ippon Back Power Pro </t>
  </si>
  <si>
    <t>LCD 800 Euro 480 Вт 800ВА</t>
  </si>
  <si>
    <t>2.4.2637</t>
  </si>
  <si>
    <t>2.4.2638</t>
  </si>
  <si>
    <t xml:space="preserve">Средство активной защиты информации от утечки </t>
  </si>
  <si>
    <t>за счет ПЭМИН Соната -РЗ.1</t>
  </si>
  <si>
    <t>Право на использование (СЗИ НСД)</t>
  </si>
  <si>
    <t xml:space="preserve"> с технической поддержкой на 3 года</t>
  </si>
  <si>
    <t>Dr.Web для бизнеса сертифицированная версия 10</t>
  </si>
  <si>
    <t xml:space="preserve">Dr.Web ® Desktop Security Suite (AB ) Программное обеспечение </t>
  </si>
  <si>
    <t>3 года</t>
  </si>
  <si>
    <t>2.4.2639</t>
  </si>
  <si>
    <t>2.4.2640</t>
  </si>
  <si>
    <t>2.4.2641</t>
  </si>
  <si>
    <t>2.4.2642</t>
  </si>
  <si>
    <t>Сетевой фильтр Buro 500SL-1,5</t>
  </si>
  <si>
    <t>1,5м (5 розеток), серый</t>
  </si>
  <si>
    <t xml:space="preserve">Клавиатура Logitech Y-U0009 </t>
  </si>
  <si>
    <t>USB, черный</t>
  </si>
  <si>
    <t>USB, черный оптическая</t>
  </si>
  <si>
    <t>Мышь Logitech M-U0026</t>
  </si>
  <si>
    <t>Тонер-картридж Kyocera   (ТК-1150)</t>
  </si>
  <si>
    <t>781</t>
  </si>
  <si>
    <t>2.5.1535</t>
  </si>
  <si>
    <t>инв.3120297-3120300</t>
  </si>
  <si>
    <t>2.4.2643</t>
  </si>
  <si>
    <t>Насосный агрегат НМШ 32-10-18/6-1У3</t>
  </si>
  <si>
    <t>инв.13601555</t>
  </si>
  <si>
    <t xml:space="preserve">контракт  на поставку </t>
  </si>
  <si>
    <t>Ф.2018.175751</t>
  </si>
  <si>
    <t>2.4.2644</t>
  </si>
  <si>
    <t>Крытый тренажерный комплекс</t>
  </si>
  <si>
    <t>22.06.2018;  08.08.2018</t>
  </si>
  <si>
    <t>642</t>
  </si>
  <si>
    <t>инв. В комплекте: рукоход- 2 шт., шведская стенка - 2 шт., кольца гимнастические - 1 пара, турник - 1 шт., брусья - 1 шт., турник для занятий узким захватом - 1 шт., тренажер "скамья для укрепления мышц живота" - 1 шт.</t>
  </si>
  <si>
    <t>627</t>
  </si>
  <si>
    <t>2.4.2645</t>
  </si>
  <si>
    <t>инв.3061125</t>
  </si>
  <si>
    <t xml:space="preserve"> 60/ 2120181055</t>
  </si>
  <si>
    <t>2.4.2646</t>
  </si>
  <si>
    <t>Насосный агрегат АХ 3/15</t>
  </si>
  <si>
    <t>инв.19/37001035</t>
  </si>
  <si>
    <t xml:space="preserve">контракт </t>
  </si>
  <si>
    <t>2.4.2647</t>
  </si>
  <si>
    <t>Видеокамера цифровая Panasonik AG-UX90</t>
  </si>
  <si>
    <t>инв.4.101.34.00145</t>
  </si>
  <si>
    <t>2018.15</t>
  </si>
  <si>
    <t>2.5.1536</t>
  </si>
  <si>
    <t>договор о розничной купли-продажи</t>
  </si>
  <si>
    <t>инв.10106576. Магнитная 100*170 см, зеленая в линию, алюминевая рамка</t>
  </si>
  <si>
    <t>2.5.1537</t>
  </si>
  <si>
    <t>2.5.1538</t>
  </si>
  <si>
    <t>инв.101061039. Мощность 1700 Вт</t>
  </si>
  <si>
    <t>Перфоратор РВН26-С3</t>
  </si>
  <si>
    <t>инв.101061040. Мощность 1200 Вт</t>
  </si>
  <si>
    <t>2.5.1539</t>
  </si>
  <si>
    <t xml:space="preserve">инв.6Г000000000000000000000020 - 22 </t>
  </si>
  <si>
    <t>3320182112</t>
  </si>
  <si>
    <t>Бутафорская голова из поролона</t>
  </si>
  <si>
    <t>2.5.1540</t>
  </si>
  <si>
    <t>инв.101061043</t>
  </si>
  <si>
    <t>А-00189241</t>
  </si>
  <si>
    <t>2.4.2648</t>
  </si>
  <si>
    <t>Узел учета потребления артезианской воды в ТЭЦ</t>
  </si>
  <si>
    <t>инв.13601557</t>
  </si>
  <si>
    <t>контракт на поставку оборудования, монтаж и наладку узла учета потребления артезианской воды в ТЭЦ МУП "ЯТЭК"</t>
  </si>
  <si>
    <t>25/18</t>
  </si>
  <si>
    <t>2.5.1541</t>
  </si>
  <si>
    <t>2.5.1542</t>
  </si>
  <si>
    <t>2.4.2649</t>
  </si>
  <si>
    <t>2.4.2650</t>
  </si>
  <si>
    <t>инв.872. Корпус нерж.</t>
  </si>
  <si>
    <t>инв.871</t>
  </si>
  <si>
    <t>2.5.1543</t>
  </si>
  <si>
    <t>Шупуроверт Ставр ДА-18</t>
  </si>
  <si>
    <t>Триммер CHAMPION</t>
  </si>
  <si>
    <t>инв.101061053</t>
  </si>
  <si>
    <t>Шкаф для дидактических пособий</t>
  </si>
  <si>
    <t>инв.101061054</t>
  </si>
  <si>
    <t>Шкаф для детской литературы</t>
  </si>
  <si>
    <t>инв.101061055-56</t>
  </si>
  <si>
    <t>801/2620180072</t>
  </si>
  <si>
    <t>контракт на постакву мебели</t>
  </si>
  <si>
    <t>2620180086</t>
  </si>
  <si>
    <t>РУ-2018-0114/ 6220181093</t>
  </si>
  <si>
    <t>Светодиодный фонтан LS-RGB</t>
  </si>
  <si>
    <t>инв.10134154</t>
  </si>
  <si>
    <t xml:space="preserve">акт ввода в эксплуатацию </t>
  </si>
  <si>
    <t>2.4.2351</t>
  </si>
  <si>
    <t>2.4.2352</t>
  </si>
  <si>
    <t>2.4.2357</t>
  </si>
  <si>
    <t>2.4.2359</t>
  </si>
  <si>
    <t>2.4.2363</t>
  </si>
  <si>
    <t>2.4.2364</t>
  </si>
  <si>
    <t>2.4.2365</t>
  </si>
  <si>
    <t>2.4.2366</t>
  </si>
  <si>
    <t>2.4.2367</t>
  </si>
  <si>
    <t>2.2.0059</t>
  </si>
  <si>
    <t>2.2.0070</t>
  </si>
  <si>
    <t>Кондиционер CHIGO KFR-23GW/AC</t>
  </si>
  <si>
    <t>внутр+наружный</t>
  </si>
  <si>
    <t>2.4.2652</t>
  </si>
  <si>
    <t>2.4.2653</t>
  </si>
  <si>
    <t>2.4.2654</t>
  </si>
  <si>
    <t>Ноутбук HP 17</t>
  </si>
  <si>
    <t>инв.10104206</t>
  </si>
  <si>
    <t>А-00299010/2120180097</t>
  </si>
  <si>
    <t>Проектор  Acer X118AH</t>
  </si>
  <si>
    <t>инв.10104207</t>
  </si>
  <si>
    <t>2.4.2655</t>
  </si>
  <si>
    <t>2.4.2656</t>
  </si>
  <si>
    <t>договор на поставку оборудования охранной сигнализации и видеонаблюдения</t>
  </si>
  <si>
    <t>18/18/2820180070</t>
  </si>
  <si>
    <t>инв.10104379. Прибор присмотро-контрольный "Гранит- 12Л" - 1 шт., видеокамера Novicam FC- 9 шт., видеорегистратор- 1 шт., накопитель - 1 шт.</t>
  </si>
  <si>
    <t>14-1/18/2920180085</t>
  </si>
  <si>
    <t>Прицеп тракторный, 1989 АМ (инв.10105185к)</t>
  </si>
  <si>
    <t>2.4.2657</t>
  </si>
  <si>
    <t>инв.19/39-001084</t>
  </si>
  <si>
    <t>12/09/18-81305</t>
  </si>
  <si>
    <t>инв.10104382. Прибор приемно-контрольный "Гранит- 12Л" - 1 шт., видеокамера Novicam FC- 9 шт., видеорегистратор- 1 шт., накопитель - 1 шт.</t>
  </si>
  <si>
    <t>инв.10104381. Прибор приемно-контрольный "Гранит- 12Л" - 1 шт., видеокамера Novicam FC- 9 шт., видеорегистратор- 1 шт., накопитель - 1 шт.</t>
  </si>
  <si>
    <t>19/18/2620180066</t>
  </si>
  <si>
    <t>Шкаф холодильный среднетемпературный POLAIR CM 107-S</t>
  </si>
  <si>
    <t>Проектор  Acer X118</t>
  </si>
  <si>
    <t>инв.10104208</t>
  </si>
  <si>
    <t>2.4.2660</t>
  </si>
  <si>
    <t>инв.6Г00000000000000000000023</t>
  </si>
  <si>
    <t>Мультимедийный проектор с объективом и мультимедийным процессором BARCO</t>
  </si>
  <si>
    <t>3320181024</t>
  </si>
  <si>
    <t>2.4.2661</t>
  </si>
  <si>
    <t>инв.6Г00000000000000000000024</t>
  </si>
  <si>
    <t>55/18/3320181018</t>
  </si>
  <si>
    <t>2.4.2662</t>
  </si>
  <si>
    <t>Насосный агрегат ЛМ80-50/32-С с эл.двигателем 7,5/3000</t>
  </si>
  <si>
    <t>инв.13601559. Зав.№ П25. Марка эл.двиг.-АИР 112 М2 ЖБО1 У2</t>
  </si>
  <si>
    <t>22/2015</t>
  </si>
  <si>
    <t xml:space="preserve">договоры, счета-фактуры; договор на поставку товара; договор поставки; счет-фактура; договор поставки </t>
  </si>
  <si>
    <t>01.01.2013; 29.04.2016; 06.09.2016; 10.10.2016; 03.03.2017; 17.05.2017; 01.06.2018; 28.09.2018</t>
  </si>
  <si>
    <t>Дг-СОТ00002432; СЛ-203/68; 2016/09-06; 2016/10-10; 2017/03-031528; 2018/06-01; 2018/09-28</t>
  </si>
  <si>
    <t xml:space="preserve">GetD GK402  активная 3D cистема </t>
  </si>
  <si>
    <t>2.5.1544</t>
  </si>
  <si>
    <t>Кресло для руководителя</t>
  </si>
  <si>
    <t>инв.10136146. VERONA стиль хром, кожа,  цвет черный</t>
  </si>
  <si>
    <t>ЭА-012018162</t>
  </si>
  <si>
    <t>FORD</t>
  </si>
  <si>
    <t>2.2.0028</t>
  </si>
  <si>
    <t>2.2.0029</t>
  </si>
  <si>
    <t>2.2.0030</t>
  </si>
  <si>
    <t>2.2.0032</t>
  </si>
  <si>
    <t>2.2.0033</t>
  </si>
  <si>
    <t>2.2.0034</t>
  </si>
  <si>
    <t>2.2.0036</t>
  </si>
  <si>
    <t>2.2.0039</t>
  </si>
  <si>
    <t>2.2.0042</t>
  </si>
  <si>
    <t>2.2.0043</t>
  </si>
  <si>
    <t>2.2.0044</t>
  </si>
  <si>
    <t>2.2.0049</t>
  </si>
  <si>
    <t>2.2.0055</t>
  </si>
  <si>
    <t>2.2.0063</t>
  </si>
  <si>
    <t>2.2.0067</t>
  </si>
  <si>
    <t>2.2.0073</t>
  </si>
  <si>
    <t>2.2.0080</t>
  </si>
  <si>
    <t>2.2.0084</t>
  </si>
  <si>
    <t>2.2.0085</t>
  </si>
  <si>
    <t>2.2.0089</t>
  </si>
  <si>
    <t>2.2.0110</t>
  </si>
  <si>
    <t>2.2.0111</t>
  </si>
  <si>
    <t>2.2.0112</t>
  </si>
  <si>
    <t>2.2.0113</t>
  </si>
  <si>
    <t>1037</t>
  </si>
  <si>
    <t>508400Н-066338</t>
  </si>
  <si>
    <t>523400 А1005254</t>
  </si>
  <si>
    <t>2.4.2663</t>
  </si>
  <si>
    <t>2.4.2664</t>
  </si>
  <si>
    <t>2.4.2665</t>
  </si>
  <si>
    <t>Тренажер Гребля</t>
  </si>
  <si>
    <t>инв.3061127</t>
  </si>
  <si>
    <t>инв.3061128</t>
  </si>
  <si>
    <t>инв.3061129</t>
  </si>
  <si>
    <t>43/10/18/6120180022</t>
  </si>
  <si>
    <t>Тренажер Маятник</t>
  </si>
  <si>
    <t>Тренажер Жим от груди</t>
  </si>
  <si>
    <t>Договор поставки товара</t>
  </si>
  <si>
    <t>2.4.2659</t>
  </si>
  <si>
    <t>Распоряжение край</t>
  </si>
  <si>
    <t>2.4.2666</t>
  </si>
  <si>
    <t>Электродвигатель MTF 312-8У1 IM1001</t>
  </si>
  <si>
    <t>инв.13601664</t>
  </si>
  <si>
    <t>28/06/18</t>
  </si>
  <si>
    <t>2.5.1546</t>
  </si>
  <si>
    <t>Урны металлические</t>
  </si>
  <si>
    <t>2.5.1547</t>
  </si>
  <si>
    <t>Лавочки металлические</t>
  </si>
  <si>
    <t>2.5.1548</t>
  </si>
  <si>
    <t>2.5.1549</t>
  </si>
  <si>
    <t>2.5.1550</t>
  </si>
  <si>
    <t>Скамья</t>
  </si>
  <si>
    <t>2.5.1551</t>
  </si>
  <si>
    <t>ЭА-0120180160</t>
  </si>
  <si>
    <t>ЭА-0120180106</t>
  </si>
  <si>
    <t>1202</t>
  </si>
  <si>
    <t>Музейная площадь</t>
  </si>
  <si>
    <t>Композиция "вертикальное озеленение"</t>
  </si>
  <si>
    <t>Ограждение фонтана (звенья)</t>
  </si>
  <si>
    <t>Пл. им.Фомичева (музейная площадь)</t>
  </si>
  <si>
    <t>2.4.2667</t>
  </si>
  <si>
    <t>Проектор ACER BS-312</t>
  </si>
  <si>
    <t>А-00358599</t>
  </si>
  <si>
    <t>2.5.1552</t>
  </si>
  <si>
    <t>Доска школьная</t>
  </si>
  <si>
    <t>2520180194</t>
  </si>
  <si>
    <t>инв.10106992-93. Меловая, 3х секц. 150*75*75 см</t>
  </si>
  <si>
    <t>2.4.2668</t>
  </si>
  <si>
    <t>Проектор ACER Х118</t>
  </si>
  <si>
    <t>А-00372394/12420180175</t>
  </si>
  <si>
    <t>1270</t>
  </si>
  <si>
    <t>2.4.2669</t>
  </si>
  <si>
    <t>Проектор BenQ MS506</t>
  </si>
  <si>
    <t>А-00368332</t>
  </si>
  <si>
    <t>Цифровое фортепиано Casio Celviano AP-270BK</t>
  </si>
  <si>
    <t>инв.10104383</t>
  </si>
  <si>
    <t>А-00381757</t>
  </si>
  <si>
    <t>2.5.1554</t>
  </si>
  <si>
    <t>Электрогитара</t>
  </si>
  <si>
    <t>инв.3612215</t>
  </si>
  <si>
    <t>000445</t>
  </si>
  <si>
    <t>2.5.1555</t>
  </si>
  <si>
    <t>Остановка автобусная</t>
  </si>
  <si>
    <t xml:space="preserve">пл. им.Фомичева </t>
  </si>
  <si>
    <t>акт ввода в эксплуатацию автобусной остановки, установленной в соответствии с муниципальным контрактом</t>
  </si>
  <si>
    <t>ЭА-0120180161</t>
  </si>
  <si>
    <t>2.4.2670</t>
  </si>
  <si>
    <t>инв.10104367</t>
  </si>
  <si>
    <t>А-00388389</t>
  </si>
  <si>
    <t>1294</t>
  </si>
  <si>
    <t>2.4.2671</t>
  </si>
  <si>
    <t>2.4.2672</t>
  </si>
  <si>
    <t>2.4.2673</t>
  </si>
  <si>
    <t>Персональный компьютер IRU</t>
  </si>
  <si>
    <t>1390</t>
  </si>
  <si>
    <t>инв.101041026-101041028</t>
  </si>
  <si>
    <t>Мобильное рабочее место GLX</t>
  </si>
  <si>
    <t>инв.101040997-101041008</t>
  </si>
  <si>
    <t>Точка доступа D-Link</t>
  </si>
  <si>
    <t>1313</t>
  </si>
  <si>
    <t>1312</t>
  </si>
  <si>
    <t>2.4.2674</t>
  </si>
  <si>
    <t>2.4.2675</t>
  </si>
  <si>
    <t>2.4.2676</t>
  </si>
  <si>
    <t>2.4.2677</t>
  </si>
  <si>
    <t>2.4.2678</t>
  </si>
  <si>
    <t>2.4.2679</t>
  </si>
  <si>
    <t>Окно проекционное огнестойкое</t>
  </si>
  <si>
    <t>инв.3612216</t>
  </si>
  <si>
    <t>85/18/3320181021</t>
  </si>
  <si>
    <t>Серверная стойка для оборудования</t>
  </si>
  <si>
    <t>инв.3612220</t>
  </si>
  <si>
    <t>122/18/3320181025</t>
  </si>
  <si>
    <t>Комплект звуковой аппаратуры</t>
  </si>
  <si>
    <t>инв.3612219. Состоит из: пассивная акустическая система EUROSOUND - 2 шт.; активная акустическая система EUROSOUND - 1 шт.; акустическая система центральный канал EUROSOUND - 2 шт.; акустика окружения EUROSOUND - 10 шт.; сабвуфер EUROSOUND - 1 шт.</t>
  </si>
  <si>
    <t>122/18/3320181026</t>
  </si>
  <si>
    <t>инв.3612218</t>
  </si>
  <si>
    <t>123/18/3320181022</t>
  </si>
  <si>
    <t>Программно-аппаратный комплекс продажи билетов</t>
  </si>
  <si>
    <t>Звуковое оборудование к серверной стойке</t>
  </si>
  <si>
    <t>инв.3612217. Состоит из: звукового процессора СР-750-Z - 1 шт.; усилитель мощности BEYRINGER INKUKE NU3000DSP -4 шт.</t>
  </si>
  <si>
    <t>79/18/3320181020</t>
  </si>
  <si>
    <t>Экран прямой проекции  AV Stumpfi</t>
  </si>
  <si>
    <t>инв.3612214. Размер 8,2*4,2 м.</t>
  </si>
  <si>
    <t>56/18/3320181019</t>
  </si>
  <si>
    <t>2.4.2680</t>
  </si>
  <si>
    <t>Сигнализация пожарно-охранная</t>
  </si>
  <si>
    <t>инв.3061131. Зал спортивных единоборств</t>
  </si>
  <si>
    <t>6120180018</t>
  </si>
  <si>
    <t>14.08.2015; 28.09.2016; 29.12.2018</t>
  </si>
  <si>
    <t>696; 995; 1330</t>
  </si>
  <si>
    <t>19.11.2018; 29.12.2018</t>
  </si>
  <si>
    <t>1105; 1329</t>
  </si>
  <si>
    <t xml:space="preserve">инв.010104093. </t>
  </si>
  <si>
    <t>Монитор Asus LCD 19" VE198S BK</t>
  </si>
  <si>
    <t xml:space="preserve">инв.010104071. </t>
  </si>
  <si>
    <t>Монитор Samsunq SyncMaster 19" 941MW TFT</t>
  </si>
  <si>
    <t xml:space="preserve">инв.010104080, 010104082-010104083. </t>
  </si>
  <si>
    <t>Монитор Asus 19"WSXGA+1680x1050</t>
  </si>
  <si>
    <t>2.4.2345</t>
  </si>
  <si>
    <t>Машина секционного типа для прочистки труб Powerfrase 600 c электрическим приводом в комплекте</t>
  </si>
  <si>
    <t xml:space="preserve">инв.13601337. Комплект : штанги - 8 ммх1,5м - 62 шт.; набор насадок - 4 шт.; гибкая направляющая, ящик для переноски   </t>
  </si>
  <si>
    <t>436</t>
  </si>
  <si>
    <t>2.5.1556</t>
  </si>
  <si>
    <t>Стиральная машина Candy</t>
  </si>
  <si>
    <t>01-2019</t>
  </si>
  <si>
    <t>10.10.2014; 06.09.2016; 29.03.2018; 12.11.2018</t>
  </si>
  <si>
    <t>СЛ-839/68; 2016/09-06; 29/03/2018; 2018/11-12</t>
  </si>
  <si>
    <t>2.4.2681</t>
  </si>
  <si>
    <t>2019</t>
  </si>
  <si>
    <t>инв.3612221</t>
  </si>
  <si>
    <t>ЕП43320090001</t>
  </si>
  <si>
    <t>Ноутбук DNS W65OSJ</t>
  </si>
  <si>
    <t>96</t>
  </si>
  <si>
    <t>инв.10104209</t>
  </si>
  <si>
    <t>2.4.2682</t>
  </si>
  <si>
    <t>2.4.2683</t>
  </si>
  <si>
    <t>2.4.2684</t>
  </si>
  <si>
    <t>2.4.2685</t>
  </si>
  <si>
    <t>2.4.2686</t>
  </si>
  <si>
    <t>2.4.2687</t>
  </si>
  <si>
    <t>2.4.2688</t>
  </si>
  <si>
    <t>2.4.2689</t>
  </si>
  <si>
    <t>2.4.2690</t>
  </si>
  <si>
    <t xml:space="preserve">инв.ВА00000523-525         </t>
  </si>
  <si>
    <t>0320180121</t>
  </si>
  <si>
    <t xml:space="preserve">Акустическая система тип 1 BEHRINGER EUROLIVE B115D </t>
  </si>
  <si>
    <t>Акустическая система тип 2 BEHRINGER EUROLIVE B115Pro</t>
  </si>
  <si>
    <t xml:space="preserve">инв.ВА00000526-527         </t>
  </si>
  <si>
    <t>0620180121</t>
  </si>
  <si>
    <t>Сабвуфер Electro-Voice TXT2181</t>
  </si>
  <si>
    <t xml:space="preserve">инв.ВА00000532-571         </t>
  </si>
  <si>
    <t xml:space="preserve">Акустическая система тип 3 BEHRINGER EUROLIVE B115D </t>
  </si>
  <si>
    <t>Микшерный пульт Behringer X1222</t>
  </si>
  <si>
    <t xml:space="preserve">инв.ВА00000534  </t>
  </si>
  <si>
    <t>Микшерный пульт MACKIE ProFX22</t>
  </si>
  <si>
    <t xml:space="preserve">инв.ВА00000535  </t>
  </si>
  <si>
    <t>Микшерный пульт YAMAHA MG16XU</t>
  </si>
  <si>
    <t>инв.ВА00000536</t>
  </si>
  <si>
    <t>Микрофон AKG c3000</t>
  </si>
  <si>
    <t>инв.ВА00000545</t>
  </si>
  <si>
    <t>Усилитель мощности BEHRINGER NU3000</t>
  </si>
  <si>
    <t>инв.ВА00000546-547</t>
  </si>
  <si>
    <t>2.4.2691</t>
  </si>
  <si>
    <t>2.4.2692</t>
  </si>
  <si>
    <t>Усилитель мощности BEHRINGER NU6000</t>
  </si>
  <si>
    <t>инв.ВА00000548-551</t>
  </si>
  <si>
    <t>инв.ВА00000562-555</t>
  </si>
  <si>
    <t>2.4.2693</t>
  </si>
  <si>
    <t>2.4.2694</t>
  </si>
  <si>
    <t>Динамик типа 1 EIGHTEEN SOUND 15LW1401/8</t>
  </si>
  <si>
    <t>Динамик типа 2 EIGHTEEN SOUND 18LW2400/8</t>
  </si>
  <si>
    <t>инв.ВА00000566-569</t>
  </si>
  <si>
    <t>Цифровой микшер ZOOM L-12</t>
  </si>
  <si>
    <t>инв.ВА00000570</t>
  </si>
  <si>
    <t>МБУ "СОЦ"</t>
  </si>
  <si>
    <t>2.4.2695</t>
  </si>
  <si>
    <t>Проектор Dell P318S</t>
  </si>
  <si>
    <t>2.4.2696</t>
  </si>
  <si>
    <t>Проектор Acer X128H</t>
  </si>
  <si>
    <t>А-00012153</t>
  </si>
  <si>
    <t>2.4.2697</t>
  </si>
  <si>
    <t>Проектор Acer GM512</t>
  </si>
  <si>
    <t>инв.10104995</t>
  </si>
  <si>
    <t>2.4.2698</t>
  </si>
  <si>
    <t>инв.ВА0000000572</t>
  </si>
  <si>
    <t>215/ ЕП40620190011</t>
  </si>
  <si>
    <t>81000161</t>
  </si>
  <si>
    <t>Системный блок (сервер)</t>
  </si>
  <si>
    <t>Автомобиль грузовой бортовой, гос.номер К 942 ВВ (инв.01510003)</t>
  </si>
  <si>
    <t>Погрузчик одноковшовый фронтальный, гос.номер МТ 6198 (инв.10105135к)</t>
  </si>
  <si>
    <t>Универсальная уборочная машина, гос.номер МТ 6208 (инв.10104137к)</t>
  </si>
  <si>
    <t>Трактор, гос.номер МТ 6207 (инв.10104139к)</t>
  </si>
  <si>
    <t>Трактор, гос.номер МТ 6197 (инв.10104146к)</t>
  </si>
  <si>
    <t>Трактор, гос.номер МТ 6199 (инв.10104147к)</t>
  </si>
  <si>
    <t>Трактор, гос.номер МТ 6206 (инв.10104148к)</t>
  </si>
  <si>
    <t>Трактор, гос.номер МТ 6201 (инв.10104158к)</t>
  </si>
  <si>
    <t>Автомобиль цистерна, гос.номер Р 680 МК (инв.10105262к)</t>
  </si>
  <si>
    <t>Автомобиль цистерна, гос.номер Р 673 МК (инв.10105163к)</t>
  </si>
  <si>
    <t>Автомобиль фургон, гос.номер Р 670 МК (инв.10105172к)</t>
  </si>
  <si>
    <t>Автомобиль фургон, гос.номер Р 864 МК (инв.10105176к)</t>
  </si>
  <si>
    <t>Прицеп тракторный,  гос.номер МТ 6203 (инв.10105186к)</t>
  </si>
  <si>
    <t>Прицеп тракторный, гос.номер МТ 6204 (инв.10105190к)</t>
  </si>
  <si>
    <t>Автомобиль легковой, гос.номер О 581 ХО</t>
  </si>
  <si>
    <t>Автомобиль легковой, рег.номер О 729 ТН</t>
  </si>
  <si>
    <t>Трактор, гос.номер АУ 9869, (инв.00000105)</t>
  </si>
  <si>
    <t>Трактор, гос.номер АУ 9868, (инв.37028107)</t>
  </si>
  <si>
    <t>Автомобиль грузовой фургон, гос.номер Н 534 ТН (инв.10105008)</t>
  </si>
  <si>
    <t xml:space="preserve">Автомобиль седан, гос.номер Т 565 НН </t>
  </si>
  <si>
    <t>Автомобиль, гос.номер Т 567 НН</t>
  </si>
  <si>
    <t xml:space="preserve">Автомобиль, гос.номер Т 569 НН </t>
  </si>
  <si>
    <t xml:space="preserve">Автомобиль, гос.номер М 550 НН </t>
  </si>
  <si>
    <t xml:space="preserve">Автомобиль легковой, гос.номер Т 566 НН </t>
  </si>
  <si>
    <t xml:space="preserve">Автопогрузчик </t>
  </si>
  <si>
    <t>Автомобиль грузовой фургон, гос.номер У 671 СТ</t>
  </si>
  <si>
    <t>Экскаватор, гос.номер АУ 9856</t>
  </si>
  <si>
    <t>Прицеп специальный тракторный - агрегат передвижной сварочный, гос.номер ЕВ 9914</t>
  </si>
  <si>
    <t>Автоподъемник, гос.номер О 798 ОЕ</t>
  </si>
  <si>
    <t xml:space="preserve">Машина коммунально-строительная многоцелевая, гос.номер 4104 АС </t>
  </si>
  <si>
    <t>Прицеп специальный тракторный  агрегат передвижной сварочный, гос.номер 4358МС</t>
  </si>
  <si>
    <t xml:space="preserve">Трактор, гос.номер  ЕЕ 1487 </t>
  </si>
  <si>
    <t>Прицеп тракторный, номер ЕК 9088 (инв.10000273)</t>
  </si>
  <si>
    <t xml:space="preserve">Трактор, гос.номер ЕК 9089 </t>
  </si>
  <si>
    <t>Прицеп тракторный, гос.номер ЕК 9087</t>
  </si>
  <si>
    <t xml:space="preserve">Автобус для перевозки детей, гос.номер АМ02322 </t>
  </si>
  <si>
    <t>ГАЗ 33073</t>
  </si>
  <si>
    <t>523400-21002528</t>
  </si>
  <si>
    <t>отсутствует</t>
  </si>
  <si>
    <t>ГАЗ 3110</t>
  </si>
  <si>
    <t>*40630А*13067201</t>
  </si>
  <si>
    <t>СМД-62, 883394</t>
  </si>
  <si>
    <t xml:space="preserve">ЗИЛ 130 </t>
  </si>
  <si>
    <t>ГАЗ 53</t>
  </si>
  <si>
    <t>209873</t>
  </si>
  <si>
    <t>1007136</t>
  </si>
  <si>
    <t>ГАЗ 6611</t>
  </si>
  <si>
    <t>ЗИЛ 431410</t>
  </si>
  <si>
    <t xml:space="preserve"> 1986</t>
  </si>
  <si>
    <t>523400 81011084</t>
  </si>
  <si>
    <t xml:space="preserve"> NISSAN TEANA, </t>
  </si>
  <si>
    <t>LADA PRIORA 217130</t>
  </si>
  <si>
    <t xml:space="preserve">21126, 2756503 </t>
  </si>
  <si>
    <t xml:space="preserve">Т-40 </t>
  </si>
  <si>
    <t>ИЖ 27175-40</t>
  </si>
  <si>
    <t>Z9Z271750C0030557</t>
  </si>
  <si>
    <t>УАЗ 396252</t>
  </si>
  <si>
    <t>ВАЗ-21213</t>
  </si>
  <si>
    <t xml:space="preserve"> ГАЗ-3102</t>
  </si>
  <si>
    <t>Д1792</t>
  </si>
  <si>
    <t>ГАЗ 6615</t>
  </si>
  <si>
    <t>ЭО2621В-2</t>
  </si>
  <si>
    <t>АДД 005 (АДД-4004 МВП У1)</t>
  </si>
  <si>
    <t>АПТЛ-17 (на шасси ГАЗ-3307)</t>
  </si>
  <si>
    <t>УН-053</t>
  </si>
  <si>
    <t>АДД-4004МП</t>
  </si>
  <si>
    <t>3085644 в агрегате</t>
  </si>
  <si>
    <t>6098/Х8КАДД00160000592</t>
  </si>
  <si>
    <t>УАЗ 390995-04</t>
  </si>
  <si>
    <t>Т-28М</t>
  </si>
  <si>
    <t>2.4.2699</t>
  </si>
  <si>
    <t>Фискальный регистратор "Атол" 25Ф</t>
  </si>
  <si>
    <t>2019/23-01</t>
  </si>
  <si>
    <t xml:space="preserve"> 1994</t>
  </si>
  <si>
    <t xml:space="preserve"> 1985</t>
  </si>
  <si>
    <t>979/ 1213</t>
  </si>
  <si>
    <t>2.5.1557</t>
  </si>
  <si>
    <t>2.5.1558</t>
  </si>
  <si>
    <t>2.5.1559</t>
  </si>
  <si>
    <t>2.5.1560</t>
  </si>
  <si>
    <t>2.5.1561</t>
  </si>
  <si>
    <t>2.5.1562</t>
  </si>
  <si>
    <t>2.5.1563</t>
  </si>
  <si>
    <t>2.5.1564</t>
  </si>
  <si>
    <t>Дозиметр</t>
  </si>
  <si>
    <t>100; б/н</t>
  </si>
  <si>
    <t>Комплект костюмов химзащиты</t>
  </si>
  <si>
    <t>Макет автомата Калашникова АК-74М</t>
  </si>
  <si>
    <t>Макет учебно-тренировочной гранаты РГД 5</t>
  </si>
  <si>
    <t>Макет учебно-тренировочной гранаты РГО</t>
  </si>
  <si>
    <t>Макет учебно-тренировочной гранаты Ф-1</t>
  </si>
  <si>
    <t>Набор муляжей ранений и поражений</t>
  </si>
  <si>
    <t>Носилки</t>
  </si>
  <si>
    <t>2.5.1565</t>
  </si>
  <si>
    <t>2.5.1566</t>
  </si>
  <si>
    <t>2.5.1567</t>
  </si>
  <si>
    <t>Противогаз</t>
  </si>
  <si>
    <t>Сумка санинструктора</t>
  </si>
  <si>
    <t>Тренажер для приемов сердечно-легочной и мозговой реанимации</t>
  </si>
  <si>
    <t>2.5.1568</t>
  </si>
  <si>
    <t>Электронный лазерный тир</t>
  </si>
  <si>
    <t>209</t>
  </si>
  <si>
    <t>Автомобиль самосвал, гос.номер С 354 МС (инв.10105136к)</t>
  </si>
  <si>
    <t>Автомашина прочие спец., гос.номер С 350 МС (инв.10105140к)</t>
  </si>
  <si>
    <t>Автомобиль самосвал, гос.номер С 351 МС (инв.10105141к)</t>
  </si>
  <si>
    <t>Автомобиль пикап, гос.номер Т 481 МУ (инв.10105143к)</t>
  </si>
  <si>
    <t>Автомобиль цистерна, гос.номер С 352 МС (инв.10105144к)</t>
  </si>
  <si>
    <t>Трактор, гос.номер 1981 Ами (инв.10104152к)</t>
  </si>
  <si>
    <t>Автомобиль прочие спец., гос.номер Р 684 МК (инв.10105167к)</t>
  </si>
  <si>
    <t>Автомобиль самосвал, гос.номер Р 667 МК (инв.10105175к)</t>
  </si>
  <si>
    <t>Автомобиль прочие грузовые, гос.номер Р 677 МК (инв.10105181к)</t>
  </si>
  <si>
    <t>Прицеп тракторный, гос.номер 1994 АМ (инв.10105187к)</t>
  </si>
  <si>
    <t>Автобус, гос.номер Е 696 ОН (инв.210105200001)</t>
  </si>
  <si>
    <t>Автомобиль легковой, гос.номер Т 118 РР</t>
  </si>
  <si>
    <t>Автомобиль легковой, гос.номер О 373 ОО22</t>
  </si>
  <si>
    <t>Автомобиль,  гос.номер  146 РР22</t>
  </si>
  <si>
    <t>2.4.2700</t>
  </si>
  <si>
    <t>инв.10104211</t>
  </si>
  <si>
    <t>НМ1000014/ 21200190020</t>
  </si>
  <si>
    <t>Персональный компьютер Acer Vertion ES2730G</t>
  </si>
  <si>
    <t>2.4.2701</t>
  </si>
  <si>
    <t>инв.10104384. Белый, с одной крышкой</t>
  </si>
  <si>
    <t>А-00054399/ 2920190043</t>
  </si>
  <si>
    <t>Морозильный ларь "Бирюса" 260VK</t>
  </si>
  <si>
    <t>2.4.2702</t>
  </si>
  <si>
    <t>Погрузчик (ковш) ПКУ-0,8</t>
  </si>
  <si>
    <t>2.5.1569</t>
  </si>
  <si>
    <t>Шкаф "Наглядное пособие для проведения экспериментов с природным материалом"</t>
  </si>
  <si>
    <t>2920190048</t>
  </si>
  <si>
    <t>2.5.1570</t>
  </si>
  <si>
    <t>Доска поворотная</t>
  </si>
  <si>
    <t>инв.10106753. Под маркер, на металлических стойках</t>
  </si>
  <si>
    <t>Контракт на поставку мебели</t>
  </si>
  <si>
    <t>18/ 2820190037</t>
  </si>
  <si>
    <t>2.4.2703</t>
  </si>
  <si>
    <t>2.4.2704</t>
  </si>
  <si>
    <t>2.4.2705</t>
  </si>
  <si>
    <t>2.4.2706</t>
  </si>
  <si>
    <t>2.4.2707</t>
  </si>
  <si>
    <t>2.4.2708</t>
  </si>
  <si>
    <t>2.4.2709</t>
  </si>
  <si>
    <t>2.4.2710</t>
  </si>
  <si>
    <t>2.4.2711</t>
  </si>
  <si>
    <t>Светодиодный экран LEDsi</t>
  </si>
  <si>
    <t>инв.ВА0000000573</t>
  </si>
  <si>
    <t>Светодиодная голова EURO DJ</t>
  </si>
  <si>
    <t>инв.ВА0000000574 - 577</t>
  </si>
  <si>
    <t>0620180132</t>
  </si>
  <si>
    <t>0620180122</t>
  </si>
  <si>
    <t>Светодиодный прожектор Тип1 EURO DJ</t>
  </si>
  <si>
    <t>инв.ВА0000000578 - 583</t>
  </si>
  <si>
    <t>Светодиодный ультрафиолетовый прожектор EURO DJ</t>
  </si>
  <si>
    <t>инв.ВА0000000584 - 587</t>
  </si>
  <si>
    <t>Светодиодный прожектор Тип4 EURO DJ</t>
  </si>
  <si>
    <t>инв.ВА0000000588 - 589</t>
  </si>
  <si>
    <t>Светодиодный прожектор Тип2 EURO DJ</t>
  </si>
  <si>
    <t>инв.ВА0000000590 - 591</t>
  </si>
  <si>
    <t>Светодиодный прожектор Тип3 EURO DJ</t>
  </si>
  <si>
    <t>инв.ВА0000000592 - 593</t>
  </si>
  <si>
    <t>Светодиодный прожектор Тип5 EURO DJ</t>
  </si>
  <si>
    <t>инв.ВА0000000594 - 597</t>
  </si>
  <si>
    <t>Мультиколор PROAUDIO</t>
  </si>
  <si>
    <t>инв.ВА0000000598</t>
  </si>
  <si>
    <t>18.01.2007; 18.03.2019</t>
  </si>
  <si>
    <t>28; 232</t>
  </si>
  <si>
    <t>переведен из транспорта</t>
  </si>
  <si>
    <t>244</t>
  </si>
  <si>
    <t>инв.10106691. Состоит из 3 шкафов - светло-зеленый, оранжевый</t>
  </si>
  <si>
    <t>245</t>
  </si>
  <si>
    <t>14.11.2014; 10.02.2016; 09.11.2016; 01.12.2016; 28.01.2019; 19.03.2019</t>
  </si>
  <si>
    <t>1044; 141; 1190; 1266; 95; 246</t>
  </si>
  <si>
    <t>2.4.2712</t>
  </si>
  <si>
    <t>инв.ВА10104382</t>
  </si>
  <si>
    <t>2/2620190045</t>
  </si>
  <si>
    <t>2.4.2713</t>
  </si>
  <si>
    <t>Морозильный ларь "Бирюса" 210K</t>
  </si>
  <si>
    <t>0220150030</t>
  </si>
  <si>
    <t>инв.10106979. Принтер/ копир/ сканер</t>
  </si>
  <si>
    <t>МФУ Ricoh SP325SNw</t>
  </si>
  <si>
    <t>2.4.2714</t>
  </si>
  <si>
    <t>Инвертор ARC-205 В НАКС</t>
  </si>
  <si>
    <t>инв.19/37001040. ТЭЦ</t>
  </si>
  <si>
    <t>11/02/19</t>
  </si>
  <si>
    <t>Панель оператора МTV-100</t>
  </si>
  <si>
    <t>2.4.2715</t>
  </si>
  <si>
    <t>31/01/19-Н/81305-3101</t>
  </si>
  <si>
    <t>Панель оператора МT8090ХЕ</t>
  </si>
  <si>
    <t>06.2001</t>
  </si>
  <si>
    <t>08.1990</t>
  </si>
  <si>
    <t>07.2002</t>
  </si>
  <si>
    <t>инв.19/37000987/2. ТЭЦ</t>
  </si>
  <si>
    <t>2.5.1571</t>
  </si>
  <si>
    <t>2.5.1572</t>
  </si>
  <si>
    <t>2.5.1573</t>
  </si>
  <si>
    <t>2.5.1574</t>
  </si>
  <si>
    <t>2.5.1575</t>
  </si>
  <si>
    <t>2.5.1576</t>
  </si>
  <si>
    <t>2.5.1577</t>
  </si>
  <si>
    <t>Батут детский</t>
  </si>
  <si>
    <t>215; 0000-000216</t>
  </si>
  <si>
    <t>27.02.2019; 14.03.2019</t>
  </si>
  <si>
    <t>Детская башня для лазания</t>
  </si>
  <si>
    <t>Детский тренажер "Бегущий по волнам"</t>
  </si>
  <si>
    <t>2.5.1578</t>
  </si>
  <si>
    <t>2.5.1579</t>
  </si>
  <si>
    <t>2.5.1580</t>
  </si>
  <si>
    <t>Набор спортивно-игровой</t>
  </si>
  <si>
    <t>Стенка гимнастическая 2-х секционная</t>
  </si>
  <si>
    <t>2.5.1581</t>
  </si>
  <si>
    <t>2.5.1582</t>
  </si>
  <si>
    <t>Стойка для метания мячей</t>
  </si>
  <si>
    <t>07.11.2014; 05.08.2015; 03.09.2015; 27.10.2015; 10.06.2016; 25.08.2016; 09.11.2016; 01.12.2016; 22.12.2016; 22.03.2017; 06.04.2017; 10.05.2017; 28.07.2017; 09.08.2018; 20.12.2018; 28.01.2019; 05.04.2019</t>
  </si>
  <si>
    <t>1012; 667; 735; 876; 603; 898; 1190; 1266; 1336; 255; 313; 416; 697; 788; 1268; 95; 284</t>
  </si>
  <si>
    <t>2.4.2716</t>
  </si>
  <si>
    <t>Морозильный ларь Renova FC</t>
  </si>
  <si>
    <t>2.4.2717</t>
  </si>
  <si>
    <t>Акустическая система активная Haymer 15</t>
  </si>
  <si>
    <t>инв.10106996</t>
  </si>
  <si>
    <t>МФУ лазерное HP LJ PRO 400 M25dn, принтер лазерный HP LJ PRO 400 M401d, МФУ Kyocera Ecosys M2530DN, МФУ HP LJ Pro, МФУ Ricoh SP, МФУ лазерное HP LJ PRO, МФУ Kyocera Ecosys M2530DN; МФУ Kyocera M2735DN</t>
  </si>
  <si>
    <t>компьютеры, монитор, тонкий клиент, системный блок, принтер, ксерокс, источник бесперебойного питания, цифровой,  фотоаппарат, проектор, кондиционер, сплитсистема, ноутбук, модем, телефон, диктофон, модем, монитор LED 18,5 "Beng, планшет 8", монитор LED 19,5, сист.блок, монитор PHILIPS 24 ЖК, сервер NPoint 5250A 2-port, монитор PHILIPS 18,5 (черный); монитор PHILIPS 21,5; ноутбук 15,6 LENOVO, ноутбук 15,6 HP , монитор 18,5 Acer LED; монитор PHILIPS 23,6 ЖК; ИБП ; телефон D-Link; системный блок; монитор PHILIPS 19,5; системный блок в сборе; ноутбук 15,6 HD Asus; W65SJ; сист.блок в сборе</t>
  </si>
  <si>
    <t>инв.№ 89205706. Настольно-вертикально сверлильный, сверло до 9мм,эл.двиг 1квт,габариты 900*400*300 вес 80кг (Заводская,10)</t>
  </si>
  <si>
    <t>2.4.2718</t>
  </si>
  <si>
    <t>Разметочная машина AktiSpray AvS-14000MIDR</t>
  </si>
  <si>
    <t>Комплект на 1 пистолет</t>
  </si>
  <si>
    <t>16.04.219</t>
  </si>
  <si>
    <t>ЕП4-0120190073</t>
  </si>
  <si>
    <t>2.4.2719</t>
  </si>
  <si>
    <t>Датчик давления ПД200-ДД0,2-155-0,1-2-Н</t>
  </si>
  <si>
    <t>08/02/19</t>
  </si>
  <si>
    <t>2.4.2720</t>
  </si>
  <si>
    <t>Микроскоп монокулярный медицинский для биохимических исследований Armed XSP-104</t>
  </si>
  <si>
    <t>инв.101040994</t>
  </si>
  <si>
    <t>инв.10104379, 80</t>
  </si>
  <si>
    <t>инв.10104368, 69</t>
  </si>
  <si>
    <t>2.4.2721</t>
  </si>
  <si>
    <t>2.4.2722</t>
  </si>
  <si>
    <t>Станция управления СУ иЗ Лоцман + L2-40-IP54-У2</t>
  </si>
  <si>
    <t>Станция управления СУ иЗ Лоцман + L2-80-IP54-У3</t>
  </si>
  <si>
    <t>инв.19/37001043</t>
  </si>
  <si>
    <t>инв.19-19-000019</t>
  </si>
  <si>
    <t>инв.19/39-001119</t>
  </si>
  <si>
    <t>инв.19/39-001118</t>
  </si>
  <si>
    <t>2.4.2723</t>
  </si>
  <si>
    <t>Косилка ротационная навесная</t>
  </si>
  <si>
    <t>инв.13601762</t>
  </si>
  <si>
    <t>28/02/2019</t>
  </si>
  <si>
    <t>11/03-К</t>
  </si>
  <si>
    <t>2.4.2724</t>
  </si>
  <si>
    <t>инв.19-19000020</t>
  </si>
  <si>
    <t>Термостат суховоздушный ТВ-80-1</t>
  </si>
  <si>
    <t>2.4.2726</t>
  </si>
  <si>
    <t>Генератор электрический бензиновый HUTER DY8000LX</t>
  </si>
  <si>
    <t>инв.110138000006</t>
  </si>
  <si>
    <t>ЕП4-0120190099</t>
  </si>
  <si>
    <t>2.4.2727.К</t>
  </si>
  <si>
    <t>NЭА-0120190071</t>
  </si>
  <si>
    <t>2.4.2728.К</t>
  </si>
  <si>
    <t>2.4.2729.К</t>
  </si>
  <si>
    <t>2.4.2730.К</t>
  </si>
  <si>
    <t>ул.Мира возле шк.№ 14 южное направление. инв.110134000005. стойка консольная светофорная -6,5м, закладная из стальной трубы-2м, светофор дорожный светодиодный Е.7-1 шт, шкаф с контроллером - 1шт., аккумуляторная батарея 40А*ч - 1шт, панель солнечная - 1шт.</t>
  </si>
  <si>
    <t>ЕП4-0120190091</t>
  </si>
  <si>
    <t>NISSAN ALMERA</t>
  </si>
  <si>
    <t>2.4.2731</t>
  </si>
  <si>
    <t>2.4.2732</t>
  </si>
  <si>
    <t>2.4.2733</t>
  </si>
  <si>
    <t>2.4.2734</t>
  </si>
  <si>
    <t>2.4.2735</t>
  </si>
  <si>
    <t>2.4.2736</t>
  </si>
  <si>
    <t>2.4.2737</t>
  </si>
  <si>
    <t>2.4.2738</t>
  </si>
  <si>
    <t>2.4.2739</t>
  </si>
  <si>
    <t>2.4.2740</t>
  </si>
  <si>
    <t>2.4.2741</t>
  </si>
  <si>
    <t>2.4.2742</t>
  </si>
  <si>
    <t>2.4.2743</t>
  </si>
  <si>
    <t>2.4.2744</t>
  </si>
  <si>
    <t>2.4.2745</t>
  </si>
  <si>
    <t>Ф.20171564274/06201701105</t>
  </si>
  <si>
    <t>Микшерный пульт Alto ZMX122FX</t>
  </si>
  <si>
    <t>инв.ВА0000000599</t>
  </si>
  <si>
    <t>Акустическая система Eltctro-Voice ZLX-15P</t>
  </si>
  <si>
    <t>инв.ВА0000000600/3</t>
  </si>
  <si>
    <t>Вокальная система AKG WMS40 Mini2 Vocal Set BD</t>
  </si>
  <si>
    <t>инв.ВА00000006001</t>
  </si>
  <si>
    <t>Вращающаяся многолучевая голова LED Involight Ventus</t>
  </si>
  <si>
    <t>инв.ВА00000006002-6002/1</t>
  </si>
  <si>
    <t>Вращающаяся светодиодная голова заливающего света PRO SVET Light MH</t>
  </si>
  <si>
    <t>инв.ВА00000006003-6003/3</t>
  </si>
  <si>
    <t>инв.ВА00000006004-6004/3</t>
  </si>
  <si>
    <t>Светодиодный многолучевой эффект CHAUVET-DJ Mini Kinta LED IRC</t>
  </si>
  <si>
    <t>инв.ВА00000006005-6005/4</t>
  </si>
  <si>
    <t>Светодиодная панель  Involight BAR 308</t>
  </si>
  <si>
    <t>инв.ВА00000006006-6006/3</t>
  </si>
  <si>
    <t>инв.ВА000000060068-60069</t>
  </si>
  <si>
    <t>Микрофон конденсаторный кардиоидный AKG P220</t>
  </si>
  <si>
    <t>2-полосная акустическая система 600 Вт AltoTX15</t>
  </si>
  <si>
    <t>инв.ВА000000060076</t>
  </si>
  <si>
    <t>инв.ВА000000060072-60072/1</t>
  </si>
  <si>
    <t xml:space="preserve">Компактный универсальнй контроллер на 12 приборов на 32 канала CHAULEY-DJ  </t>
  </si>
  <si>
    <t>инв.ВА000000060073</t>
  </si>
  <si>
    <t>2-канальный компрессор/ лимитер/ эскандер/ тейт DBX</t>
  </si>
  <si>
    <t xml:space="preserve">Компактный универсальнй контроллер на 8 приборов на 16 каналов CHAULEY-DJ  </t>
  </si>
  <si>
    <t>инв.ВА000000060074</t>
  </si>
  <si>
    <t>инв.ВА000000060075</t>
  </si>
  <si>
    <t>Микрофон динамический кардиоидный вокальный SHURE SM58</t>
  </si>
  <si>
    <t>инв.ВА000000060071-60071/5</t>
  </si>
  <si>
    <t>2.4.2746</t>
  </si>
  <si>
    <t>Вокальная радиосистема AKG WMS40 Mini2 Vocal Set</t>
  </si>
  <si>
    <t>инв.ВА000000060079</t>
  </si>
  <si>
    <t>2-полосная система студийного мониторинга YAMAHA HS5</t>
  </si>
  <si>
    <t>2.2.0109</t>
  </si>
  <si>
    <t xml:space="preserve">Автобус, гос.номер Е 443 СМ </t>
  </si>
  <si>
    <t>491</t>
  </si>
  <si>
    <t>Щетка коммунальная (НТУ-2,0М) (Т-40) м с увлажнителем</t>
  </si>
  <si>
    <t>2.4.2747</t>
  </si>
  <si>
    <t>2.4.2748</t>
  </si>
  <si>
    <t>инв.19-19-000021</t>
  </si>
  <si>
    <t>Контроллер микропроцессорный МИК-52-00-03-03-03-02-03-03-03-03-3-РО</t>
  </si>
  <si>
    <t>инв.13601766</t>
  </si>
  <si>
    <t>СЛ034</t>
  </si>
  <si>
    <t>РТ-104363</t>
  </si>
  <si>
    <t>Трактор, гос.номер МТ 6240 (инв.11116)</t>
  </si>
  <si>
    <t>методическая литература</t>
  </si>
  <si>
    <t>2.4.2749</t>
  </si>
  <si>
    <t>2.4.2750</t>
  </si>
  <si>
    <t>Сплит-система Roland</t>
  </si>
  <si>
    <t>Сплит-система Rolyal Clima</t>
  </si>
  <si>
    <t>2.4.2751</t>
  </si>
  <si>
    <t>Насос АХ 3/15-Е-СД  с эл.двиг. 3 квт./3000 об./мин</t>
  </si>
  <si>
    <t>2019.71652</t>
  </si>
  <si>
    <t>2.4.2752</t>
  </si>
  <si>
    <t>2.4.2753</t>
  </si>
  <si>
    <t>Высоковольтный блок аппарата испытания диэлектрических материалов "АИДМ-15-2"</t>
  </si>
  <si>
    <t>инв.13601770</t>
  </si>
  <si>
    <t>Пульт управления аппарата испытания диэлектрических материалов "АИДМ-15-2"</t>
  </si>
  <si>
    <t>инв.13601771</t>
  </si>
  <si>
    <t>22/03/19-99</t>
  </si>
  <si>
    <t>инв.13601769</t>
  </si>
  <si>
    <t>2.4.2754</t>
  </si>
  <si>
    <t>МФУ Brother VFC-L2720DWR</t>
  </si>
  <si>
    <t>инв.110134000007</t>
  </si>
  <si>
    <t>ЕП4-0120190112</t>
  </si>
  <si>
    <t>2.5.1290</t>
  </si>
  <si>
    <t>Магнитофон DAEWOO</t>
  </si>
  <si>
    <t>584</t>
  </si>
  <si>
    <t>2.5.1584</t>
  </si>
  <si>
    <t>Стиральная машина Hotpoint-Ariston VMSG 601 B</t>
  </si>
  <si>
    <t>инв.3061148</t>
  </si>
  <si>
    <t>876</t>
  </si>
  <si>
    <t>2.4.2755</t>
  </si>
  <si>
    <t>инв.3612231</t>
  </si>
  <si>
    <t>Кассовый аппарат ККМ Штрих-ON - LINE</t>
  </si>
  <si>
    <t>613</t>
  </si>
  <si>
    <t xml:space="preserve">Машина посудомоечная универсальная МПУ-700-01 </t>
  </si>
  <si>
    <t>29.05.2019, 01.07.2019</t>
  </si>
  <si>
    <t>2.4.2756</t>
  </si>
  <si>
    <t>инв.101041015</t>
  </si>
  <si>
    <t>01.08.219</t>
  </si>
  <si>
    <t>2.5.1585</t>
  </si>
  <si>
    <t>Электрогитара (бас)</t>
  </si>
  <si>
    <t>инв.3612234</t>
  </si>
  <si>
    <t>Б/н</t>
  </si>
  <si>
    <t>692</t>
  </si>
  <si>
    <t>2.4.2757</t>
  </si>
  <si>
    <t>инв.19-0901465</t>
  </si>
  <si>
    <t>авансовый отчет</t>
  </si>
  <si>
    <t>Многофункциональное устройство Canon Lasser Base 3110</t>
  </si>
  <si>
    <t xml:space="preserve"> монитор SAMSUNG SySMaster 753 (белый)</t>
  </si>
  <si>
    <t>инв.10104371</t>
  </si>
  <si>
    <t>2.5.1586</t>
  </si>
  <si>
    <t xml:space="preserve">Остановочный павильон </t>
  </si>
  <si>
    <t>инв. Расположена между зданием кв."В" д.19 (шк.19) и проезжей частью ул.Мира</t>
  </si>
  <si>
    <t>29.04.209</t>
  </si>
  <si>
    <t>ЭА-0120190087</t>
  </si>
  <si>
    <t>Базовый набор LEGO MINDSTORMS Education EV3, Software в комплекте</t>
  </si>
  <si>
    <t>Брошуратор Bulros</t>
  </si>
  <si>
    <t>Видеокамера Canon LEGRA FS 306</t>
  </si>
  <si>
    <t xml:space="preserve">Видеокамера Sony HDR-CX320E </t>
  </si>
  <si>
    <t>Документ-камера Avision Aver Vision CP135</t>
  </si>
  <si>
    <t>Игра-лабиринт "Космическое путешествие"</t>
  </si>
  <si>
    <t xml:space="preserve">Документ-камера Minio </t>
  </si>
  <si>
    <t>Игровая консоль Microsoft Xbox 360E</t>
  </si>
  <si>
    <t>Интеракетивная доска Newline Tru Board R3-800</t>
  </si>
  <si>
    <t>Комплект Робототехники Конструктор "Перворобот НХТ"</t>
  </si>
  <si>
    <t>Компьютер в сборе KS-Профи</t>
  </si>
  <si>
    <t>Конструктор "Строитель"</t>
  </si>
  <si>
    <t>Конструктор Перворобот LEGO WeDo/9580d в комплекте</t>
  </si>
  <si>
    <t>Лаборатория из 6 лотков</t>
  </si>
  <si>
    <t>Лицензия LEGO WeDo на использование Первороботов</t>
  </si>
  <si>
    <t>Микроскоп цифровой Digital Microscope</t>
  </si>
  <si>
    <t>Мобильная лаборатория для начальной школы ЛАБ Диск ГЛОМИР</t>
  </si>
  <si>
    <t>Модульный станок Unital Classic 160141 EDUR</t>
  </si>
  <si>
    <t>Мольберт прозрачный</t>
  </si>
  <si>
    <t>Мультимедийный короткофокусный проектор BenQ MX613ST</t>
  </si>
  <si>
    <t>Набор ПервоРобот LEGO WeDo конструктор</t>
  </si>
  <si>
    <t>Набор "Рисуем на песке"</t>
  </si>
  <si>
    <t>Ноутбук ICL Sil 52</t>
  </si>
  <si>
    <t>Планшет для рисования Genius G-EASY Pen M610.6</t>
  </si>
  <si>
    <t>Портативный программно-технический комплекс тип 3Aser ТМ8573Т2432G32 Mnkk</t>
  </si>
  <si>
    <t>Программное обеспечение LEGO WeDo для ПервоРоботов</t>
  </si>
  <si>
    <t>Программное обеспечение  и лицензия к ПервоРобот на 1 раб.место</t>
  </si>
  <si>
    <t>Проектор Optoma S31Oe</t>
  </si>
  <si>
    <t xml:space="preserve">Цифровой микроскоп DigitalBlue QX7 </t>
  </si>
  <si>
    <t>717</t>
  </si>
  <si>
    <t>2.5.1313</t>
  </si>
  <si>
    <t>751</t>
  </si>
  <si>
    <t>2.4.2792</t>
  </si>
  <si>
    <t>инв.3061150</t>
  </si>
  <si>
    <t>ЕП46120190046</t>
  </si>
  <si>
    <t>Контрольно-кассовая машина "Меркурий"-185Ф (без ФН)</t>
  </si>
  <si>
    <t>2.5.1587</t>
  </si>
  <si>
    <t>2.5.1588</t>
  </si>
  <si>
    <t>Шкаф картотечный</t>
  </si>
  <si>
    <t>инв.110136000002. ВУС</t>
  </si>
  <si>
    <t>ЕП-0120190147</t>
  </si>
  <si>
    <t>Сейцф офисный</t>
  </si>
  <si>
    <t>инв.110136000003. ВУС</t>
  </si>
  <si>
    <t>Клавиатура</t>
  </si>
  <si>
    <t>Мышь компьютерная</t>
  </si>
  <si>
    <t>876; б/н</t>
  </si>
  <si>
    <t>04.07.2019; 03.09.2019</t>
  </si>
  <si>
    <t>2.4.2799</t>
  </si>
  <si>
    <t>Шкаф холодильный среднетемпературный POLAIR CВ 107-S</t>
  </si>
  <si>
    <t>16.08.2019; 04.09.2019</t>
  </si>
  <si>
    <t>1104; б/н</t>
  </si>
  <si>
    <t>2.4.2800</t>
  </si>
  <si>
    <t>Шкаф холодильный среднетемпературный POLAIR CМ 107-S</t>
  </si>
  <si>
    <t>841</t>
  </si>
  <si>
    <t>2.4.2801</t>
  </si>
  <si>
    <t>инв.2061081</t>
  </si>
  <si>
    <t>ЕП43220190014</t>
  </si>
  <si>
    <t>Контрольно-кассовая машина "Меркурий"-185Ф (с фискальным накопителем)</t>
  </si>
  <si>
    <t>2.5.1590</t>
  </si>
  <si>
    <t>Домашняя аудиосистема All-in-One LG</t>
  </si>
  <si>
    <t>инв.0000102</t>
  </si>
  <si>
    <t>А-00293356/ЕП 43520190018</t>
  </si>
  <si>
    <t>854</t>
  </si>
  <si>
    <t>2.5.1591</t>
  </si>
  <si>
    <t>Стол для рисования песком</t>
  </si>
  <si>
    <t>инв.0000104</t>
  </si>
  <si>
    <t>договор на изготовление мебели</t>
  </si>
  <si>
    <t>22/ЕП3520190015</t>
  </si>
  <si>
    <t>2.4.2802</t>
  </si>
  <si>
    <t>Котел опрокидывающийся КПЭМ 60-ОР</t>
  </si>
  <si>
    <t xml:space="preserve">инв.10106988. </t>
  </si>
  <si>
    <t>ЦБ-268</t>
  </si>
  <si>
    <t>2.4.2764</t>
  </si>
  <si>
    <t>2.4.2765</t>
  </si>
  <si>
    <t>2.4.2766</t>
  </si>
  <si>
    <t>2.4.2770</t>
  </si>
  <si>
    <t>2.4.2772</t>
  </si>
  <si>
    <t>2.4.2774</t>
  </si>
  <si>
    <t>2.4.2778</t>
  </si>
  <si>
    <t>2.4.2780</t>
  </si>
  <si>
    <t>2.4.2781</t>
  </si>
  <si>
    <t>2.4.2782</t>
  </si>
  <si>
    <t>2.4.2785</t>
  </si>
  <si>
    <t>2.4.2787</t>
  </si>
  <si>
    <t>инв.3061098,а</t>
  </si>
  <si>
    <t>инв.3061032. Системный блок Сеlегоn 500 ОЗУ 64 МВ, НDD 4,3 GВ, СО RОМ, LG</t>
  </si>
  <si>
    <t>2.4.2793</t>
  </si>
  <si>
    <t>2.4.2794</t>
  </si>
  <si>
    <t>2.4.2795</t>
  </si>
  <si>
    <t>2.4.2796</t>
  </si>
  <si>
    <t>2.4.2797</t>
  </si>
  <si>
    <t>2.4.2798</t>
  </si>
  <si>
    <t>2.4.2758</t>
  </si>
  <si>
    <t>2.4.2759</t>
  </si>
  <si>
    <t>2.4.2760</t>
  </si>
  <si>
    <t>2.4.2761</t>
  </si>
  <si>
    <t>2.4.2762</t>
  </si>
  <si>
    <t>2.4.2763</t>
  </si>
  <si>
    <t>2.4.2767</t>
  </si>
  <si>
    <t>2.4.2768</t>
  </si>
  <si>
    <t>2.4.2771</t>
  </si>
  <si>
    <t>2.4.2775</t>
  </si>
  <si>
    <t>2.4.2776</t>
  </si>
  <si>
    <t>2.4.2777</t>
  </si>
  <si>
    <t>2.4.2779</t>
  </si>
  <si>
    <t>2.4.2783</t>
  </si>
  <si>
    <t>2.4.2784</t>
  </si>
  <si>
    <t>2.4.2786</t>
  </si>
  <si>
    <t>2.4.2789</t>
  </si>
  <si>
    <t>2.4.2791</t>
  </si>
  <si>
    <t>863</t>
  </si>
  <si>
    <t xml:space="preserve">Машина протирочно-резательная </t>
  </si>
  <si>
    <t>2.4.2804</t>
  </si>
  <si>
    <t>Тахограф "ШТРИХ-TaxoRUS"</t>
  </si>
  <si>
    <t>инв.19/39-001145</t>
  </si>
  <si>
    <t>94-юр</t>
  </si>
  <si>
    <t>инв.10106742,48</t>
  </si>
  <si>
    <t>инв.10106749</t>
  </si>
  <si>
    <t>инв. 11041</t>
  </si>
  <si>
    <t>2.5.1592</t>
  </si>
  <si>
    <t>Доска меловая 3х секционная</t>
  </si>
  <si>
    <t>инв.10106992-10106994</t>
  </si>
  <si>
    <t>893</t>
  </si>
  <si>
    <t>914</t>
  </si>
  <si>
    <t>2.4.2805</t>
  </si>
  <si>
    <t xml:space="preserve">Весы автомобильные подкладные ВСУ-Т 15000-1П2 </t>
  </si>
  <si>
    <t>инв.00-000159</t>
  </si>
  <si>
    <t xml:space="preserve">доовор купли-продажи запасных частей и сельскохозяйственной техники </t>
  </si>
  <si>
    <t>2.4.2803</t>
  </si>
  <si>
    <t>2.4.2806</t>
  </si>
  <si>
    <t>Проектор EPSON EB-E350</t>
  </si>
  <si>
    <t>инв.10106989-10106990</t>
  </si>
  <si>
    <t>А-00360361/2420190210</t>
  </si>
  <si>
    <t>2.4.2807</t>
  </si>
  <si>
    <t>Насос ЭЦВ 10-65-110</t>
  </si>
  <si>
    <t>инв.13601772. Зав. № 122, масса - 238 кг. ул.Северная,скв.№25, водозабор</t>
  </si>
  <si>
    <t>2.4.2808</t>
  </si>
  <si>
    <t>Прибор показывающий КП1М</t>
  </si>
  <si>
    <t>инв. Для ТЭЦ</t>
  </si>
  <si>
    <t>10/07/19-ПП</t>
  </si>
  <si>
    <t xml:space="preserve">Принтер Pantum </t>
  </si>
  <si>
    <t>917; б/н</t>
  </si>
  <si>
    <t>2.4.2809</t>
  </si>
  <si>
    <t>инв.101041012-1014. Монохромный, лазерный</t>
  </si>
  <si>
    <t>инв.1040032. Монитор,системный блок, кл-ва,мышь, ИПБ, сет.фильтр</t>
  </si>
  <si>
    <t xml:space="preserve">МБУ "СОЦ" </t>
  </si>
  <si>
    <t>2.5.1593</t>
  </si>
  <si>
    <t xml:space="preserve">Гуляевские чтения выпуск 4. Материалы девятой и десятой историко-архивных конференций. </t>
  </si>
  <si>
    <t>1123</t>
  </si>
  <si>
    <t xml:space="preserve">Цифровой копир </t>
  </si>
  <si>
    <t>2.4.2810</t>
  </si>
  <si>
    <t>Проектор Ricon RJ X2440</t>
  </si>
  <si>
    <t>А-00388780</t>
  </si>
  <si>
    <t>187.07.2019; 03.12.2019</t>
  </si>
  <si>
    <t>577; 996</t>
  </si>
  <si>
    <t>2.4.2811</t>
  </si>
  <si>
    <t>ПК DEXP Agulion</t>
  </si>
  <si>
    <t>26.11.219</t>
  </si>
  <si>
    <t>Б-00406413/ 2120190074</t>
  </si>
  <si>
    <t>Дартс</t>
  </si>
  <si>
    <t>Комбинированный тренажер</t>
  </si>
  <si>
    <t>Мяч баскетбольный</t>
  </si>
  <si>
    <t>Ракетка для настольного тенниса</t>
  </si>
  <si>
    <t>Сетка ворот для хоккея</t>
  </si>
  <si>
    <t>Сетка для пляжного волейбола</t>
  </si>
  <si>
    <t>2.5.1605</t>
  </si>
  <si>
    <t>Стол угловой дидактический</t>
  </si>
  <si>
    <t>инв.10106763</t>
  </si>
  <si>
    <t>договор на изготовление корпусной мебели</t>
  </si>
  <si>
    <t>35/2820190173</t>
  </si>
  <si>
    <t>инв.206092013. 12-2019 списан Источник бесперебойного питания АРС ВаскUPS ES 525 арт. BE525-RS- 3600 руб В комплекте: LCD-панель Samsung 21.5" S22C200B-5593 руб. Клавиатура Oklick USB "100М" (107, чёрная) арт. 100М USB-186  уб.; Манипулятор "Мышь" Genius USB "NetScroll 100"  серебристо-черный (оптика 800 dpi, 2 кн.+скролл) арт. GM-Nscr 100 USB- 123 руб.; Акустическая система Genius 2.0 SP-120, 2.6W RMS, черная арт. SP-120-330 руб. Наушники Genius HS-200C, черные, с микрофоном арт. HS-200C -148 руб.</t>
  </si>
  <si>
    <t>2.4.2812</t>
  </si>
  <si>
    <t>Мясорубка DiLi 12 ERGO</t>
  </si>
  <si>
    <t>инв.10104384. Корпус - н/ж</t>
  </si>
  <si>
    <t>ЦБ-667/2620190173</t>
  </si>
  <si>
    <t>2.5.1606</t>
  </si>
  <si>
    <t>Учебная зона</t>
  </si>
  <si>
    <t>инв.10106862.  2-х створчатый шкаф, тумба с 3-мя выдвижными ящиками и 3-мя открытыми полками, доска настенная с 3-мя полочками</t>
  </si>
  <si>
    <t>2620190165</t>
  </si>
  <si>
    <t>2.4.2813</t>
  </si>
  <si>
    <t>Мотопомпа Patriot MP3060S</t>
  </si>
  <si>
    <t>инв.19/39-001149</t>
  </si>
  <si>
    <t>1019</t>
  </si>
  <si>
    <t>1031</t>
  </si>
  <si>
    <t>1029</t>
  </si>
  <si>
    <t>Общая стоимость, руб.</t>
  </si>
  <si>
    <t>Подраздел 2.7 "Аварийный запас (материалы)"</t>
  </si>
  <si>
    <t>Дата отгрузки</t>
  </si>
  <si>
    <t>Единица измерения</t>
  </si>
  <si>
    <t>Реквизиты документа подтверждающего право владения имуществом</t>
  </si>
  <si>
    <t>Наименование имущества</t>
  </si>
  <si>
    <t>Реквизиты документа подтверждающего право владения имуществоим</t>
  </si>
  <si>
    <t>Количество</t>
  </si>
  <si>
    <t>тн</t>
  </si>
  <si>
    <t xml:space="preserve">Цена </t>
  </si>
  <si>
    <t>2.7.0006.К</t>
  </si>
  <si>
    <t>Труба 76*3,5 ГОСТ 10704-91</t>
  </si>
  <si>
    <t>2.7.0008.К</t>
  </si>
  <si>
    <t>Труба 108*4,0 ГОСТ 10704-91</t>
  </si>
  <si>
    <t>2.7.0009.К</t>
  </si>
  <si>
    <t>Труба 133*4,5 ГОСТ 10704-91</t>
  </si>
  <si>
    <t>2.7.0011.К</t>
  </si>
  <si>
    <t>Труба 273*6 ГОСТ 10705-80</t>
  </si>
  <si>
    <t>Труба 57*3,5 ГОСТ 10704-91</t>
  </si>
  <si>
    <t>2.7.0012.К</t>
  </si>
  <si>
    <t>2.7.0013.К</t>
  </si>
  <si>
    <t>Труба 426*6 ГОСТ 10705-80</t>
  </si>
  <si>
    <t>2.7.0015.К</t>
  </si>
  <si>
    <t xml:space="preserve">Труба 630*8 ГОСТ 10705-80 ст.20 </t>
  </si>
  <si>
    <t>2.7.0016.К</t>
  </si>
  <si>
    <t xml:space="preserve">Труба 32*4 ГОСТ 8734-75 </t>
  </si>
  <si>
    <t>2.7.0017.К</t>
  </si>
  <si>
    <t xml:space="preserve">Труба 38*4ГОСТ 8734-75
</t>
  </si>
  <si>
    <t xml:space="preserve">Труба 108*6,0 ГОСТ 8732-78 В20, 
ГОСТ 8731-74
</t>
  </si>
  <si>
    <t>2.7.0021.К</t>
  </si>
  <si>
    <t>2.5.1594</t>
  </si>
  <si>
    <t>2.5.1595</t>
  </si>
  <si>
    <t>2.5.1596</t>
  </si>
  <si>
    <t>2.5.1598</t>
  </si>
  <si>
    <t>2.5.1599</t>
  </si>
  <si>
    <t>2.5.1601</t>
  </si>
  <si>
    <t>2.5.1603</t>
  </si>
  <si>
    <t>2.5.1607</t>
  </si>
  <si>
    <t>Детская учебная зона "Уголок природы"</t>
  </si>
  <si>
    <t>инв.10106764</t>
  </si>
  <si>
    <t>контракт на поставку детской мебели</t>
  </si>
  <si>
    <t>2820190181</t>
  </si>
  <si>
    <t>2.4.2814</t>
  </si>
  <si>
    <t xml:space="preserve">Пианино модель 2 (марка "Михаил Глинка") </t>
  </si>
  <si>
    <t>распоряжение (край); акт о приеме-передаче объектов нефинансовых  автивов (край)</t>
  </si>
  <si>
    <t>27.11.2019; 02.12.2019</t>
  </si>
  <si>
    <t>1630; 0000-000059</t>
  </si>
  <si>
    <t>Подраздел 2.6 "Резервный запас (уголь, мазут)"</t>
  </si>
  <si>
    <t>Уголь каменный марки СС</t>
  </si>
  <si>
    <t>1060</t>
  </si>
  <si>
    <t>2.4.2815</t>
  </si>
  <si>
    <t>2.4.2816</t>
  </si>
  <si>
    <t>Системный блок MidiTower Foxline 301 450W black</t>
  </si>
  <si>
    <t>инв.ВА00000060081</t>
  </si>
  <si>
    <t>2199/ЕП40620190057</t>
  </si>
  <si>
    <t>Сплит-система Roal Clima RC-VR24HM</t>
  </si>
  <si>
    <t>инв.10104384</t>
  </si>
  <si>
    <t xml:space="preserve">договор на поставку оборудования </t>
  </si>
  <si>
    <t>78/22201902139</t>
  </si>
  <si>
    <t>2.4.2817</t>
  </si>
  <si>
    <t>Персональный компьютер в сборе IntelPentium Gold G5400</t>
  </si>
  <si>
    <t>инв.110134000009. Процессор IntelPentium Gold G5400, память DIMM, материанская плата, жесткий диск, монитор 21,5 АОС черный</t>
  </si>
  <si>
    <t>ЕП4-0120190215</t>
  </si>
  <si>
    <t>Опоры со светодиодными светильниками для уличного освещения</t>
  </si>
  <si>
    <t>ЭА-0120190187</t>
  </si>
  <si>
    <t>2.5.1608.К</t>
  </si>
  <si>
    <t>Контейнеры для сбора и хранения твердых бытовых отходов на колесах без крышки</t>
  </si>
  <si>
    <t>ЭА-0120190188</t>
  </si>
  <si>
    <t>2.4.2451.К</t>
  </si>
  <si>
    <t>2.4.2819.К</t>
  </si>
  <si>
    <t>муниципальный контракт на выполнение работ</t>
  </si>
  <si>
    <t>ЭА-0120190108</t>
  </si>
  <si>
    <t>инв.110134000008</t>
  </si>
  <si>
    <t>шт.</t>
  </si>
  <si>
    <t>2.4.2820</t>
  </si>
  <si>
    <t>2.4.2821</t>
  </si>
  <si>
    <t>2.4.2822</t>
  </si>
  <si>
    <t>2.4.2823</t>
  </si>
  <si>
    <t>2.4.2824</t>
  </si>
  <si>
    <t>2.4.2825</t>
  </si>
  <si>
    <t xml:space="preserve">Ноутбук 15,6``HD </t>
  </si>
  <si>
    <t>инв.110134000034. HP15bs186ur black(Pen4417U4Gb/128Gb SSD/noDVD/VGAint/DOS(3RQ42E</t>
  </si>
  <si>
    <t>Е114-0120190229</t>
  </si>
  <si>
    <t>МФУ лазерное RicohSP 33SN</t>
  </si>
  <si>
    <t>инв.110134000033. Копир/принтер/сканер</t>
  </si>
  <si>
    <t>2.5.1609</t>
  </si>
  <si>
    <t xml:space="preserve">Телевизор LED LG 43`` </t>
  </si>
  <si>
    <t>инв.110134000032. 43LJ510Vчерный/FULL HD/50Hz/DVB-C/DVB-S2/USB(RUS)</t>
  </si>
  <si>
    <t xml:space="preserve">Спикерфон Logitech черный </t>
  </si>
  <si>
    <t>инв.110134000031</t>
  </si>
  <si>
    <t>инв. 110134000036. Систем.блок AMD Ryzen 3 2200G. 8 Gb RAM, монитор LG 22MK400A</t>
  </si>
  <si>
    <t>ЭА-0120190186</t>
  </si>
  <si>
    <t>2.5.1610</t>
  </si>
  <si>
    <t>2.5.1611</t>
  </si>
  <si>
    <t>инв.110136000029. 1800*1800*750+стол-приставка 1100*700*750 мм</t>
  </si>
  <si>
    <t>Стол компьютерный с приставкой</t>
  </si>
  <si>
    <t>инв.110136000028. 2000*1500*750мм</t>
  </si>
  <si>
    <t>МК ЕП4-0120190232</t>
  </si>
  <si>
    <t>кг</t>
  </si>
  <si>
    <t xml:space="preserve">ЕП9-0120190228 </t>
  </si>
  <si>
    <t>2.7.0029.К</t>
  </si>
  <si>
    <t>Набивка сальниковая АПР 13 мм</t>
  </si>
  <si>
    <t>2.7.0036.К</t>
  </si>
  <si>
    <t>Рубероид РКП-350 1*15(м)</t>
  </si>
  <si>
    <t>рул.</t>
  </si>
  <si>
    <t xml:space="preserve">ЕП9-0120190219 </t>
  </si>
  <si>
    <t>ЕП9-0120190210</t>
  </si>
  <si>
    <t>2.7.0049.К</t>
  </si>
  <si>
    <t>Клапан 1054-40-0 Ду40 РуЗ73</t>
  </si>
  <si>
    <t>2.7.0050.К</t>
  </si>
  <si>
    <t>Клапан 1055-32-0 Ду32 Ру250</t>
  </si>
  <si>
    <t>2.7.0066.К</t>
  </si>
  <si>
    <t>2.7.0067.К</t>
  </si>
  <si>
    <t>куб.м</t>
  </si>
  <si>
    <t>2.5.0758</t>
  </si>
  <si>
    <t>кол-во</t>
  </si>
  <si>
    <t>сумма</t>
  </si>
  <si>
    <t>Реквизиты документа, подтверждающего фактическое списание</t>
  </si>
  <si>
    <t>2.4.2826</t>
  </si>
  <si>
    <t>Процессор ПХ DEXP Atlas H178 Core</t>
  </si>
  <si>
    <t>инв.00011</t>
  </si>
  <si>
    <t>Б-00457875 /ЕП43520190039</t>
  </si>
  <si>
    <t>2.4.2827</t>
  </si>
  <si>
    <t>2.2.0158</t>
  </si>
  <si>
    <t>ГАЗ 32213</t>
  </si>
  <si>
    <t>1803</t>
  </si>
  <si>
    <t xml:space="preserve">*40630А*33065642 </t>
  </si>
  <si>
    <t>Автобус,  гос.номер  С 453 КМ 22</t>
  </si>
  <si>
    <t>2.7.0070.К</t>
  </si>
  <si>
    <t>2.7.0072.К</t>
  </si>
  <si>
    <t>2.7.0073.К</t>
  </si>
  <si>
    <t>2.7.0075.К</t>
  </si>
  <si>
    <t>2.7.0077.К</t>
  </si>
  <si>
    <t>Уголь СС</t>
  </si>
  <si>
    <t>ЕП9-0120190231</t>
  </si>
  <si>
    <t>Подшипник 204</t>
  </si>
  <si>
    <t>Подшипник 8110</t>
  </si>
  <si>
    <t>Подшипник 53620</t>
  </si>
  <si>
    <t>Подшипник 8112</t>
  </si>
  <si>
    <t>Подшипник 8215</t>
  </si>
  <si>
    <t>Концентратомер нефтепродуктов КН-3 ИШВЖ.011 комплект 2</t>
  </si>
  <si>
    <t>инв.13601776. Зав.номер - 499. Мощность - 12 Вт. Масса 3 кг. Корпус 251, БОС</t>
  </si>
  <si>
    <t>Мат М1-10 2000*1000*50 (0,1 куб.м) (ГОСТ 21880-2011)</t>
  </si>
  <si>
    <t>2.4.2828</t>
  </si>
  <si>
    <t>2020</t>
  </si>
  <si>
    <t>Машина снегоуборочная  СМБ Техпром</t>
  </si>
  <si>
    <t>2.4.2829</t>
  </si>
  <si>
    <t>Процессор Intel Pentium G540</t>
  </si>
  <si>
    <t>договор на поставку товара и оказание услуг</t>
  </si>
  <si>
    <t>125/ ЕП46120200014</t>
  </si>
  <si>
    <t>инв.3120239-3120242, 3120243, 3120120245, 3120246; 3120247-3120250</t>
  </si>
  <si>
    <t>2.4.2830</t>
  </si>
  <si>
    <t>2.4.2831</t>
  </si>
  <si>
    <t>ПК Lenovo 510S-071CB</t>
  </si>
  <si>
    <t>Б-00050652</t>
  </si>
  <si>
    <t>Ноутбук 15,6 Lenovo IdeaPad S145-15AST</t>
  </si>
  <si>
    <t>2.4.2832</t>
  </si>
  <si>
    <t>Проектор Aser X1123H</t>
  </si>
  <si>
    <t>Б-00040989/ 2120200012</t>
  </si>
  <si>
    <t>инв.101041034</t>
  </si>
  <si>
    <t>инв.101041035. Черный</t>
  </si>
  <si>
    <t>инв.10104215</t>
  </si>
  <si>
    <t>инв.10104385.196 см. Т6,5/570/6,5л</t>
  </si>
  <si>
    <t>Глобус Луны</t>
  </si>
  <si>
    <t>Телескоп Levenhuk Skyline PRO MAK</t>
  </si>
  <si>
    <t>Подвижная карта звездного неба</t>
  </si>
  <si>
    <t>Комплект методических материалов "Космос"</t>
  </si>
  <si>
    <t>2.2.0152</t>
  </si>
  <si>
    <t>Глобус Марса</t>
  </si>
  <si>
    <t>ЕП9-0120190200</t>
  </si>
  <si>
    <t>Дата получения</t>
  </si>
  <si>
    <t xml:space="preserve">перечень основных средств поступивших в МДОУ-д/с № 29 </t>
  </si>
  <si>
    <t>14.05.209</t>
  </si>
  <si>
    <t>Машина швейная BROTHER X-5</t>
  </si>
  <si>
    <t>перечень основных средств приобретенных</t>
  </si>
  <si>
    <t>935</t>
  </si>
  <si>
    <t>пречень основных средств приобретенных</t>
  </si>
  <si>
    <t>перечень основных средств</t>
  </si>
  <si>
    <t xml:space="preserve">перечень основных средств </t>
  </si>
  <si>
    <t>828</t>
  </si>
  <si>
    <t>ведомость по основным средствам</t>
  </si>
  <si>
    <t>31.03.2009</t>
  </si>
  <si>
    <t>Кондиционер CHIGO KFR 25GW</t>
  </si>
  <si>
    <t>22.09.2008</t>
  </si>
  <si>
    <t>инв.10104380</t>
  </si>
  <si>
    <t>26.12.2008</t>
  </si>
  <si>
    <t>31.01.2005</t>
  </si>
  <si>
    <t>31.08.2005</t>
  </si>
  <si>
    <t>30.06.2008</t>
  </si>
  <si>
    <t>31.05.2004</t>
  </si>
  <si>
    <t>31.12.2006</t>
  </si>
  <si>
    <t>31.07.2005</t>
  </si>
  <si>
    <t>30.11.2001</t>
  </si>
  <si>
    <t>31.12.1996</t>
  </si>
  <si>
    <t>28.02.2001</t>
  </si>
  <si>
    <t>31.12.1999</t>
  </si>
  <si>
    <t>11.09.2007</t>
  </si>
  <si>
    <t>31.12.2001</t>
  </si>
  <si>
    <t>31.01.2004</t>
  </si>
  <si>
    <t>30.04.2005</t>
  </si>
  <si>
    <t>30.11.2005</t>
  </si>
  <si>
    <t>31.12.2004</t>
  </si>
  <si>
    <t>31.08.2007</t>
  </si>
  <si>
    <t>перечень приобретенных основных средств</t>
  </si>
  <si>
    <t>357</t>
  </si>
  <si>
    <t>приобретение основных средств</t>
  </si>
  <si>
    <t>перечнь основных средств</t>
  </si>
  <si>
    <t>2.4.2833</t>
  </si>
  <si>
    <t>2.4.2834</t>
  </si>
  <si>
    <t>2.4.2835</t>
  </si>
  <si>
    <t>2.4.2836</t>
  </si>
  <si>
    <t>2.4.2837</t>
  </si>
  <si>
    <t>2.4.2838</t>
  </si>
  <si>
    <t>2.4.2839</t>
  </si>
  <si>
    <t>инв.10104385</t>
  </si>
  <si>
    <t>Системный блок ПК Aser Aspire XC</t>
  </si>
  <si>
    <t>Б-00045171/ 2620200020</t>
  </si>
  <si>
    <t>Морозильный ларь DEXP CF-D  380</t>
  </si>
  <si>
    <t>2.4.2840</t>
  </si>
  <si>
    <t>Уровнемер радиоволновый УЛМ-11А1</t>
  </si>
  <si>
    <t>2.4.2841</t>
  </si>
  <si>
    <t>Процессор Intel Original Сeleron</t>
  </si>
  <si>
    <t>инв.ВА000000060095</t>
  </si>
  <si>
    <t>352/ ЕП40620200021</t>
  </si>
  <si>
    <t>пкречень основных средств приобретенных</t>
  </si>
  <si>
    <t>перечень поступивших основных средств</t>
  </si>
  <si>
    <t xml:space="preserve">перечень основных средств приобретенных </t>
  </si>
  <si>
    <t>перечент поступивших основных средств</t>
  </si>
  <si>
    <t>край (безвозмездное поступление)</t>
  </si>
  <si>
    <t>инв.10104143,44</t>
  </si>
  <si>
    <t>инв.13061780. Мощность - 700 Вт, масса - 8 кг.</t>
  </si>
  <si>
    <t>2.4.2842</t>
  </si>
  <si>
    <t>Высоконапорный водоструйный аппарат ВНА-210-10Б, Е3-210-10-Reel 1, АВД ПОСЕЙДОН</t>
  </si>
  <si>
    <t xml:space="preserve">инв.13601783. ТЭЦ. Зав.номер-6977, вес-55 кг. Мощность 3,7 кВт. </t>
  </si>
  <si>
    <t>2.4.2843</t>
  </si>
  <si>
    <t>Датчик разности давлений ЭнИ-100-ДД-2430-02-МПЗ/ЖК-t1-050</t>
  </si>
  <si>
    <t>инв.13601782. Зав.номер-0006621. Масса-5,6 кг.</t>
  </si>
  <si>
    <t>31/01/20-ЖИ</t>
  </si>
  <si>
    <t>01.012.2009</t>
  </si>
  <si>
    <t>акт (край)</t>
  </si>
  <si>
    <t>569</t>
  </si>
  <si>
    <t>12.2009</t>
  </si>
  <si>
    <t>инв.10104585. В комплекте: МФУ лазерное, мультимедиа проектор с экраном, ноутбук, 2 колонки</t>
  </si>
  <si>
    <t>1090</t>
  </si>
  <si>
    <t>1975</t>
  </si>
  <si>
    <t>1460</t>
  </si>
  <si>
    <t xml:space="preserve">цел.программа край </t>
  </si>
  <si>
    <t>1075</t>
  </si>
  <si>
    <t>Перфоратор "BOSCH"</t>
  </si>
  <si>
    <t>Фрезер</t>
  </si>
  <si>
    <t>1272</t>
  </si>
  <si>
    <t>Посудомоечная машина МПУ-1400</t>
  </si>
  <si>
    <t>Графопроектор BRAUN PHOTO</t>
  </si>
  <si>
    <t>Стол компьютерный СК-1</t>
  </si>
  <si>
    <t xml:space="preserve">Холодильник "Бирюса"  </t>
  </si>
  <si>
    <t>Трансформатор универсальный Тру (для каб.физики)</t>
  </si>
  <si>
    <t xml:space="preserve">перечень приобретенных основных средств </t>
  </si>
  <si>
    <t>1273</t>
  </si>
  <si>
    <t>Доска интерактивная  SMART Board</t>
  </si>
  <si>
    <t>Проектор ASER P 1165</t>
  </si>
  <si>
    <t>30.04.2006</t>
  </si>
  <si>
    <t xml:space="preserve">Ноутбук ACER </t>
  </si>
  <si>
    <t>Весы технич. с разновесами</t>
  </si>
  <si>
    <t>целевая программа  (край)</t>
  </si>
  <si>
    <t>Холодильник Памир</t>
  </si>
  <si>
    <t>Холодильник Свияга 410с</t>
  </si>
  <si>
    <t>2.5.1612</t>
  </si>
  <si>
    <t>Ксеноновая лампа OSRAM XBO 220W/DHP OFR</t>
  </si>
  <si>
    <t>инв.ВА000000060086</t>
  </si>
  <si>
    <t>25/20/ЕП33202000030</t>
  </si>
  <si>
    <t>Принтер Pantum</t>
  </si>
  <si>
    <t>2.4.2845</t>
  </si>
  <si>
    <t>Морозильный ларь DEXP CF-M 260HA/W</t>
  </si>
  <si>
    <t>инв., размер 260л/96см*85см*70,5см)</t>
  </si>
  <si>
    <t>А-00096365/2920200040</t>
  </si>
  <si>
    <t>2.4.2846</t>
  </si>
  <si>
    <t>Системный блок Intel Core</t>
  </si>
  <si>
    <t>инв.2.101.34.00150</t>
  </si>
  <si>
    <t>2019.45</t>
  </si>
  <si>
    <t>2.4.2847</t>
  </si>
  <si>
    <t>2.4.2848</t>
  </si>
  <si>
    <t>2.4.2849</t>
  </si>
  <si>
    <t>2.4.2851</t>
  </si>
  <si>
    <t>2.4.2852</t>
  </si>
  <si>
    <t>2.4.2853</t>
  </si>
  <si>
    <t>2.4.2854</t>
  </si>
  <si>
    <t xml:space="preserve">Контролер регистрации, регулирования и защиты БАЗИС-14.Р-32Д-5-220-М-Ф </t>
  </si>
  <si>
    <t>инв.13601800. Зав.номер-479. Масса- 2,0кг.  На ТЭЦ</t>
  </si>
  <si>
    <t>05/03/20-БАЗ</t>
  </si>
  <si>
    <t>Инвертор ARC-205В (Z203) 220B НАКС</t>
  </si>
  <si>
    <t>инв.19/37001054. ТЭЦ</t>
  </si>
  <si>
    <t>18/03-1</t>
  </si>
  <si>
    <t>инв.13601801. Зав.номер - 2386. Масса -35,0 кг.</t>
  </si>
  <si>
    <t>Автомат охлажденной газированной воды "Атлантика" А-2 СО2</t>
  </si>
  <si>
    <t>13/03/20-ГВ</t>
  </si>
  <si>
    <t>2.4.2844</t>
  </si>
  <si>
    <t>2.4.2850.К</t>
  </si>
  <si>
    <t>Светильник светодиодный PSL 03 50 Вт IP65</t>
  </si>
  <si>
    <t>Регистратор VR-776</t>
  </si>
  <si>
    <t>Регистратор VR-777</t>
  </si>
  <si>
    <t>дата выпуска -01.12.2007</t>
  </si>
  <si>
    <t>дата ввода в экспл. - 25.10.2010. В комплект входит: в/камера - 7 шт., в/регистратор - 1 шт., в/монитор - 2 шт., кабель ККСВ - 410 м)</t>
  </si>
  <si>
    <t>02.03.2020; 02.03.2020</t>
  </si>
  <si>
    <t>90; 4</t>
  </si>
  <si>
    <t>90; 5</t>
  </si>
  <si>
    <t>90; 6</t>
  </si>
  <si>
    <t>2.4.2855</t>
  </si>
  <si>
    <t>2.4.2856</t>
  </si>
  <si>
    <t>Системный блок с встроенными платами в/зах. на 24 камеры</t>
  </si>
  <si>
    <t>дата выпуска -15.09.2011</t>
  </si>
  <si>
    <t>90; 7</t>
  </si>
  <si>
    <t>Видеокамера PX 2211-01</t>
  </si>
  <si>
    <t>дата выпуска - 31.12.2010</t>
  </si>
  <si>
    <t>90; 00000001</t>
  </si>
  <si>
    <t>Видеокамера уличная АВР-771</t>
  </si>
  <si>
    <t>2.4.2857</t>
  </si>
  <si>
    <t>90; 00000002</t>
  </si>
  <si>
    <t>2.4.2858</t>
  </si>
  <si>
    <t>Видеокамера цилиндрическая цветная</t>
  </si>
  <si>
    <t>Видеокамера модульная цветная</t>
  </si>
  <si>
    <t>Машина стиральная Imesa RS 11</t>
  </si>
  <si>
    <t>12/2020/81/ЕП4-012000095</t>
  </si>
  <si>
    <t>Офсетная спутниковая антенна Супрал 1,2м</t>
  </si>
  <si>
    <t>с креплением на стену</t>
  </si>
  <si>
    <t>10.03.2020; 20.05.2020</t>
  </si>
  <si>
    <t>302; б/н</t>
  </si>
  <si>
    <t>Профессиональный рессивер DCH-3100P-10S2 PBI (MPEG-2/H,264 SD/HD)</t>
  </si>
  <si>
    <t>постановление; договор безвозмездного пользования</t>
  </si>
  <si>
    <t>733; 3</t>
  </si>
  <si>
    <t>13.11.2009; 20.01.2020</t>
  </si>
  <si>
    <t xml:space="preserve">9 пожарно-спасательный отряд ФПС ГПС Главного управления Министрерства РФ по делам ГО и ЧС </t>
  </si>
  <si>
    <t>2.4.2861.К</t>
  </si>
  <si>
    <t>2.4.2862.К</t>
  </si>
  <si>
    <t xml:space="preserve">муниципалдьный контракт </t>
  </si>
  <si>
    <t>ЭА-0120200087</t>
  </si>
  <si>
    <t>инв.110134000044. ул.Мира возле шк.19 (северное направление). Стойка консольная светофорная -6,5м, закладная из стальной трубы-2м, светофор дорожный светодиодный Т.7-1 шт, шкаф с контроллером - 1шт., аккумуляторная батарея 40А*ч - 1шт, панель солнечная - 1шт.</t>
  </si>
  <si>
    <t>инв.110134000045. ул.Мира возле шк.19 (северное направление). Стойка консольная светофорная -6,5м, закладная из стальной трубы-2м, светофор дорожный светодиодный Т.7-1 шт, шкаф с контроллером - 1шт., аккумуляторная батарея 40А*ч - 1шт, панель солнечная - 1шт.</t>
  </si>
  <si>
    <t>2.4.2863</t>
  </si>
  <si>
    <t>2.4.2864</t>
  </si>
  <si>
    <t>Спутниковый приемник RX 8310/ BAS MPEG-4</t>
  </si>
  <si>
    <t>акт об итогах выборочной инвентаризации имущества</t>
  </si>
  <si>
    <t>Антенна передающая</t>
  </si>
  <si>
    <t>2.4.2865</t>
  </si>
  <si>
    <t>2.4.2866</t>
  </si>
  <si>
    <t>2.4.2867</t>
  </si>
  <si>
    <t>2.4.2868</t>
  </si>
  <si>
    <t>2.4.2869</t>
  </si>
  <si>
    <t>2.4.2870</t>
  </si>
  <si>
    <t>2.4.2871</t>
  </si>
  <si>
    <t>2.4.2872</t>
  </si>
  <si>
    <t>Устройство автоматического оповещения по каналам связи и сетям передачи данных с возможностью SMS-рассылки сообщений по сети операторов сотовой связи и записью телефонных и радиопереговоров "PVR-4 USB" (Mix, 4 канала)</t>
  </si>
  <si>
    <t>24.12.2019</t>
  </si>
  <si>
    <t>Сетевой накопитель NAS Qnap Original D2 2-bay 4TB (2*2Tb</t>
  </si>
  <si>
    <t xml:space="preserve">Веб-камера Logitech C270 </t>
  </si>
  <si>
    <t>1280х720, микрофон USB 2,0, черный</t>
  </si>
  <si>
    <t xml:space="preserve">Монитор Philips LED </t>
  </si>
  <si>
    <t>черный 1920*1080</t>
  </si>
  <si>
    <t>Клавиатура проводная Гарнизон</t>
  </si>
  <si>
    <t>Мышь компьютерная проводная Гарнизон</t>
  </si>
  <si>
    <t>2.4.2873</t>
  </si>
  <si>
    <t>Программное обеспечение VIPNET Client 4 x (КС3)</t>
  </si>
  <si>
    <t>Сертификат активации сервиса прямой технической поддержки ПО VIPNET Client 4 x (КС3)</t>
  </si>
  <si>
    <t>Системный блок AMD Ryzen 5</t>
  </si>
  <si>
    <t>2.4.2874</t>
  </si>
  <si>
    <t>2.4.2875</t>
  </si>
  <si>
    <t>30.05.2020</t>
  </si>
  <si>
    <t>инв.1101340000042. Системный блок AMD Ryzen 3200G, клавиатура, мышь, без монитора</t>
  </si>
  <si>
    <t>А-00157205/ ЕП-0120200105</t>
  </si>
  <si>
    <t xml:space="preserve">ИБП АРС Easy-USB </t>
  </si>
  <si>
    <t>01.06.2020</t>
  </si>
  <si>
    <t>110134000046-47</t>
  </si>
  <si>
    <t xml:space="preserve"> ЕП-0120200109</t>
  </si>
  <si>
    <t>2920180083; 2920190102;  2920200039</t>
  </si>
  <si>
    <t>27.06.2018; 06.06.2019;19.03.2020</t>
  </si>
  <si>
    <t>2.5.1613</t>
  </si>
  <si>
    <t>2.5.1614</t>
  </si>
  <si>
    <t>Табличка учреждения (тактильная)</t>
  </si>
  <si>
    <t>инв.10106989. Размер 40*60 см, пластиковые с шрифтом Брайля</t>
  </si>
  <si>
    <t>05.2020</t>
  </si>
  <si>
    <t>Табличка "Схема помещения" (тактильная)</t>
  </si>
  <si>
    <t>инв.10106990. Размер 40*60 см, пластиковые с шрифтом Брайля</t>
  </si>
  <si>
    <t>2.4.2876</t>
  </si>
  <si>
    <t>Холодильный шкаф СМ-107S</t>
  </si>
  <si>
    <t>31.03.2020; 12.05.2020</t>
  </si>
  <si>
    <t>423; 963</t>
  </si>
  <si>
    <t>2.4.2877</t>
  </si>
  <si>
    <t>12.05.2020</t>
  </si>
  <si>
    <t>13.05.2020</t>
  </si>
  <si>
    <t>25.03.2020; 13.05.2020</t>
  </si>
  <si>
    <t>372, 159</t>
  </si>
  <si>
    <t>2.4.2878</t>
  </si>
  <si>
    <t>2.4.2879</t>
  </si>
  <si>
    <t>2.4.2880</t>
  </si>
  <si>
    <t>2.4.2881</t>
  </si>
  <si>
    <t>Мобильная система хранения, транспортировки и обеспечения питанием мобильных программно-аппаратных систем</t>
  </si>
  <si>
    <t>18.05.2020</t>
  </si>
  <si>
    <t>21.02.2020; 13.05.2020</t>
  </si>
  <si>
    <t>202; 385</t>
  </si>
  <si>
    <t>Модуль организации учебной локально-вычислительной сети</t>
  </si>
  <si>
    <t>Учебный вычислительный комплект организации и контролирования занятий для развития речи аудиовизуальным методом</t>
  </si>
  <si>
    <t>инв.10104390</t>
  </si>
  <si>
    <t>2.4.2859</t>
  </si>
  <si>
    <t>2.4.2860</t>
  </si>
  <si>
    <t>инв.10104375-10104389</t>
  </si>
  <si>
    <t>2.4.2882</t>
  </si>
  <si>
    <t>2.4.2883</t>
  </si>
  <si>
    <t>2.4.2884</t>
  </si>
  <si>
    <t>2.4.2885</t>
  </si>
  <si>
    <t>2.4.2886</t>
  </si>
  <si>
    <t>2.4.2887</t>
  </si>
  <si>
    <t>2.4.2888</t>
  </si>
  <si>
    <t>2.4.2889</t>
  </si>
  <si>
    <t>2.4.2890</t>
  </si>
  <si>
    <t>2.4.2891</t>
  </si>
  <si>
    <t>2.4.2892</t>
  </si>
  <si>
    <t>2.4.2893</t>
  </si>
  <si>
    <t>2.4.2894</t>
  </si>
  <si>
    <t>2.4.2895</t>
  </si>
  <si>
    <t>2.4.2896</t>
  </si>
  <si>
    <t>2.4.2897</t>
  </si>
  <si>
    <t>Двигатель электрический (резерв) ДА304-450Х (б/у)</t>
  </si>
  <si>
    <t>1984</t>
  </si>
  <si>
    <t>отчет об оценке</t>
  </si>
  <si>
    <t>0295</t>
  </si>
  <si>
    <t>Двигатель электрический (резерв) ДА 13-55-8  (б/у)</t>
  </si>
  <si>
    <t>инв.13601785. ТЭЦ.  Зав.№ 9190, 400 кВт, 740 об/мин</t>
  </si>
  <si>
    <t>инв.13601786. ТЭЦ.  Зав.№ 14830, 400 кВт, 740 об/мин</t>
  </si>
  <si>
    <t>Двигатель электрический (резерв) 4АМ250 (б/у)</t>
  </si>
  <si>
    <t>Статор эл.двигателя АЗМ1 (резерв) б/у</t>
  </si>
  <si>
    <t>инв.13601794. ТЭЦ.  Зав.№ б/н, 500 кВт, 3000 об/мин</t>
  </si>
  <si>
    <t>инв.19/370057. ТЭЦ.  Зав.№ б/н, 75 кВт, 1500 об/мин</t>
  </si>
  <si>
    <t>инв.19/370058. ТЭЦ.  Зав.№ б/н, 15 кВт, 3000 об/мин</t>
  </si>
  <si>
    <t>инв.19/370059. ТЭЦ.  Зав.№ 1157, 15 кВт, 3000 об/мин</t>
  </si>
  <si>
    <t>инв.19/370060. ТЭЦ.  Зав.№ 100802189, 75 кВт, 1500 об/мин</t>
  </si>
  <si>
    <t>инв.19/370061. ТЭЦ.  Зав.№ б/н, 75 кВт, 1500 об/мин</t>
  </si>
  <si>
    <t>инв.19/370062. ТЭЦ.  Зав.№ б/н, 75 кВт, 1500 об/мин</t>
  </si>
  <si>
    <t xml:space="preserve">инв.13601793. ТЭЦ.  Зав.№ 874, 500/6000 </t>
  </si>
  <si>
    <t>инв.13601795. ТЭЦ.  Зав.№ б/н, 500/6000</t>
  </si>
  <si>
    <t>Двигатель электрический конденсатного бойлеров № 1, А160 б/у</t>
  </si>
  <si>
    <t>Двигатель электрический конденсатного бойлеров № 2, А160 б/у</t>
  </si>
  <si>
    <t>Двигатель электрический подпиточного № 1, АИР250 б/у</t>
  </si>
  <si>
    <t>Двигатель электрический подпиточного № 3, АИР250 б/у</t>
  </si>
  <si>
    <t>Двигатель электрический подпиточного № 2, АИР250 б/у</t>
  </si>
  <si>
    <t>Двигатель электрический питательного насоса (резерв), 4АЗМ б/у</t>
  </si>
  <si>
    <t>Статор питательного насоса (резерв) 4АЗМ б/у</t>
  </si>
  <si>
    <t>Двигатель электрический (резерв) ДАЗО 13-42-10  (б/у)</t>
  </si>
  <si>
    <t>инв.13601787. ТЭЦ.  Зав.№ 12083, 400/740</t>
  </si>
  <si>
    <t>Двигатель электрический (резерв) ДАЗО 13-55-8  (б/у)</t>
  </si>
  <si>
    <t>Статор генератора Е2-12-2 (резерв), б/у</t>
  </si>
  <si>
    <t>инв.13601790. ТЭЦ.  Зав.№ 13095, 450/590</t>
  </si>
  <si>
    <t>инв.13601796. ТЭЦ.  Зав.№ б/н</t>
  </si>
  <si>
    <t>Ротор генаратора Т2-12-2 (резерв в неисправном состоянии) б/у</t>
  </si>
  <si>
    <t>инв.13601799. ТЭЦ.  Зав.№ б/н</t>
  </si>
  <si>
    <t>Двигатель электрический  ДВ ПК 12 (резерв) б/у</t>
  </si>
  <si>
    <t>2.4.2898</t>
  </si>
  <si>
    <t>2.4.2899</t>
  </si>
  <si>
    <t>2.4.2900</t>
  </si>
  <si>
    <t>2.4.2902</t>
  </si>
  <si>
    <t>2.4.2903</t>
  </si>
  <si>
    <t>2.4.2904</t>
  </si>
  <si>
    <t>2.4.2905</t>
  </si>
  <si>
    <t>2.4.2906</t>
  </si>
  <si>
    <t>2.4.2907</t>
  </si>
  <si>
    <t>2.4.2908</t>
  </si>
  <si>
    <t>Двигатель электрический  ДВ (резерв) б/у, А3</t>
  </si>
  <si>
    <t>инв.13601791. ТЭЦ.  Зав.№ б/н, 250 кВт, 6000 В, 740 об/мин</t>
  </si>
  <si>
    <t>инв.13601792. ТЭЦ.  Зав.№ б/н, 125 кВт, 740 об/мин</t>
  </si>
  <si>
    <t>инв.19/370063. ТЭЦ. Труба d108*6 -  100п/м, сталь 10</t>
  </si>
  <si>
    <t>инв.13601788. ТЭЦ. Объем - 350 куб.м</t>
  </si>
  <si>
    <t>Ходовая дутьевого вентилятора ПК № 6 (ДВ 18) б/у</t>
  </si>
  <si>
    <t>Мазутопровод б/у</t>
  </si>
  <si>
    <t>Мазутный бак № 5 б/у</t>
  </si>
  <si>
    <t>Ходовая мельничного вентилятора ПК ВМ 50/1000 б/у</t>
  </si>
  <si>
    <t>инв.13601797. ТЭЦ</t>
  </si>
  <si>
    <t xml:space="preserve">инв.13601798. ТЭЦ. </t>
  </si>
  <si>
    <t>Кондуктометр Агат-2 (ЭКАТ-2)</t>
  </si>
  <si>
    <t xml:space="preserve">инв.13601803. ТЭЦ, зав.номер -584 </t>
  </si>
  <si>
    <t>14/02-А</t>
  </si>
  <si>
    <t xml:space="preserve">Насос АХ 3/15 Е-СД </t>
  </si>
  <si>
    <t>инв.136001802. ТЭЦ, зав.№ 178, двигатель АИР90L2  У2 IM1081 3/3000 230/380</t>
  </si>
  <si>
    <t>04/03/20-АХ</t>
  </si>
  <si>
    <t xml:space="preserve">Источник бесперебойного питания Ippon Smart Winner 2000 </t>
  </si>
  <si>
    <t>инв. 19-0641688</t>
  </si>
  <si>
    <t>2020/05-15</t>
  </si>
  <si>
    <t>Сплит-система Royal clima Gloria RC</t>
  </si>
  <si>
    <t>инв. 19/37001060</t>
  </si>
  <si>
    <t>20/05/20</t>
  </si>
  <si>
    <t>Учебный вычислительный комплект для персонального развития речи аудиовизуальным методом</t>
  </si>
  <si>
    <t>Клапан запорный 1с-8-2 Ду80 Ру100</t>
  </si>
  <si>
    <t>инв.ВА000000060096</t>
  </si>
  <si>
    <t>842/ЕП406202000035</t>
  </si>
  <si>
    <t>МФУ Ricoh SP 330SN  (копир/принтер/сканер)</t>
  </si>
  <si>
    <t>2.4.2909</t>
  </si>
  <si>
    <t>инв.3120321. Комплектация по акту</t>
  </si>
  <si>
    <t>01/01/20/ЕП43120200042</t>
  </si>
  <si>
    <t>2.4.2910</t>
  </si>
  <si>
    <t>инв.13601804. Зав.№ 502. ТЭЦ</t>
  </si>
  <si>
    <t>23/03/20-БАЗ</t>
  </si>
  <si>
    <t>2.4.2911</t>
  </si>
  <si>
    <t>инв.13601784</t>
  </si>
  <si>
    <t>2020/03-12</t>
  </si>
  <si>
    <t>Принтер лазерный HP LaserJet Enterprise</t>
  </si>
  <si>
    <t>2.5.1615</t>
  </si>
  <si>
    <t>2.5.1616</t>
  </si>
  <si>
    <t>2.5.1617</t>
  </si>
  <si>
    <t>2.5.1618</t>
  </si>
  <si>
    <t>2.5.1619</t>
  </si>
  <si>
    <t>Телевизор ТВ панель TCL</t>
  </si>
  <si>
    <t>08.06.2020</t>
  </si>
  <si>
    <t>инв.3120324</t>
  </si>
  <si>
    <t>ЕП43120200019</t>
  </si>
  <si>
    <t>Стерео-ресивер Onkyo TX-8220</t>
  </si>
  <si>
    <t>инв.3120326</t>
  </si>
  <si>
    <t>инв.3120327</t>
  </si>
  <si>
    <t>Акустическая система HECO AURORA</t>
  </si>
  <si>
    <t>инв.3120328</t>
  </si>
  <si>
    <t xml:space="preserve">Цифрово-аналоговый преобразователь </t>
  </si>
  <si>
    <t>инв.3120329</t>
  </si>
  <si>
    <t>2.4.2912</t>
  </si>
  <si>
    <t>Ноутбук HP 15- Intel Core</t>
  </si>
  <si>
    <t>инв.3120330</t>
  </si>
  <si>
    <t>2.5.1620</t>
  </si>
  <si>
    <t xml:space="preserve">Шкаф </t>
  </si>
  <si>
    <t>11.06.2020</t>
  </si>
  <si>
    <t>инв.3120322</t>
  </si>
  <si>
    <t>Сабвуфер HECO Victa Prime Sub</t>
  </si>
  <si>
    <t>2.4.2913</t>
  </si>
  <si>
    <t>Расходомер 40</t>
  </si>
  <si>
    <t>инв.101061039-40</t>
  </si>
  <si>
    <t>2.4.2914</t>
  </si>
  <si>
    <t>Термометр инфракрасный бесконтактный DT-8836</t>
  </si>
  <si>
    <t>инв.101061041</t>
  </si>
  <si>
    <t>140/727</t>
  </si>
  <si>
    <t>16.06.2020</t>
  </si>
  <si>
    <t xml:space="preserve">распоряжение (край); </t>
  </si>
  <si>
    <t>Двухуровневая низкая перекладина</t>
  </si>
  <si>
    <t>Канат для лазания с креплением</t>
  </si>
  <si>
    <t>Козел гимнастический с креплением</t>
  </si>
  <si>
    <t>Конь гимнастический с креплением</t>
  </si>
  <si>
    <t>Лыжный комплект STC (тип 1)</t>
  </si>
  <si>
    <t>Лыжный комплект STC (тип 2)</t>
  </si>
  <si>
    <t>Лыжный комплект STC (тип 3)</t>
  </si>
  <si>
    <t>Лыжный комплект STC (тип 4)</t>
  </si>
  <si>
    <t>Лыжный комплект STC (тип 5)</t>
  </si>
  <si>
    <t>Мат борцовский</t>
  </si>
  <si>
    <t>Мост гимнастический подкидной</t>
  </si>
  <si>
    <t>Ноутбук Lenovo</t>
  </si>
  <si>
    <t>Интерактивный комплекс NiewSonic</t>
  </si>
  <si>
    <t>Источник бесперебойного питания Crown Micro</t>
  </si>
  <si>
    <t xml:space="preserve">Компьютер персональный настольный (моноблок) HP </t>
  </si>
  <si>
    <t>Многофункциональное устройство (МФУ) Pantum</t>
  </si>
  <si>
    <t>Моноблок Lenovo</t>
  </si>
  <si>
    <t xml:space="preserve">Источник бесперебойного питания Crown </t>
  </si>
  <si>
    <t>Проектор Panasonic</t>
  </si>
  <si>
    <t>Клавиатура Lenovo</t>
  </si>
  <si>
    <t>Мышь компьютерная Lenovo</t>
  </si>
  <si>
    <t>Интерактивная доска Promethean</t>
  </si>
  <si>
    <t>2.4.2918</t>
  </si>
  <si>
    <t>2.4.2917</t>
  </si>
  <si>
    <t>2.4.2919</t>
  </si>
  <si>
    <t>2.4.2916</t>
  </si>
  <si>
    <t>инв.10104391</t>
  </si>
  <si>
    <t>инв.10104392</t>
  </si>
  <si>
    <t>инв.10104393</t>
  </si>
  <si>
    <t>2.5.1624</t>
  </si>
  <si>
    <t>2.5.1626</t>
  </si>
  <si>
    <t>2.5.1627</t>
  </si>
  <si>
    <t>2.5.1628</t>
  </si>
  <si>
    <t>2.5.1629</t>
  </si>
  <si>
    <t>2.5.1630</t>
  </si>
  <si>
    <t>2.5.1631</t>
  </si>
  <si>
    <t>2.5.1632</t>
  </si>
  <si>
    <t>2.5.1634</t>
  </si>
  <si>
    <t>2.5.1635</t>
  </si>
  <si>
    <t>2.5.1633</t>
  </si>
  <si>
    <t>инв. 19/39-001164</t>
  </si>
  <si>
    <t>2.4.2927</t>
  </si>
  <si>
    <t>2.4.2928</t>
  </si>
  <si>
    <t>ЕП4-0120200070</t>
  </si>
  <si>
    <t>2.5.1637</t>
  </si>
  <si>
    <t>Кресло офисное"Max"</t>
  </si>
  <si>
    <t>ЕП4-0120200051</t>
  </si>
  <si>
    <t>МФУ RicohSP 33SN</t>
  </si>
  <si>
    <t>инв. 110134000041.  (А4, 32 стр/мин, копир/принтер/сканер)</t>
  </si>
  <si>
    <t>Руководство пользователя и пособие для учащихся к цифровому микроскопу</t>
  </si>
  <si>
    <t>2.5.1622</t>
  </si>
  <si>
    <t>2.5.1625</t>
  </si>
  <si>
    <t>Перекладина гимнастическая с  креплением</t>
  </si>
  <si>
    <t>Уголь марки СС</t>
  </si>
  <si>
    <t>2.4.2915</t>
  </si>
  <si>
    <t>2.4.2930</t>
  </si>
  <si>
    <t>Выключатель автоматический АВМ 15H 1500 А</t>
  </si>
  <si>
    <t>Мотопомпа бензиновая MASTERYARD MP 80 RJ</t>
  </si>
  <si>
    <t>инв.13601807</t>
  </si>
  <si>
    <t>03/06-КМ</t>
  </si>
  <si>
    <t>2.4.2931</t>
  </si>
  <si>
    <t>Преобразователь частоты А300-4Т-1100</t>
  </si>
  <si>
    <t>инв.13601806</t>
  </si>
  <si>
    <t>09/07/20-Л</t>
  </si>
  <si>
    <t>2.5.1638</t>
  </si>
  <si>
    <t>Теннисный стол</t>
  </si>
  <si>
    <t>6/ 2520200048</t>
  </si>
  <si>
    <t>2.4.2929</t>
  </si>
  <si>
    <t>2.4.2920</t>
  </si>
  <si>
    <t>2.4.2921</t>
  </si>
  <si>
    <t>2.4.2923</t>
  </si>
  <si>
    <t>2.4.2924</t>
  </si>
  <si>
    <t>2.4.2922</t>
  </si>
  <si>
    <t>2.4.2925</t>
  </si>
  <si>
    <t>2.4.2926</t>
  </si>
  <si>
    <t>инв.101041076-41077</t>
  </si>
  <si>
    <t>инв.101041058-101041072</t>
  </si>
  <si>
    <t>инв.101041073</t>
  </si>
  <si>
    <t>инв.101041074</t>
  </si>
  <si>
    <t>инв.101041075</t>
  </si>
  <si>
    <t>2.5.1621</t>
  </si>
  <si>
    <t>2.5.1623</t>
  </si>
  <si>
    <t>2.5.1636</t>
  </si>
  <si>
    <t>Граната для метания тип 1</t>
  </si>
  <si>
    <t>Граната для метания тип 2</t>
  </si>
  <si>
    <t>Сетка волейбольная</t>
  </si>
  <si>
    <t>Ракетка бадминтонная</t>
  </si>
  <si>
    <t>Сетка бадминтонная</t>
  </si>
  <si>
    <t>Лопатки для плавания</t>
  </si>
  <si>
    <t>Эспандер пловцов для суши</t>
  </si>
  <si>
    <t>Медицинбол тип 2</t>
  </si>
  <si>
    <t>Медицинбол тип 3</t>
  </si>
  <si>
    <t>Медицинбол тип 5</t>
  </si>
  <si>
    <t>Клюшка вратаря</t>
  </si>
  <si>
    <t>Нагрудник хоккейный (полевого игрока)</t>
  </si>
  <si>
    <t>Ловушка вратаря</t>
  </si>
  <si>
    <t>Блин вратаря</t>
  </si>
  <si>
    <t>Краги хоккейные</t>
  </si>
  <si>
    <t>Секундомер</t>
  </si>
  <si>
    <t>Права на использование версии ПО VIPNet Client 4.x (КС2) (электронный документ зарегистрированный в базе лицензий производителя)</t>
  </si>
  <si>
    <t>Права на использование средства защиты информации от несанкционированного доступа Dallas Lock 8.0 (электронный документ зарегистрированный в базе лицензий производителя)</t>
  </si>
  <si>
    <t>Права на использование средства антивирусного программного обеспечения Kaspersky (электронный документ зарегистрированный в базе лицензий производителя)</t>
  </si>
  <si>
    <t>Права на использование версии ПО Средство анализа защищенности и обнаружения уязвимостей сети RedCheck (электронный документ зарегистрированный в базе лицензий производителя)</t>
  </si>
  <si>
    <t>2.5.1665</t>
  </si>
  <si>
    <t>2.5.1666</t>
  </si>
  <si>
    <t>2.5.1667</t>
  </si>
  <si>
    <t>2.5.1668</t>
  </si>
  <si>
    <t>2.4.2932</t>
  </si>
  <si>
    <t>2.4.2933</t>
  </si>
  <si>
    <t>инв.110134000052-53</t>
  </si>
  <si>
    <t>муиципальный контракт</t>
  </si>
  <si>
    <t>ЕП4-0120200151</t>
  </si>
  <si>
    <t>Системный блок ADM Ryzen3</t>
  </si>
  <si>
    <t>инв.110134000056</t>
  </si>
  <si>
    <t>Б-00198356/ЕП4-0120200115</t>
  </si>
  <si>
    <t>2.5.1669</t>
  </si>
  <si>
    <t>Телевизор LED LG 49</t>
  </si>
  <si>
    <t>А-00305833/ЕП 0120200172</t>
  </si>
  <si>
    <t>2.4.2934</t>
  </si>
  <si>
    <t>инв.3120300</t>
  </si>
  <si>
    <t xml:space="preserve">договор на поставку измерительных приборов и изделий мед.назначения </t>
  </si>
  <si>
    <t>9/2020/ЕП43120200069</t>
  </si>
  <si>
    <t>2.4.2935</t>
  </si>
  <si>
    <t>инв110134000055. В комплекте: системный блок ADM Ryzen3 3200G, монитор Philips 21,5</t>
  </si>
  <si>
    <t>А-00258524/ЕП 0120200172</t>
  </si>
  <si>
    <t>16.03.2015; 01.08.2018</t>
  </si>
  <si>
    <t>260; б/н</t>
  </si>
  <si>
    <t>29.09.2014; 01.08.2018</t>
  </si>
  <si>
    <t>871; б/н</t>
  </si>
  <si>
    <t>16.03.20154 01.08.2018</t>
  </si>
  <si>
    <t>16.03.2015; 01.08.2020</t>
  </si>
  <si>
    <t>2.4.2936</t>
  </si>
  <si>
    <t>инв.101041043-101041050</t>
  </si>
  <si>
    <t>11/2020</t>
  </si>
  <si>
    <t>2.4.2937</t>
  </si>
  <si>
    <t>Контролер регистрации, ре-гулирования и защиты БАЗИС-14.Р-32Д-5-220-М-Ф</t>
  </si>
  <si>
    <t>22/07/20-БАЗ</t>
  </si>
  <si>
    <t>2.4.2938</t>
  </si>
  <si>
    <t>27/08/20-Д</t>
  </si>
  <si>
    <t>инв. 13601810, заводской номер 281. Паспорт Н14.3.302.01.00.000 ПС. Преприятие-изготовитель: ООО "Уралэнергопром"</t>
  </si>
  <si>
    <t>2.5.1670</t>
  </si>
  <si>
    <t xml:space="preserve">Очиститель воздуха AIC CF8410 </t>
  </si>
  <si>
    <t>угольный, фотокатали-тический, фильиры, ионизация УФ</t>
  </si>
  <si>
    <t>НМ1-000027/ЕП4-0120200177/НМ1-000376</t>
  </si>
  <si>
    <t>2.5.1639</t>
  </si>
  <si>
    <t>2.5.1640</t>
  </si>
  <si>
    <t>2.5.1641</t>
  </si>
  <si>
    <t>2.5.1644</t>
  </si>
  <si>
    <t>2.5.1645</t>
  </si>
  <si>
    <t>2.5.1647</t>
  </si>
  <si>
    <t>2.5.1648</t>
  </si>
  <si>
    <t>2.5.1649</t>
  </si>
  <si>
    <t>2.5.1650</t>
  </si>
  <si>
    <t>2.5.1651</t>
  </si>
  <si>
    <t>2.5.1652</t>
  </si>
  <si>
    <t>2.5.1653</t>
  </si>
  <si>
    <t>2.5.1654</t>
  </si>
  <si>
    <t>2.5.1655</t>
  </si>
  <si>
    <t>2.5.1656</t>
  </si>
  <si>
    <t>2.5.1657</t>
  </si>
  <si>
    <t>2.5.1658</t>
  </si>
  <si>
    <t>2.5.1659</t>
  </si>
  <si>
    <t>2.5.1660</t>
  </si>
  <si>
    <t>2.5.1661</t>
  </si>
  <si>
    <t>2.5.1662</t>
  </si>
  <si>
    <t>2.5.1663</t>
  </si>
  <si>
    <t>2.5.1664</t>
  </si>
  <si>
    <t>16.03.2015; 02.05.2017; 18.09.2020</t>
  </si>
  <si>
    <t>260; 37-юр; 787</t>
  </si>
  <si>
    <t>2.4.2939</t>
  </si>
  <si>
    <t>Облучатель-рециркулятор медицинский Армед CH111-115</t>
  </si>
  <si>
    <t>Контракт на поставку мед.оборудования</t>
  </si>
  <si>
    <t>13/2020</t>
  </si>
  <si>
    <t>2.4.2940</t>
  </si>
  <si>
    <t>инв. 10104394-101104401</t>
  </si>
  <si>
    <t>12/2020</t>
  </si>
  <si>
    <t>2.4.2941</t>
  </si>
  <si>
    <t>инв. 10104394-101104402</t>
  </si>
  <si>
    <t>15/2020</t>
  </si>
  <si>
    <t>2.4.2942</t>
  </si>
  <si>
    <t>14/2020/ЕП46120200042</t>
  </si>
  <si>
    <t>Мат М1-100 2000*1000*80 (0,16 куб.м) (ГОСТ 21880-2011)</t>
  </si>
  <si>
    <t>инв.11,12. поступление 09.2020- 55 учебников, 3 CD, 2 DVD</t>
  </si>
  <si>
    <t>инв.13601809, заводской номер 526, масса 2.0 кг. Паспорт: 5ДА2.407.019-0068 ПС. Преприятие-изготовитель: АО "Экоресурс"</t>
  </si>
  <si>
    <t>2.4.2943</t>
  </si>
  <si>
    <t>2.4.2944</t>
  </si>
  <si>
    <t>2.4.2945</t>
  </si>
  <si>
    <t>2.4.2946</t>
  </si>
  <si>
    <t>2.4.2947</t>
  </si>
  <si>
    <t>2.4.2948</t>
  </si>
  <si>
    <t>2.4.2949</t>
  </si>
  <si>
    <t>2.4.2950</t>
  </si>
  <si>
    <t>2.4.2951</t>
  </si>
  <si>
    <t>2.4.2952</t>
  </si>
  <si>
    <t>2.4.2953</t>
  </si>
  <si>
    <t>2.4.2954</t>
  </si>
  <si>
    <t>2.4.2955</t>
  </si>
  <si>
    <t>2.4.2956</t>
  </si>
  <si>
    <t>2.4.2957</t>
  </si>
  <si>
    <t>2.4.2958</t>
  </si>
  <si>
    <t>Агрегат насосный НМШ32-10-18/6 на раме с эл. двигателем 5,5/1000 об.мин</t>
  </si>
  <si>
    <t>2.4.2959</t>
  </si>
  <si>
    <t>2.4.2960</t>
  </si>
  <si>
    <t>2.4.2961</t>
  </si>
  <si>
    <t>2.4.2962</t>
  </si>
  <si>
    <t>2.4.2963</t>
  </si>
  <si>
    <t>2.4.2964</t>
  </si>
  <si>
    <t>2.4.2965</t>
  </si>
  <si>
    <t>2.4.2966</t>
  </si>
  <si>
    <t>2.4.2967</t>
  </si>
  <si>
    <t>2.4.2968</t>
  </si>
  <si>
    <t>2.4.2969</t>
  </si>
  <si>
    <t>2.4.2970</t>
  </si>
  <si>
    <t>2.4.2971</t>
  </si>
  <si>
    <t>2.4.2972</t>
  </si>
  <si>
    <t>2.4.2973</t>
  </si>
  <si>
    <t>2.4.2974</t>
  </si>
  <si>
    <t>2.4.2975</t>
  </si>
  <si>
    <t>2.4.2976</t>
  </si>
  <si>
    <t>2.4.2977</t>
  </si>
  <si>
    <t>2.4.2978</t>
  </si>
  <si>
    <t>2.4.2979</t>
  </si>
  <si>
    <t>2.4.2980</t>
  </si>
  <si>
    <t>2.4.2981</t>
  </si>
  <si>
    <t>2.4.2982</t>
  </si>
  <si>
    <t>2.4.2983</t>
  </si>
  <si>
    <t>2.4.2984</t>
  </si>
  <si>
    <t>2.4.2985</t>
  </si>
  <si>
    <t>2.4.2986</t>
  </si>
  <si>
    <t>2.4.2987</t>
  </si>
  <si>
    <t>2.4.2988</t>
  </si>
  <si>
    <t>2.4.2989</t>
  </si>
  <si>
    <t>2.4.2990</t>
  </si>
  <si>
    <t>2.4.2991</t>
  </si>
  <si>
    <t>2.4.2992</t>
  </si>
  <si>
    <t>2.4.2993</t>
  </si>
  <si>
    <t>2.4.2994</t>
  </si>
  <si>
    <t>2.4.2995</t>
  </si>
  <si>
    <t>2.4.2996</t>
  </si>
  <si>
    <t>2.4.2997</t>
  </si>
  <si>
    <t>2.4.2998</t>
  </si>
  <si>
    <t>2.4.2999</t>
  </si>
  <si>
    <t>2.4.3000</t>
  </si>
  <si>
    <t>2.4.3001</t>
  </si>
  <si>
    <t>2.4.3002</t>
  </si>
  <si>
    <t>2.4.3003</t>
  </si>
  <si>
    <t>2.4.3004</t>
  </si>
  <si>
    <t>2.4.3005</t>
  </si>
  <si>
    <t>2.2.0159</t>
  </si>
  <si>
    <t>2.2.0160</t>
  </si>
  <si>
    <t>2.2.0161</t>
  </si>
  <si>
    <t>2.2.0162</t>
  </si>
  <si>
    <t>2.2.0163</t>
  </si>
  <si>
    <t>2.2.0164</t>
  </si>
  <si>
    <t>2.2.0165</t>
  </si>
  <si>
    <t>Кран мостовой</t>
  </si>
  <si>
    <t>Агрегат насосный Д320-50 с эл.двигателем 75/1500 об/мин</t>
  </si>
  <si>
    <t>Молотковая дробилка СМ - 170B</t>
  </si>
  <si>
    <t>Газоанализатор ИКТС -11</t>
  </si>
  <si>
    <t>Криотермостат жидкостный LOIP FT-211-25 со шлангом с термоизоляцией</t>
  </si>
  <si>
    <t>Калориметр бомбовый С 200 (калориметрическая бомба С 5010</t>
  </si>
  <si>
    <t>Насосный агрегат ПЭ 150/63 с дв.500кВт, 3000 об/мин</t>
  </si>
  <si>
    <t>Насосный агрегат 1КС-50-55 с дв.15кВт, 3000 об/мин</t>
  </si>
  <si>
    <t>Насос Д 320 50</t>
  </si>
  <si>
    <t>Эл.двигатель АИР 355 Мб</t>
  </si>
  <si>
    <t>Насос КС 50 55 2, 3</t>
  </si>
  <si>
    <t>Насос 1 Д 1600-90</t>
  </si>
  <si>
    <t>Эл.двигатель АО 101 6МУ2 100 кВт</t>
  </si>
  <si>
    <t>Эл.двигатель 315 кВт А04-3554-492</t>
  </si>
  <si>
    <t>Эл.двигатель 75 кВт 4НА225</t>
  </si>
  <si>
    <t>Агрегат насосный Д320-50 с эл. двигателем 75/1500</t>
  </si>
  <si>
    <t>Двигатель А355,315кВт (сетевой насос)</t>
  </si>
  <si>
    <t>Аккумуляторная батарея к. 19</t>
  </si>
  <si>
    <t>Весы BHKA-800-2 автомат., непрерывн. действия, конвеерные</t>
  </si>
  <si>
    <t>Агрегат насосный Д320-50 с эл.двигателем 75/1500</t>
  </si>
  <si>
    <t>Машина сварочная контактная</t>
  </si>
  <si>
    <t>Двигатель 2 АЗМ,500кВт</t>
  </si>
  <si>
    <t>Эл.двигатель ДА 30-12-558-8 дробилка</t>
  </si>
  <si>
    <t>Трансформатор собственных нужд ТСН №3</t>
  </si>
  <si>
    <t>Турбина паровая Р12-12-35/5м</t>
  </si>
  <si>
    <t>Машина листогибочная 3-х валк.И-2019</t>
  </si>
  <si>
    <t>Станок верт. сверлильный 2Н-135</t>
  </si>
  <si>
    <t>Станок горизонтальный фрезерный 6Р82Г</t>
  </si>
  <si>
    <t>Станок плоскошлифовал. ПШ-30540</t>
  </si>
  <si>
    <t>Станок поперечно-строгальный 7 Д 36</t>
  </si>
  <si>
    <t>Станок сверлильный 2Н125</t>
  </si>
  <si>
    <t>Станок токарный 1 К 62</t>
  </si>
  <si>
    <t>Станок фрезерный 6 Ф 11</t>
  </si>
  <si>
    <t>Трубогиб ИА-3432</t>
  </si>
  <si>
    <t>Трубогиб ИВ-3428</t>
  </si>
  <si>
    <t>Баки дренажные с насосами</t>
  </si>
  <si>
    <t>Баки охл.воды</t>
  </si>
  <si>
    <t xml:space="preserve">Дизель эл. установки У36-50 </t>
  </si>
  <si>
    <t>Емкость ст. V-100 м3</t>
  </si>
  <si>
    <t>2.4.3007</t>
  </si>
  <si>
    <t>2.4.3008</t>
  </si>
  <si>
    <t>2.4.3010</t>
  </si>
  <si>
    <t>2.4.3011</t>
  </si>
  <si>
    <t>2.4.3012</t>
  </si>
  <si>
    <t>2.4.3013</t>
  </si>
  <si>
    <t>2.4.3014</t>
  </si>
  <si>
    <t>2.4.3015</t>
  </si>
  <si>
    <t>2.4.3016</t>
  </si>
  <si>
    <t>2.4.3017</t>
  </si>
  <si>
    <t>2.4.3018</t>
  </si>
  <si>
    <t>2.4.3019</t>
  </si>
  <si>
    <t>2.4.3020</t>
  </si>
  <si>
    <t>2.4.3022</t>
  </si>
  <si>
    <t>2.4.3023</t>
  </si>
  <si>
    <t>2.4.3024</t>
  </si>
  <si>
    <t>2.4.3025</t>
  </si>
  <si>
    <t>2.4.3026</t>
  </si>
  <si>
    <t>2.4.3027</t>
  </si>
  <si>
    <t>2.4.3028</t>
  </si>
  <si>
    <t>2.4.3029</t>
  </si>
  <si>
    <t>2.4.3030</t>
  </si>
  <si>
    <t>2.4.3031</t>
  </si>
  <si>
    <t>2.4.3032</t>
  </si>
  <si>
    <t>2.4.3033</t>
  </si>
  <si>
    <t>2.4.3034</t>
  </si>
  <si>
    <t>2.4.3035</t>
  </si>
  <si>
    <t>2.4.3036</t>
  </si>
  <si>
    <t>2.4.3037</t>
  </si>
  <si>
    <t>2.4.3038</t>
  </si>
  <si>
    <t>2.4.3039</t>
  </si>
  <si>
    <t>2.4.3040</t>
  </si>
  <si>
    <t>2.4.3041</t>
  </si>
  <si>
    <t>2.4.3042</t>
  </si>
  <si>
    <t>2.4.3043</t>
  </si>
  <si>
    <t>2.4.3044</t>
  </si>
  <si>
    <t>2.4.3045</t>
  </si>
  <si>
    <t>2.4.3046</t>
  </si>
  <si>
    <t>2.4.3047</t>
  </si>
  <si>
    <t>2.4.3048</t>
  </si>
  <si>
    <t>2.4.3049</t>
  </si>
  <si>
    <t>2.4.3050</t>
  </si>
  <si>
    <t>2.4.3051</t>
  </si>
  <si>
    <t>2.4.3052</t>
  </si>
  <si>
    <t>Мельница Ф 900/900/11110</t>
  </si>
  <si>
    <t>Подогреватель ПВ-60-4</t>
  </si>
  <si>
    <t>Подогреватель ПН-30 В-3</t>
  </si>
  <si>
    <t>Подогреватель ПН-60</t>
  </si>
  <si>
    <t>Редукционно-охладительная установка сред. давления</t>
  </si>
  <si>
    <t>Теплообменник F-74м2</t>
  </si>
  <si>
    <t>Теплофикационная установка</t>
  </si>
  <si>
    <t>Турбина паровая с генератором №4</t>
  </si>
  <si>
    <t>Бурорыхлительная машина</t>
  </si>
  <si>
    <t>Вибратор "Урал" ЦНИИ</t>
  </si>
  <si>
    <t>Маневровая лебедка с эл. двигателем 45 кВт, 1500 об</t>
  </si>
  <si>
    <t>Компьютер FRONT Rack 437.23</t>
  </si>
  <si>
    <t>Выключатель МГГ-10/3200</t>
  </si>
  <si>
    <t>Камера КРУКВЗ 6-10-600</t>
  </si>
  <si>
    <t>Комплектное расред. устр-во (КРУ)</t>
  </si>
  <si>
    <t>Комплектное рапред. устр-во из 17</t>
  </si>
  <si>
    <t>Комплектное рапред. устр-во из 41</t>
  </si>
  <si>
    <t>Комплектное распред.устр-во</t>
  </si>
  <si>
    <t>Маслянный выключатель МГП-10/400</t>
  </si>
  <si>
    <t>Оборудование резервного возбуждения</t>
  </si>
  <si>
    <t>Подстанция 2 КТП-630</t>
  </si>
  <si>
    <t>Трансформатор TM-400</t>
  </si>
  <si>
    <t>Эл.двигатель А-114-4</t>
  </si>
  <si>
    <t>Эл. двигатель MA-36-61/6</t>
  </si>
  <si>
    <t>Эл. магнитный аппарат АМО-200-У1</t>
  </si>
  <si>
    <t>Емкость ст. V-200 мЗ</t>
  </si>
  <si>
    <t>Насос АХОЕ 50032-160</t>
  </si>
  <si>
    <t>Натрий-катионит. фильтр ФИПА-1-2,6-0,6</t>
  </si>
  <si>
    <t>Сосуд ПС-50-И-10,ст.У-50мЗ</t>
  </si>
  <si>
    <t>Сосуд ct.V-25 мЗ</t>
  </si>
  <si>
    <t>2.4.3053</t>
  </si>
  <si>
    <t>Растопочное мазутное хозяйство</t>
  </si>
  <si>
    <t>2.4.3054</t>
  </si>
  <si>
    <t>инв.1010411076-101041083</t>
  </si>
  <si>
    <t>Насос Д320-50 без рамы и эл. двигателя</t>
  </si>
  <si>
    <t>удлинитель для USB камеры 10 мм - 11шт.; удлинитель для USB камеры 5 мм - 11шт.; трос безопасности для цифровой техники с замком - 11 шт.; сетевой фильтр - 1 шт.</t>
  </si>
  <si>
    <t xml:space="preserve">отчет об оценке движимого имущества </t>
  </si>
  <si>
    <t>2.4.3056</t>
  </si>
  <si>
    <t>2.4.3057</t>
  </si>
  <si>
    <t>2.4.3058</t>
  </si>
  <si>
    <t>2.4.3059</t>
  </si>
  <si>
    <t>инв.13601811</t>
  </si>
  <si>
    <t>22/07/20-Э</t>
  </si>
  <si>
    <t>Датчик разности давлений ЭнИ-100-ДД-2440-02-МПЗ/ЖК-t1-050</t>
  </si>
  <si>
    <t>Рассев лабораторный РЛ-1</t>
  </si>
  <si>
    <t>инв.13601812</t>
  </si>
  <si>
    <t>инв.19/37-001066</t>
  </si>
  <si>
    <t>23/09/20-Р</t>
  </si>
  <si>
    <t>Измеритель-регулятор технологический ИРТ 5922-МВ/В/t/1050/360П/ГП/</t>
  </si>
  <si>
    <t>инв.19/37-001067/1- /2</t>
  </si>
  <si>
    <t>20-14445</t>
  </si>
  <si>
    <t>Преобразователь давления измерительный АИР-20-/М2-Н/ДД/420</t>
  </si>
  <si>
    <t>инв.19/37-001068/1- /2</t>
  </si>
  <si>
    <t>2.4.3060</t>
  </si>
  <si>
    <t>инв.10104402-10104403</t>
  </si>
  <si>
    <t>16/2020</t>
  </si>
  <si>
    <t>2.5.1671</t>
  </si>
  <si>
    <t>Доска д/мела 3-х элементная</t>
  </si>
  <si>
    <t>договор розничной купли- продажи</t>
  </si>
  <si>
    <t>2.4.3061</t>
  </si>
  <si>
    <t>17/2020</t>
  </si>
  <si>
    <t>2.4.3062</t>
  </si>
  <si>
    <t>2.4.3063</t>
  </si>
  <si>
    <t xml:space="preserve">Проектор Epson EB-E350 </t>
  </si>
  <si>
    <t>А-00372085</t>
  </si>
  <si>
    <t>инв.ВА0000000135</t>
  </si>
  <si>
    <t>18/2020-ЕП4622020066</t>
  </si>
  <si>
    <t>2.4.2974/1</t>
  </si>
  <si>
    <t>07.05.2013; 14.08.2015; 20.12.2018; 18.07.2019; 10.06.2020; 12.10.2020; 06.11.2020</t>
  </si>
  <si>
    <t>422; 696; 1271; 576; 512; 839; 918</t>
  </si>
  <si>
    <t>ЕП9-0120190199</t>
  </si>
  <si>
    <t xml:space="preserve">инв.13601045. Эл. насосный агрегат из шестеренного насоса НМШ32-10-18-1У
эл. двигатель -ВА132S6 - заводской № 144, частота вращ.= 980 об/мин., 
подача= 18 м3/ч, давление на выходе= 0,6 МПа, мощность = 5,5 кВт, 
напряжение = 380В.
</t>
  </si>
  <si>
    <t xml:space="preserve">инв.13600757. Агрегат насосный Д320-50, заводской № ENR29-317-13, насос  укомплектован
эл. двигателем, тип-АИР 250 S4, заводской № 1-20567, изготовл. из серого 
чугуна.
</t>
  </si>
  <si>
    <t xml:space="preserve">инв.13600758. Электропривод ИРБИ823-755-0, 4УХЛЗ.1 – 1шт. Кольцо ферритовое диам.45 мм – 3 шт. 
Компл.ект ключей/Зажим/ключ шестигр. S6 – 1 шт. Пульт ИРБИ22УХЛЗ.1/Компл.ответ.частей – 1 шт. Шкаф управл. ШУ-75х3УХЛЗ.1/Компл.схем
- 1 шт.
</t>
  </si>
  <si>
    <t xml:space="preserve">инв.13600740. Зав. № 0216-13
Паспорт ПЛЦК.413411.001 ПС
Предпритяие-изготовитель: ООО "Промэкоприбор" г.Санк-Петербург
</t>
  </si>
  <si>
    <t xml:space="preserve">инв.13601349. Зав. №2878. Тип (модель) - СМ 170 В
Типоразмер - М13х16
Производительность - 210 т/ч
Мощность двигателя основного привода -250/750 кВт/об. мин.
Масса - 10,9 т; размеры без привода: дл.2400мм, шир. 2800мм, выс. 1900мм.
</t>
  </si>
  <si>
    <t xml:space="preserve">инв.13600745, заводской № 971; Номер паспорта: ПГРА 170.00.000 ПС.
</t>
  </si>
  <si>
    <t>инв.13600749. Заводской №855</t>
  </si>
  <si>
    <t xml:space="preserve">инв.13600736. Заводской №01.816440
Калориметрическая бомба С 5010 1 шт. Изготовитель: Фирма "IKA-WERKE GmbH &amp; CO KG", Германия
</t>
  </si>
  <si>
    <t>инв.13600766. Зав. номер двиг. 10205. Насос укомплектован эл.двиг. марка- 4АЗМ 500/6000УХЛ4</t>
  </si>
  <si>
    <t xml:space="preserve">инв.13600978. Модель - 1Кс 50-55, производительность - 50 м3/ч, напор- 55м. Марка двигателя - 5АМХ160S2УЗ асинхронный
мощность - 15 кВт, скорость вращения - 3000 об/мин.
</t>
  </si>
  <si>
    <t xml:space="preserve">инв.13600992. Зав. 764288. Модель Т 870-2. Теплоотдача 0,9994.Габариты - d= 60х300 мм. Изготовитель: ООО "Компания ГМЦ"
</t>
  </si>
  <si>
    <t>инв.37042709, 37042909, 37043109. Производительность - 320 м3. Напор - 50 м. в. Ст</t>
  </si>
  <si>
    <t>инв.37044309, 37044408. Мощность 160 кВт</t>
  </si>
  <si>
    <t>инв.37044309. Производительность - 50 м3, напор - 55м. в. ст.</t>
  </si>
  <si>
    <t>инв.37045109-45309. Производительность - 50 м3, напор - 55м. в. ст.</t>
  </si>
  <si>
    <t xml:space="preserve">инв.13601822. Зав. №715
Изготовитель: г. Екатеринбург ООО "Электрогидромаш"
</t>
  </si>
  <si>
    <t>инв.37046107. Мощность - 1000 об/мин</t>
  </si>
  <si>
    <t xml:space="preserve">инв.37046607. </t>
  </si>
  <si>
    <t>инв.37046807. Мощность - 1500 об/мин</t>
  </si>
  <si>
    <t>инв.10001004. Подпиточный №1. Производительность - 320м3, напор - 50 м.в.ст.</t>
  </si>
  <si>
    <t>инв.00066996. Эталонный прибор для проведения поверки и калибровки СИ</t>
  </si>
  <si>
    <t>Калибратор-измеритель унифиц-х сигналов ИКСУ</t>
  </si>
  <si>
    <t>инв.00066984. Подпиточный №3, производительность - 320 м3, напор - 50 м.в.ст.</t>
  </si>
  <si>
    <t xml:space="preserve">инв.1001005. Насос сырой воды №3, производительность - 320 м3, напор - 50 м.в.ст.
</t>
  </si>
  <si>
    <t>инв.00066937. Стационарный прибор для непрерывного измерения содержания кислорода в топке.</t>
  </si>
  <si>
    <t>инв.00066878. Мощность - 1500 об/мин</t>
  </si>
  <si>
    <t>инв.10104404-405</t>
  </si>
  <si>
    <t>инв.00066822. (для питания постоянным током)</t>
  </si>
  <si>
    <t>инв.00066974. Для непрерывного измерения количества угля, поступившего в бункеры сырого угля котлов (топлиподача 2, конвейер 2А).</t>
  </si>
  <si>
    <t>инв.00066975. Для непрерывного измерения количества угля, поступившего в бункеры сырого угля котлов (топлиподача 2, конвейер 2Б).</t>
  </si>
  <si>
    <t>инв.13600643</t>
  </si>
  <si>
    <t>инв.00066885</t>
  </si>
  <si>
    <t>инв.00066873</t>
  </si>
  <si>
    <t>инв.00066874</t>
  </si>
  <si>
    <t>инв.00066875</t>
  </si>
  <si>
    <t>инв.00066876</t>
  </si>
  <si>
    <t>инв.00066861</t>
  </si>
  <si>
    <t>инв.00067003. Промежуточный №1, центробежный, одноступенчатый, двухсторннего входа, подача - 320 м3/ч, напор - 50 м.</t>
  </si>
  <si>
    <t>инв.10001006. Подпиточный №1. Производительность - 320 м3, напор - 50м.в.ст.</t>
  </si>
  <si>
    <t xml:space="preserve">инв.13600663. </t>
  </si>
  <si>
    <t>инв.13600667</t>
  </si>
  <si>
    <t>инв.13600668</t>
  </si>
  <si>
    <t>инв.00066879-00066880. Мощность - 3000 об/мин</t>
  </si>
  <si>
    <t>инв.00066901. Аккумуляторный бак горячей воды ст. №2.</t>
  </si>
  <si>
    <t>инв.00066887. Напряжение - 250 кВт, мощность - 740 об/мин</t>
  </si>
  <si>
    <t>инв.00066886. Напряжение - 750 кВа, 6/0,4 кВа</t>
  </si>
  <si>
    <t>инв.13600695</t>
  </si>
  <si>
    <t>Устройство дуговой защиты ФВИП</t>
  </si>
  <si>
    <t>инв.00067000. Установлено в ГРУ 2 оч. Для защиты от к.з</t>
  </si>
  <si>
    <t>Турбина ПТ-12-3 5/Юм с парораспредел</t>
  </si>
  <si>
    <t>2.4.3055</t>
  </si>
  <si>
    <t>инв.13600704. Агрегат электронасосный 1КС 50-55</t>
  </si>
  <si>
    <t xml:space="preserve"> 12-753</t>
  </si>
  <si>
    <t xml:space="preserve">Ж/д полувагон 4-ос без переходной площадки бортовой (с люками в полу) инв.12-753000. Модель тележек 18-100
Грузоподъемность-69 т. Тара-22,1 т
</t>
  </si>
  <si>
    <t xml:space="preserve">Ж/д полувагон 4-ос без переходной площадки бортовой (с люками в полу) инв.12-532000. Модель тележек 18-9770. Грузоподъемность-69 т. Тара-22,2 т
Предназначен для закачки угля в БСУ котлов.
 </t>
  </si>
  <si>
    <t xml:space="preserve">Ж/д полувагон 4-ос без переходной площадки бортовой - 2 шт. Инв. 13601339-13601340
 </t>
  </si>
  <si>
    <t>Бульдозер ДЗ-171,1. инв.37041809</t>
  </si>
  <si>
    <t>Бульдозер ДЗ-171,1. инв.37044107</t>
  </si>
  <si>
    <t>71051 коробка передач</t>
  </si>
  <si>
    <t>Бульдозер Т10М.0111-1. Инв.13600700</t>
  </si>
  <si>
    <t xml:space="preserve">Бульдозер Т-170М1 гос. № 9867 АУ. Инв.37044007,коробка передач отсутствует, цвет-желтый,
гусеничный, габаритный размеры 4600*2480*3080 мм, масса 16700кг
</t>
  </si>
  <si>
    <t>н/у</t>
  </si>
  <si>
    <t>инв.37025909</t>
  </si>
  <si>
    <t>инв.37031309</t>
  </si>
  <si>
    <t>инв.3702509</t>
  </si>
  <si>
    <t>инв.10001139- 140</t>
  </si>
  <si>
    <t>инв.37040907. Обрудование: Мельничные вентиляторы марка ПК №8, обдувочное устройство ОПР-3 от котла №8, оборудование пылеприготов. для к. №8, тяго-дутьевое устройство для котла №8, циклон, дымосос 18*12, насос НД 63/100, сепаратор, стадион. труб низ. давления кот. №8-12</t>
  </si>
  <si>
    <t>инв.37004407. Обрудование: мельничные вентиляторы марка ПК №10, тяго-дутьевое устройство для котла №10, циклон, насос НД 63/100, сепаратор, стадион. труб низ. давл. кот. №8-12</t>
  </si>
  <si>
    <t>инв.37004307. Обрудование: Мельничные вентиляторы марка ПК №9,  оборудование пылеприготов. для к. №9, тяго-дутьевое устройство для котла №9, циклон, насос НД 63/100, сепаратор, стадион. труб низ. давления кот. №8-12</t>
  </si>
  <si>
    <t>инв.37043807. Производительность - 10 т/ч. ПК-10.</t>
  </si>
  <si>
    <t xml:space="preserve">инв.10001035 - 37. Питательные насосы ст. №1, 2, 5 для подачи воды в ПК. Производительность - 150м3. Многоступенчатые </t>
  </si>
  <si>
    <t>инв.10001038 - 39. Питательные насосы ст. №6, 7 для подачи воды в ПК. Производительность - 150м3. Многоступенчатые.</t>
  </si>
  <si>
    <t>инв.37037207. Расширитель дренажей. Предназначен для конденсирования пара из паропроводов.</t>
  </si>
  <si>
    <t>инв.37028607. Подогреватель низкого давления ТГ-6</t>
  </si>
  <si>
    <t>инв.37041207. Раширитель дренажей. Предназначен для конденсирования пара из паропроводов.</t>
  </si>
  <si>
    <t>инв.10001106 - 11</t>
  </si>
  <si>
    <t xml:space="preserve">инв.37023709. </t>
  </si>
  <si>
    <t>инв.37005407. Оборудование: насос 8 НДВ, подогреватель ПСВ-500 14 23, подогреватель ПСВ-500 14, подогреватель воды ПСВ 315-14-23, подогеватель воды ПСВ-500-3-23, подогреватель сетевой воды 315-14-23, насосы КС 50 55 2,3, насосы СЭ 1250*70, насос Д-1250</t>
  </si>
  <si>
    <t>инв.37011307</t>
  </si>
  <si>
    <t xml:space="preserve">инв.37038609. </t>
  </si>
  <si>
    <t>инв.10000917 - 18</t>
  </si>
  <si>
    <t>инв.10000915 - 16</t>
  </si>
  <si>
    <t>инв.13601349</t>
  </si>
  <si>
    <t>инв.13601357</t>
  </si>
  <si>
    <t>инв.10000969 - 72</t>
  </si>
  <si>
    <t>инв.00066877</t>
  </si>
  <si>
    <t>инв.37003907. Комплектное распределительное устройство ячейка №57 секции ЗР РУСН 6 кВ</t>
  </si>
  <si>
    <t>инв.37006707. Комплектное распределительное устройство РУСН рапонасосный из 2 секций</t>
  </si>
  <si>
    <t>инв.37006807. Комплектное распределительное устройство ГРУ 6 кВ 2 очереди из 2 секций</t>
  </si>
  <si>
    <t>инв.37006907. Комплектное распределительное устройство РУСН 6 кВ 3 очереди из 2 секций</t>
  </si>
  <si>
    <t>инв.37007207. Комплектное распредилительное устройство ГРУ 1 очереди из 2 секций</t>
  </si>
  <si>
    <t xml:space="preserve">инв.37028407/1- 37028407/2.  Маслянный выключатель МГГ-10/2000 2В ТГ №6 
Маслянный выключатель МГГ-10/3000 7В линии связи №1 </t>
  </si>
  <si>
    <t xml:space="preserve">инв.37005207. Резервный возбудитель-генератор постоянного тока для питания цепей возбуждения генераторов №4, 6, 7
</t>
  </si>
  <si>
    <t>инв.37037807. Напряжение -6/0,4 кВ, 630 кВа</t>
  </si>
  <si>
    <t>инв.37029407. Напряжение -  6/0,4 кВ, 750 кВа</t>
  </si>
  <si>
    <t>инв.37036407. Напряжение - 250 кВт, мощность - 740 об/мин</t>
  </si>
  <si>
    <t xml:space="preserve">инв.37034307. Напряжение - 160 кВт, 
мощность - 1000 об/мин
</t>
  </si>
  <si>
    <t xml:space="preserve">инв.10001258. </t>
  </si>
  <si>
    <t>инв.10000911. Корпус декарбонизатора №1</t>
  </si>
  <si>
    <t>инв.10000260</t>
  </si>
  <si>
    <t>инв.10000998 - 99</t>
  </si>
  <si>
    <t>инв.10001047. В схеме Na-фильтр №6</t>
  </si>
  <si>
    <t>инв.10001126. Расходный бак раствора тринатрийфосфата (турбинное отделение).</t>
  </si>
  <si>
    <t xml:space="preserve">инв.10001127. Расходная кислотная емкость №4 (ХВО улица, южная сторона).
</t>
  </si>
  <si>
    <t>инв.10001258</t>
  </si>
  <si>
    <t>инв.37007907. Мазутонасосная станция</t>
  </si>
  <si>
    <t>инв.13600692</t>
  </si>
  <si>
    <t>2.4.3064</t>
  </si>
  <si>
    <t>инв.10104218-10104221</t>
  </si>
  <si>
    <t>19/2020</t>
  </si>
  <si>
    <t>2.4.3065</t>
  </si>
  <si>
    <t>инв.10104217</t>
  </si>
  <si>
    <t>Б-00407948/2120200041</t>
  </si>
  <si>
    <t>МФУ HP Laser Jet 135а</t>
  </si>
  <si>
    <t>2.4.3066</t>
  </si>
  <si>
    <t>ПК DEXP AtlasH250 Core</t>
  </si>
  <si>
    <t>Б-00432128</t>
  </si>
  <si>
    <t>2.5.1672</t>
  </si>
  <si>
    <t>инв.110136000039. Цвет "бук" с одной перегородкой на 3 комп.рабочих места</t>
  </si>
  <si>
    <t>ЕП4-0120200181</t>
  </si>
  <si>
    <t>2.4.3067</t>
  </si>
  <si>
    <t xml:space="preserve">Расходомер эл.магнитный с БП кл.А Питерфлоу РС </t>
  </si>
  <si>
    <t>инв.10106692-93. ду 32-15(L)</t>
  </si>
  <si>
    <t>Е20-047/292020098</t>
  </si>
  <si>
    <t>инв.10104212-4214 (монитор, сист.блок)</t>
  </si>
  <si>
    <t>инв.10104216</t>
  </si>
  <si>
    <t>инв.10104026/1. Монитор, сист.блок</t>
  </si>
  <si>
    <t>Беговая дорожка ARTEMI</t>
  </si>
  <si>
    <t>Магнитный тренажер АС-52 ARTEMI</t>
  </si>
  <si>
    <t xml:space="preserve">инв.01380065. </t>
  </si>
  <si>
    <t>память 2шт,уст-во д/чтения карт памяти, монитор, наушники</t>
  </si>
  <si>
    <t xml:space="preserve">инв.10104012-13 </t>
  </si>
  <si>
    <t>2.5.1673.К</t>
  </si>
  <si>
    <t>10-2020</t>
  </si>
  <si>
    <t xml:space="preserve">инв. Бетонная, размер 550х400х40 </t>
  </si>
  <si>
    <t>ЭА-0120200088</t>
  </si>
  <si>
    <t>Урна (с вкладышем из оцинковки)</t>
  </si>
  <si>
    <t>06-2007</t>
  </si>
  <si>
    <t>инв.110134000010-110134000029. Опоры со светодиодными  светильниками для уличного освещения р-н "Базис" Парк Семейного Отдыха 7 шт., 13 шт.</t>
  </si>
  <si>
    <t>12-2017</t>
  </si>
  <si>
    <t>Проектор BENQ</t>
  </si>
  <si>
    <t xml:space="preserve">Световая композиция "Дельфины" </t>
  </si>
  <si>
    <t>инв.210106300067</t>
  </si>
  <si>
    <t>инв. 010104085, стационарный с установленным программным обеспечением</t>
  </si>
  <si>
    <t>инв.010104087, сервер HP ML 350Т06 LFF;модуль резервного копирования данных НР RDX750;модуль беспер.питания HP R/T 3КVA UPS</t>
  </si>
  <si>
    <t>инв.010104091, конфигурация №1</t>
  </si>
  <si>
    <t>инв.010104089, конфигурация №1</t>
  </si>
  <si>
    <t>инв.0100104090, конфигурация №1</t>
  </si>
  <si>
    <t>инв.02060984. монитор 17,клав-ра, мышь, колонки</t>
  </si>
  <si>
    <t>2.5.1674.К</t>
  </si>
  <si>
    <t>Скамейка садовая</t>
  </si>
  <si>
    <t>инв.110136000040-51. скамейка со спинкой, размеры 1900х440 мм, высота спинки 800 мм. Материал доска (брус) шлифованная 40х40 мм 1,8-2,0 м</t>
  </si>
  <si>
    <t>2.4.3068</t>
  </si>
  <si>
    <t>20/2020/ЕП46220200068</t>
  </si>
  <si>
    <t>2.4.3069</t>
  </si>
  <si>
    <t>Весы аналитические САРТОГОМСМ СЕ124-С</t>
  </si>
  <si>
    <t>инв.13601855. зав.номер 39425013. Изготовитель ООО "Сартогосм"</t>
  </si>
  <si>
    <t>18/09/20-В</t>
  </si>
  <si>
    <t>2.4.3070.К</t>
  </si>
  <si>
    <t>Металлический столб со светильниками</t>
  </si>
  <si>
    <t>акт результатов инвентаризации опор со светильнмками</t>
  </si>
  <si>
    <t>площадь им.А.А.Фомичева, высота- до 4 м, погруженного в бетонное основание. 4 светильнимка торшерного "Шар" (д.250 мм, цвет-опал) и 1 светильник торшерный "Шар" (д.400 мм, цвет молочно-белый)</t>
  </si>
  <si>
    <t>2.6.0043.К</t>
  </si>
  <si>
    <t>ЕП9-0120200205</t>
  </si>
  <si>
    <t xml:space="preserve">инв.210106300098. В комплект входит: видеокамера - 6 шт., видеорегистратор - 1 шт. </t>
  </si>
  <si>
    <t>инв.ВА000000060099-100</t>
  </si>
  <si>
    <t>1862/ЕП40620200079</t>
  </si>
  <si>
    <t>2.4.3071</t>
  </si>
  <si>
    <t xml:space="preserve">Договор купли-продажи </t>
  </si>
  <si>
    <t>2.4.3072</t>
  </si>
  <si>
    <t>инв.10104222-10104223</t>
  </si>
  <si>
    <t>22/2020</t>
  </si>
  <si>
    <t>Облучатель-рециркулятор медицинский Армед 1-115МТ</t>
  </si>
  <si>
    <t>Фотограмметрическое программное обеспечение</t>
  </si>
  <si>
    <t>Аккумуляторная дрель-винтоверт Metabo</t>
  </si>
  <si>
    <t>2.4.3074</t>
  </si>
  <si>
    <t>2.4.3075</t>
  </si>
  <si>
    <t>Распоряжение (край); Акт о приеме-передаче объектов нефинансовых  автивов (край)</t>
  </si>
  <si>
    <t>2.5.1677</t>
  </si>
  <si>
    <t>Диван для проектной деятельности</t>
  </si>
  <si>
    <t>Винил-кожа, 3-х местный</t>
  </si>
  <si>
    <t>1241</t>
  </si>
  <si>
    <t>2.5.1678</t>
  </si>
  <si>
    <t>Конструктор образовательный Алтай</t>
  </si>
  <si>
    <t>Распоряжение (край)</t>
  </si>
  <si>
    <t>2.5.1679</t>
  </si>
  <si>
    <t>2.5.1680</t>
  </si>
  <si>
    <t>Кресло мешок</t>
  </si>
  <si>
    <t>2.5.1681</t>
  </si>
  <si>
    <t>Манекен тренажор для отработки сердечно-легочной реанимации</t>
  </si>
  <si>
    <t>2.4.3076</t>
  </si>
  <si>
    <t>2.4.3077</t>
  </si>
  <si>
    <t xml:space="preserve">Ноутбук HP </t>
  </si>
  <si>
    <t>2.4.3078</t>
  </si>
  <si>
    <t>Pavilion 15i5-10300H 16GSSD512Gb n VCTX1660TiMAXQ6GB 15.6 черный</t>
  </si>
  <si>
    <t>2.4.3079</t>
  </si>
  <si>
    <t>2.5.1682</t>
  </si>
  <si>
    <t>Стеллаж для проектной деятельности</t>
  </si>
  <si>
    <t xml:space="preserve">ЛДСП
400*2248*1807,бело-красный
</t>
  </si>
  <si>
    <t>2.5.1683</t>
  </si>
  <si>
    <t xml:space="preserve">Стол для игры в шахматы </t>
  </si>
  <si>
    <t>ДСП с пластиковым покрытием800*800*760</t>
  </si>
  <si>
    <t>Стол для проектной деятельности</t>
  </si>
  <si>
    <t>2.5.1684</t>
  </si>
  <si>
    <t>ДСП с пластиковым покрытием11200*600*520 высота 760</t>
  </si>
  <si>
    <t>2.5.1685</t>
  </si>
  <si>
    <t xml:space="preserve">Стол для проектной деятельности  </t>
  </si>
  <si>
    <t>ДСП с пластиковым покрытием11185*650*520 высота 750</t>
  </si>
  <si>
    <t>Стул для игры в шахматы</t>
  </si>
  <si>
    <t>2.5.1686</t>
  </si>
  <si>
    <t>ЛДСП красный, стальной профиль</t>
  </si>
  <si>
    <t>2.5.1687</t>
  </si>
  <si>
    <t>Стул для проектной деятельности</t>
  </si>
  <si>
    <t>Искуственная кожа,хромированный каркас,серый цвет</t>
  </si>
  <si>
    <t>2.5.1688</t>
  </si>
  <si>
    <t>Тренажер –манекен для отработки приемов удаления инородного тела из верхних дыхательных путей</t>
  </si>
  <si>
    <t>2.5.1689</t>
  </si>
  <si>
    <t>Тумба выкотная</t>
  </si>
  <si>
    <t>ЛДСП 434*454*587</t>
  </si>
  <si>
    <t>2.5.1690</t>
  </si>
  <si>
    <t>2.4.3080</t>
  </si>
  <si>
    <t>Цифровой фотоаппаратGanon EOS 2000D</t>
  </si>
  <si>
    <t>Шахматные часы LEAR Easy PQ9907 S</t>
  </si>
  <si>
    <t>2.4.3081</t>
  </si>
  <si>
    <t>Шлем виртуальной реальности HTC Vive Pro</t>
  </si>
  <si>
    <t>2.5.1691</t>
  </si>
  <si>
    <t>Канцелярские ножи Kw-Tpio3713</t>
  </si>
  <si>
    <t>2.5.1692</t>
  </si>
  <si>
    <t>Карта памяти CD 64Gb</t>
  </si>
  <si>
    <t>2.5.1693</t>
  </si>
  <si>
    <t>Клеевой пистолет</t>
  </si>
  <si>
    <t>2.5.1694</t>
  </si>
  <si>
    <t>2.4.3082</t>
  </si>
  <si>
    <t>Многофункциональный инструмент (мультитул)</t>
  </si>
  <si>
    <t>Набор бандажей для легкой фиксации</t>
  </si>
  <si>
    <t>2.5.1695</t>
  </si>
  <si>
    <t>Набор бит Metabo</t>
  </si>
  <si>
    <t>2.5.1696</t>
  </si>
  <si>
    <t>Набор имитаторов травм и поражений</t>
  </si>
  <si>
    <t>2.5.1697</t>
  </si>
  <si>
    <t>Набор сверл универсальный Metabo</t>
  </si>
  <si>
    <t>2.5.1698</t>
  </si>
  <si>
    <t>Набор табельных средств для оказания первой медицинской помощи</t>
  </si>
  <si>
    <t>Набор шин транспортных для рук и ног</t>
  </si>
  <si>
    <t>2.5.1699</t>
  </si>
  <si>
    <t>2.5.1700</t>
  </si>
  <si>
    <t>2.4.3083</t>
  </si>
  <si>
    <t>Проводной микрофон XLine MD-1800 (3 м черный)</t>
  </si>
  <si>
    <t>2.4.3084</t>
  </si>
  <si>
    <t>2.4.3085</t>
  </si>
  <si>
    <t>Коврик для проведения сердечно-легочной реанимации</t>
  </si>
  <si>
    <t>2.5.1701</t>
  </si>
  <si>
    <t xml:space="preserve">Набор полотен  
для ручной ножовки
</t>
  </si>
  <si>
    <t>2.5.1702</t>
  </si>
  <si>
    <t>Набор полотен для ручной ножовки</t>
  </si>
  <si>
    <t>2.5.1703</t>
  </si>
  <si>
    <t>Штатив Hama Gamma153</t>
  </si>
  <si>
    <t>Смартфон Samsung Galaxy A50</t>
  </si>
  <si>
    <t>Ноутбук НР Pavilion 15</t>
  </si>
  <si>
    <t>2.5.1704</t>
  </si>
  <si>
    <t>Шкаф 3-х створчатый с антресолью</t>
  </si>
  <si>
    <t>2.4.3086</t>
  </si>
  <si>
    <t>Проектор Infocus IN114(вкомплекте крепление+кабель 15м)</t>
  </si>
  <si>
    <t>МФУ лазерный Kycera FS-1025 MFP</t>
  </si>
  <si>
    <t>Цифровой (электронный )штангенциркуль MATRIX31611 3 in</t>
  </si>
  <si>
    <t>2.4.3087</t>
  </si>
  <si>
    <t>Проектор Aser X 112 HP</t>
  </si>
  <si>
    <t>2.6.0047.К</t>
  </si>
  <si>
    <t>ЕП9-0120200215</t>
  </si>
  <si>
    <t>Договор купли-продажи товара</t>
  </si>
  <si>
    <t xml:space="preserve">Контракт на поставку </t>
  </si>
  <si>
    <t>ЕП4-0120200214</t>
  </si>
  <si>
    <t>снегоуборщик CHAMPION ST1170BS (1009100/090920/0085106, Китай)</t>
  </si>
  <si>
    <t>1018</t>
  </si>
  <si>
    <t>DLP, 800*66, 4000 ANSI Lm, 3Вт HDMI VGA</t>
  </si>
  <si>
    <t>1017</t>
  </si>
  <si>
    <t>HM1-000035</t>
  </si>
  <si>
    <t>1020</t>
  </si>
  <si>
    <t>Муниципальный контракт</t>
  </si>
  <si>
    <t>ЕП4-0120200224</t>
  </si>
  <si>
    <t>2.5.1705</t>
  </si>
  <si>
    <t>Уголок "Живая природа"</t>
  </si>
  <si>
    <t>Материал доска пресованная</t>
  </si>
  <si>
    <t>Постановление</t>
  </si>
  <si>
    <t>1038</t>
  </si>
  <si>
    <t>Договор</t>
  </si>
  <si>
    <t>ЕП9-0120200227</t>
  </si>
  <si>
    <t>Муниципальная казна</t>
  </si>
  <si>
    <t>2.6.0050.К</t>
  </si>
  <si>
    <t>Уголь ССОМСШ</t>
  </si>
  <si>
    <t>2.5.1706</t>
  </si>
  <si>
    <t>Сейф офисный AIKO «ТМ-120/21»</t>
  </si>
  <si>
    <t>Сейф офисный AIKO «ТМ-120/21» 1200*440*355 мм 2 отделения, ключев. замки, трейзер, 2 полки</t>
  </si>
  <si>
    <t>ЕП-0120200238</t>
  </si>
  <si>
    <t>2.5.1707</t>
  </si>
  <si>
    <t>Шкаф двухстворчатый с антресолью</t>
  </si>
  <si>
    <t>2.4.3088</t>
  </si>
  <si>
    <t>Уничтожитель бумаги Jinpex JP-830C</t>
  </si>
  <si>
    <t>Уничтожитель бумаги Jinpex JP-830C (фрагменты 2*10мм, 12 листов, 34 литров, 4 класс секретности)</t>
  </si>
  <si>
    <t>Муниципальный котракт</t>
  </si>
  <si>
    <t>2.4.3089</t>
  </si>
  <si>
    <t>Рециркулятор 1-115ПТ Армед</t>
  </si>
  <si>
    <t>Контракт</t>
  </si>
  <si>
    <t>23/2020/ЕП43120200101</t>
  </si>
  <si>
    <t>инв. 3120344</t>
  </si>
  <si>
    <t>2.4.3090</t>
  </si>
  <si>
    <t>Контроллер для белт-лайта 230В 7000Вт 4кан.x8А прогр. ДУ IP54 Neon-Night332-119</t>
  </si>
  <si>
    <t>остаток на 31.12.2020</t>
  </si>
  <si>
    <t>2.4.3091</t>
  </si>
  <si>
    <t>Насос НД 2,5 63/100 К14А-УХЛЗ</t>
  </si>
  <si>
    <t>2.4.3092</t>
  </si>
  <si>
    <t>Газоанализатор ГАНК -4С(Р) для определения-Кислота серная (2112)</t>
  </si>
  <si>
    <t>2.4.3093</t>
  </si>
  <si>
    <t>Регистратор на 32 канала</t>
  </si>
  <si>
    <t>2.4.3094</t>
  </si>
  <si>
    <t>Сетевой коммутатор POE на 8 каналов</t>
  </si>
  <si>
    <t>Хозяйственное ведение</t>
  </si>
  <si>
    <t>Снегоуборщик CHAMPION ST1170BS</t>
  </si>
  <si>
    <t>инв. 000100</t>
  </si>
  <si>
    <t>1078</t>
  </si>
  <si>
    <t>1079</t>
  </si>
  <si>
    <t>Оперативное управление</t>
  </si>
  <si>
    <t>1101</t>
  </si>
  <si>
    <t>Договор поставки</t>
  </si>
  <si>
    <t>ЕП43220200032</t>
  </si>
  <si>
    <t>Договор купли продажи оборудования</t>
  </si>
  <si>
    <t>32/2020т</t>
  </si>
  <si>
    <t>2.6.0052.К</t>
  </si>
  <si>
    <t>2.4.3095</t>
  </si>
  <si>
    <t>2.4.3096</t>
  </si>
  <si>
    <t>МФУ (прин/ксер/скан) Kyocera FS-1020MFP</t>
  </si>
  <si>
    <t>2.4.3097</t>
  </si>
  <si>
    <t>Рециркулятор УФ-бактерицидный</t>
  </si>
  <si>
    <t>2.4.3098</t>
  </si>
  <si>
    <t>2.5.1708</t>
  </si>
  <si>
    <t>Набор мебели для кабинета технологии</t>
  </si>
  <si>
    <t>09.12.2020</t>
  </si>
  <si>
    <t>2.4.3099</t>
  </si>
  <si>
    <t>2.4.3100</t>
  </si>
  <si>
    <t xml:space="preserve"> двухламповый с принудительной циркуляцией воздушного потока для обеззараживания воздуха помещений РБ-18«Я-ФП-01»</t>
  </si>
  <si>
    <t>двухламповый с принудительной циркуляцией воздушного потока для обеззараживания воздуха помещений РБ-18«Я-ФП-01»</t>
  </si>
  <si>
    <t>2.4.3101</t>
  </si>
  <si>
    <t>2.4.3102</t>
  </si>
  <si>
    <t>2.4.3103</t>
  </si>
  <si>
    <t>2.4.3104</t>
  </si>
  <si>
    <t>2.4.3105</t>
  </si>
  <si>
    <t>2.4.3106</t>
  </si>
  <si>
    <t>2.4.3107</t>
  </si>
  <si>
    <t>2.5.1709</t>
  </si>
  <si>
    <t>12.02.2020; 25.05.2020; 23.06.2020; 06.07.2020; 12.08.2020; 26.11.2020; 25.12.2020</t>
  </si>
  <si>
    <t>127; 432; 547; 586; 676; 989; 1105</t>
  </si>
  <si>
    <t>2.5.1710</t>
  </si>
  <si>
    <t>2.5.1711</t>
  </si>
  <si>
    <t>2.5.1712</t>
  </si>
  <si>
    <t>2.5.1713</t>
  </si>
  <si>
    <t>110136000064-110136000067</t>
  </si>
  <si>
    <t>Шкаф со штангой</t>
  </si>
  <si>
    <t>110136000062-110136000063</t>
  </si>
  <si>
    <t>Стол двойной 1400.2730.750 мм 3056</t>
  </si>
  <si>
    <t>110136000069</t>
  </si>
  <si>
    <t>Стол угловой 1870.2200.750 мм</t>
  </si>
  <si>
    <t>110136000057</t>
  </si>
  <si>
    <t>2.4.3108</t>
  </si>
  <si>
    <t>Системный блок в сборе AMD ruzen 3 2200g AM4, 8 гб ОЗУ, 1 ТБ HDD, 450W</t>
  </si>
  <si>
    <t>инв.110134000064, системный блок в сборе AMD ruzen 3 2200g AM4, 8 гб ОЗУ, 1 ТБ HDD, 450W</t>
  </si>
  <si>
    <t>2.4.3109</t>
  </si>
  <si>
    <t>2.4.3110</t>
  </si>
  <si>
    <t>МФУ RicohSP 33SN (Принтер/Сканер/Копир:А4 32 ppm256Mb LAN USB)</t>
  </si>
  <si>
    <t>инв.110134000061-110134000063, системный блок в сборе AMD ruzen 3 2200g AM4, 8 гб ОЗУ, 1 ТБ HDD, 450W</t>
  </si>
  <si>
    <t>ЕП9-0120200207</t>
  </si>
  <si>
    <t>1134</t>
  </si>
  <si>
    <t>ЕП-0120200257</t>
  </si>
  <si>
    <t>ЕП4-0120200251</t>
  </si>
  <si>
    <t>1114</t>
  </si>
  <si>
    <t>ЛДСП (Шкаф-1шт., шкаф-тумба-1шт.; тумба-1шт.)</t>
  </si>
  <si>
    <t>Рециркулятор с двумя лампамив металлическом корпусе, мощность ультрофиолетовой лампы 15 ВТ, производительность 60-90 м.куб./ч</t>
  </si>
  <si>
    <t>Контракт на поставку мед. оборудования (далее товар)</t>
  </si>
  <si>
    <t>25/2020</t>
  </si>
  <si>
    <t>1106</t>
  </si>
  <si>
    <t>ТД-00123</t>
  </si>
  <si>
    <t>03/09/20-НД</t>
  </si>
  <si>
    <t>Инв.номер 13601857. Насос НД 2,5 63/100 К14А-УХЛЗ заводской номер 1656; паспорт: без номера. Предприятие изготовитель: Самарапромкомплект"</t>
  </si>
  <si>
    <t>Инв. Номер 13601856. Заводской номер 2112, Паспорт: КПГУ.413322.002ПС Предприятие изготовитель: ООО "НПО"Прибор Ганк"</t>
  </si>
  <si>
    <t>Музыкальный центр LG OL90DK</t>
  </si>
  <si>
    <t>1115</t>
  </si>
  <si>
    <t>Договор купли-продажи</t>
  </si>
  <si>
    <t>16/ЕП43220200025</t>
  </si>
  <si>
    <t>1116</t>
  </si>
  <si>
    <t>27/2020</t>
  </si>
  <si>
    <t>Инв. 10104227. двухламповый с принудительной циркуляцией воздушного потока для обеззараживания воздуха помещений РБ-18«Я-ФП-01»</t>
  </si>
  <si>
    <t>Инв.10104225-10104226. Прямоугольной формы, металлический корпус белого цвета</t>
  </si>
  <si>
    <t>1117</t>
  </si>
  <si>
    <t xml:space="preserve">Контракт на поставку мед.оборудования </t>
  </si>
  <si>
    <t>31/2020/2920200108</t>
  </si>
  <si>
    <t>29/2020/2720200079</t>
  </si>
  <si>
    <t>ДП-12 (к), 1512*1012мм</t>
  </si>
  <si>
    <t>Доска поворотная, напольная комбинированная</t>
  </si>
  <si>
    <t>1119</t>
  </si>
  <si>
    <t>52/2720200067</t>
  </si>
  <si>
    <t xml:space="preserve">Договор поставки  </t>
  </si>
  <si>
    <t>Системный блок Aerocool Cylon</t>
  </si>
  <si>
    <t>Aerocool Cylon</t>
  </si>
  <si>
    <t>1120</t>
  </si>
  <si>
    <t>Б-00500163/2620200083</t>
  </si>
  <si>
    <t>24/2020/2520200121</t>
  </si>
  <si>
    <t>1109</t>
  </si>
  <si>
    <t>ЕП43120200098</t>
  </si>
  <si>
    <t>22.12.2016; 29.12.2020</t>
  </si>
  <si>
    <t>1349; 1131</t>
  </si>
  <si>
    <t>1129</t>
  </si>
  <si>
    <t>2.4.3073</t>
  </si>
  <si>
    <t>2.5.0495.К</t>
  </si>
  <si>
    <t>2.5.1210.К</t>
  </si>
  <si>
    <t>2.5.1366.К</t>
  </si>
  <si>
    <t>2.4.0042</t>
  </si>
  <si>
    <t>2.6.0053.К</t>
  </si>
  <si>
    <t>2.6.0054.К</t>
  </si>
  <si>
    <t>инв.1380076</t>
  </si>
  <si>
    <t>25.12.2020; 30.12.2020</t>
  </si>
  <si>
    <t>1105; 1137</t>
  </si>
  <si>
    <t>Котел БКЗ-75-39 ФБ №9</t>
  </si>
  <si>
    <t>2.4.3111</t>
  </si>
  <si>
    <t>двухламповый с принудительной циркуляцией воздушного потока для обеззараживания воздуха помещений РБ-18"Я-ФП"-01</t>
  </si>
  <si>
    <t>28/2020/2620200082</t>
  </si>
  <si>
    <t>2.4.3112</t>
  </si>
  <si>
    <t>Рециркулятор одноамповый, мощностью 15 ВТ, с таймером в пластмассовом корпусе</t>
  </si>
  <si>
    <t>2.4.3113</t>
  </si>
  <si>
    <t>28/2020/2320200115</t>
  </si>
  <si>
    <t>2.4.3114</t>
  </si>
  <si>
    <t>Одноамповый, УФ лампа мощностью 15 ВТ,пластиковый корпус</t>
  </si>
  <si>
    <t>2.4.3115</t>
  </si>
  <si>
    <t>Планшет тепловизор Genco TeSa001</t>
  </si>
  <si>
    <t>408-20</t>
  </si>
  <si>
    <t>2.4.3116</t>
  </si>
  <si>
    <t>Бесконтактное определение температуры тела человека с ав-томатической пода-чей антисептическо-го средства</t>
  </si>
  <si>
    <t>Плита электрическая ЭП - 4 ЖШ</t>
  </si>
  <si>
    <t>2.4.3117</t>
  </si>
  <si>
    <t>Шкаф жарочный ШЖЭ-3</t>
  </si>
  <si>
    <t>Инв. 10104727 Колличество камер-3, габаритные размеры 840*900*1500 мм; размеры противня 530*470 мм</t>
  </si>
  <si>
    <t>Инв. 10104725-10104726 Плита электрическая четырехконфорочная с жарочным шкафом; размер плиты 1050*895*860 мм</t>
  </si>
  <si>
    <t>2.4.3118</t>
  </si>
  <si>
    <t>Электрокипятильник КНЭ-50-01 (нержав)</t>
  </si>
  <si>
    <t>Инв. 10104728 Электрокипятильник непрерывного действия корпус из нержавеющей стали, размеры 250*250*360 мм</t>
  </si>
  <si>
    <t>2.4.3119</t>
  </si>
  <si>
    <t>Универсальная кухонная машина УКМ-01</t>
  </si>
  <si>
    <t>2.4.3120</t>
  </si>
  <si>
    <t>30/2020/2820200084</t>
  </si>
  <si>
    <t>2.4.3121</t>
  </si>
  <si>
    <t>2.5.1714</t>
  </si>
  <si>
    <t>Шагоход 2</t>
  </si>
  <si>
    <t>322/2820200093</t>
  </si>
  <si>
    <t>Инв. 10104734 Двухламповый с принудительной циркуляцией воздушного потока для обеззараживания воздуха помещений РБ-18"Я-ФП"-01</t>
  </si>
  <si>
    <t>Инв. 10104730-10104733 Рециркулятор одноламповый закрытого типа, корпус выполнен из ударопрочного ABS-пластика</t>
  </si>
  <si>
    <t>Инв. 10104729 Мясорубка, овощерезка с протиркой, взбивалка с бачком</t>
  </si>
  <si>
    <t>Инв. 10106765 Размеры: 1950*1020*1200</t>
  </si>
  <si>
    <t>2.5.1715</t>
  </si>
  <si>
    <t>Лабиринт "Подводная лодка"</t>
  </si>
  <si>
    <t>Инв. 10106766 Размеры: 2440*1050*1350</t>
  </si>
  <si>
    <t>2.5.1716</t>
  </si>
  <si>
    <t>Лаз "Лошадка"</t>
  </si>
  <si>
    <t>2.5.1717</t>
  </si>
  <si>
    <t>Стенка для перелазания 2</t>
  </si>
  <si>
    <t>Инв. 10106767 Размеры: 1800*650*1700</t>
  </si>
  <si>
    <t>Инв. 10106768 Размеры: 1000*1000*1600</t>
  </si>
  <si>
    <t>2.5.1718</t>
  </si>
  <si>
    <t>Стенка для метания мяча с мишенями 1</t>
  </si>
  <si>
    <t>Инв. 10106769 Размеры: 1860*225*1600</t>
  </si>
  <si>
    <t>2.5.1719</t>
  </si>
  <si>
    <t>Качалка "Морская звезда"</t>
  </si>
  <si>
    <t>Инв. 10106770 Размеры 1200*700*1037</t>
  </si>
  <si>
    <t>2.5.1720</t>
  </si>
  <si>
    <t>Щетка для чистки и расчесывания искуственной травы 1,5 м</t>
  </si>
  <si>
    <t>Инв. 3061374 Треугольная щетка для искуственных покрытий и газонов предназначена для ухода за волокнами искусственного травянного покрытия. Размеры: 1500*1500*250 Ширина захвата: 170 см., вес: 30 кг., материал ворса: полиэтилен, материал основы: сталь, цвет: зеленый/белый.</t>
  </si>
  <si>
    <t>П56/20 ЕП46120200054</t>
  </si>
  <si>
    <t>2.4.3122</t>
  </si>
  <si>
    <t>Планшет-тепловизор Genco TeSa 001</t>
  </si>
  <si>
    <t xml:space="preserve">Договор поставки </t>
  </si>
  <si>
    <t>410-20</t>
  </si>
  <si>
    <t>2.4.3123</t>
  </si>
  <si>
    <t>Цифровой дисплей с динамиком и инфракрасным датчиком</t>
  </si>
  <si>
    <t>409-20</t>
  </si>
  <si>
    <t>Поступило за период 2019 -2020-2021</t>
  </si>
  <si>
    <t>Фактически израсходовано за 12-2020</t>
  </si>
  <si>
    <t>фактически израсходовано за 01-2021</t>
  </si>
  <si>
    <t>2.6.0055.К</t>
  </si>
  <si>
    <t>2.6.0056.К</t>
  </si>
  <si>
    <t>Слабоспекающийся</t>
  </si>
  <si>
    <t>Слабоспекающийся ССОМСШ</t>
  </si>
  <si>
    <t>Слабоспекающийся ССРОК</t>
  </si>
  <si>
    <t>2.5.1721</t>
  </si>
  <si>
    <t xml:space="preserve">Электромеханический конструктор </t>
  </si>
  <si>
    <t>Инв. 10106997-10106998 LEGO Education WeDo 2/04530 Базовый набор</t>
  </si>
  <si>
    <t>2.4.3124</t>
  </si>
  <si>
    <t>инв. ВА000000060101-ВА000000060102</t>
  </si>
  <si>
    <t>2075/ЕП0620200092</t>
  </si>
  <si>
    <t>53</t>
  </si>
  <si>
    <t>2.4.2818.К</t>
  </si>
  <si>
    <t>Остаток на 28.02.2021</t>
  </si>
  <si>
    <t>ЕП9-0120210034</t>
  </si>
  <si>
    <t>ЕП9-0120210035</t>
  </si>
  <si>
    <t>Остаток на 01.01.2021</t>
  </si>
  <si>
    <t>Фактически израсходовано за февраль 2021</t>
  </si>
  <si>
    <t>Остаток</t>
  </si>
  <si>
    <t>Сумма</t>
  </si>
  <si>
    <t>распоряжение (край); распоряжение (край); распоряжение (край); распоряжение (край); распоряжение (край); распоряжение (край); распоряжение (край); распоряжение (край); приказ (край); распоряжение (край); приказ (край); приказ (край); приказ (край); приказ (край); приказ (край); распоряжение (край); распоряжение (край); приказ (край); приказ (край); распоряжение (край); приказ (край); распоряжение (край); договор розничной купли-продажи; распоряжение (край); договор поставки ; распоряжение (край)печатных изданий; распоряжение (край); распоряжение (край); договор розничной купли-продажи;распоряжение (край);распоряжение (край)</t>
  </si>
  <si>
    <t>30.12.2020; 18.02.2021</t>
  </si>
  <si>
    <t>1137; 129</t>
  </si>
  <si>
    <t>инв.10104370, сист.блок ADM Athion II X3 455, ИБП</t>
  </si>
  <si>
    <t>Высота столба до 6 м, погруженного в бетонное осно-вание. Вдоль пешеходной дорожки по ул. Мира от ул. Кулундинская до ул. Барнаульская</t>
  </si>
  <si>
    <t>Акт инвентаризации</t>
  </si>
  <si>
    <t>Металлические столбы уличного освещения</t>
  </si>
  <si>
    <t>02.09.2011</t>
  </si>
  <si>
    <t>Комитет администрации г. Яровое по культуре, спорту и молодежной политике</t>
  </si>
  <si>
    <t>14.11.2007, 11.03.2021</t>
  </si>
  <si>
    <t>807, 168</t>
  </si>
  <si>
    <t xml:space="preserve">Постановление </t>
  </si>
  <si>
    <t>168</t>
  </si>
  <si>
    <t>Фактически израсходовано за март 2021</t>
  </si>
  <si>
    <t>0.700</t>
  </si>
  <si>
    <t>фактически израсходовано за 03-2021</t>
  </si>
  <si>
    <t>Остаток на 23.03.2021</t>
  </si>
  <si>
    <t>2.4.3125</t>
  </si>
  <si>
    <t>Муфельная печь</t>
  </si>
  <si>
    <t>52,5/1150/4,5кВт/220В,Гл 500*Ш300хв350(объем внутренней камеры), изготовлена из плиты ШВП, корпус из металла 0,7 мм</t>
  </si>
  <si>
    <t>2.5.1583.К</t>
  </si>
  <si>
    <t xml:space="preserve">объем-0,75 м3, материал корпуса-стальной лист, толщина металла корпуса-2 мм, размер уголка-40х40 мм. Габариты: высота (без колес)-1100 мм, по нижнему краю-700х700 мм, по верхнему краю-900х900мм, грузоподъемность-400 кг. Колесо усиленное большегрузное-4 шт. </t>
  </si>
  <si>
    <t>ул.Мира возле шк.№ 12 северное направление. инв.110134000005. стойка консольная светофорная-6,5м, закладная из стальной трубы-2м, светофор дорожный светодиодный Е.7-1 шт, шкаф с контроллером-1шт., аккумуляторная батарея 40А*ч-1шт, панель солнечная-1шт.</t>
  </si>
  <si>
    <t>ул.Мира возле шк.№12 южное направление. инв.110134000005. стойка консольная светофорная-6,5м, закладная из стальной трубы-2м, светофор дорожный светодиодный Е.7-1 шт, шкаф с контроллером - 1шт, аккумуляторная батарея 40А*ч-1шт, панель солнечная-1шт.</t>
  </si>
  <si>
    <t>ул.Мира возле шк.№14 северное направление. инв.110134000005. стойка консольная светофорная -6,5м, закладная из стальной трубы-2м, светофор дорожный светодиодный Е.7-1 шт, шкаф с контроллером-1шт., аккумуляторная батарея 40А*ч-1шт, панель солнечная-1шт.</t>
  </si>
  <si>
    <t>2.4.3126</t>
  </si>
  <si>
    <t>T 10s 3G/L TE 64GB Blue 1920x1200/IPS/4x2Ghz-4x1/ 7Ghz/3Gb/Cam5+2/5100m</t>
  </si>
  <si>
    <t>ЕП43120210027</t>
  </si>
  <si>
    <t>Планшет Huawei Matepad</t>
  </si>
  <si>
    <t>2.4.3127</t>
  </si>
  <si>
    <t>SNR-UPS-LID-600-LED</t>
  </si>
  <si>
    <t xml:space="preserve">Samsung EVO Plus micro SDXC 64 Гб </t>
  </si>
  <si>
    <t xml:space="preserve">Карта памяти </t>
  </si>
  <si>
    <t>2.4.3128</t>
  </si>
  <si>
    <t>2.4.3129</t>
  </si>
  <si>
    <t>Коммутатор с функцией PoE MES2308P</t>
  </si>
  <si>
    <t>2.4.3130</t>
  </si>
  <si>
    <t>IP- камера DS-2CD2345F-IS (версия с микрофоном)</t>
  </si>
  <si>
    <t>11*200 мм., цвет прозрачный 12 шт.</t>
  </si>
  <si>
    <t xml:space="preserve">Набор запасных стержней для клеевого пистолета Matrix </t>
  </si>
  <si>
    <t>A-86898</t>
  </si>
  <si>
    <t xml:space="preserve">Набор универсальных пилок для электролобзика Makita </t>
  </si>
  <si>
    <t xml:space="preserve">Ручной лобзик Кобальт </t>
  </si>
  <si>
    <t>246-555</t>
  </si>
  <si>
    <t xml:space="preserve">Электролобзик Makita </t>
  </si>
  <si>
    <t>4329X 1</t>
  </si>
  <si>
    <t>Шкаф холодильный среднетемпературный</t>
  </si>
  <si>
    <t>Постановление, Договор безвозмездного пользования имуществом</t>
  </si>
  <si>
    <t>22.08.2014, 13.03.2017</t>
  </si>
  <si>
    <t>734,                    17-03-01</t>
  </si>
  <si>
    <t>Abat ЭП-6ЖШ-01 промышленная 6-х конфорочная с жарочным шкафом</t>
  </si>
  <si>
    <t xml:space="preserve">Плита электрическая </t>
  </si>
  <si>
    <t>Abat ЭП-4ЖШ-01 промышленная 4-х конфорочная с жарочным шкафом</t>
  </si>
  <si>
    <t>2.4.3134</t>
  </si>
  <si>
    <t>2.4.3133</t>
  </si>
  <si>
    <t>05.04.2021, 07.07.2021</t>
  </si>
  <si>
    <t>240, 245</t>
  </si>
  <si>
    <t>240, 248</t>
  </si>
  <si>
    <t>05.04.2021, 07.04.2021</t>
  </si>
  <si>
    <t>2.5.1724</t>
  </si>
  <si>
    <t>2.4.3131</t>
  </si>
  <si>
    <t>2.4.3132</t>
  </si>
  <si>
    <t>240, 248, 269</t>
  </si>
  <si>
    <t>05.04.2021, 07.04.2021, 13.04.2021</t>
  </si>
  <si>
    <t>240, 246, 267, 269</t>
  </si>
  <si>
    <t>05.04.2021, 07.04.2021, 13.04.2021, 13.04.2021</t>
  </si>
  <si>
    <t>Фактически израсходовано за апрель 2021</t>
  </si>
  <si>
    <t>06.07.2020, 29.09.2020; 06.11.2020; 26.11.2020; 25.12.2020; 30.12.2020; 18.02.2021; 14.04.2021</t>
  </si>
  <si>
    <t>586; 818; 920; 989; 1105; 1137; 129; 275</t>
  </si>
  <si>
    <t>1347, 247, 286</t>
  </si>
  <si>
    <t>22.12.2016, 07.04.2021, 15.04.2021</t>
  </si>
  <si>
    <t>2.6.0057.К</t>
  </si>
  <si>
    <t>Уголь СС-слабоспекающийся</t>
  </si>
  <si>
    <t>инв.01300035,17/1</t>
  </si>
  <si>
    <t>Оборудование для дошкольных образовательных организаций ПДД</t>
  </si>
  <si>
    <t>2021</t>
  </si>
  <si>
    <t>10106863</t>
  </si>
  <si>
    <t>2.5.1725</t>
  </si>
  <si>
    <t>2.5.1726</t>
  </si>
  <si>
    <t>2.5.1727</t>
  </si>
  <si>
    <t>2.4.3135</t>
  </si>
  <si>
    <t>2.6.0058.К</t>
  </si>
  <si>
    <t>ЕП9-0120210084</t>
  </si>
  <si>
    <t>2.4.3136</t>
  </si>
  <si>
    <t>2.4.3137</t>
  </si>
  <si>
    <t>2.4.3138</t>
  </si>
  <si>
    <t>Интерактивный комплекс ViewSonic</t>
  </si>
  <si>
    <t>316</t>
  </si>
  <si>
    <t>ЕП9-0120210082</t>
  </si>
  <si>
    <t>фактически израсходовано за 04-2021</t>
  </si>
  <si>
    <t>Остаток на 17.05.2021</t>
  </si>
  <si>
    <t>2.6.0059.К</t>
  </si>
  <si>
    <t>30.042021</t>
  </si>
  <si>
    <t>ЕП9-0120210087</t>
  </si>
  <si>
    <t>2.6.0060.К</t>
  </si>
  <si>
    <t>Остаток на 20.05.2021</t>
  </si>
  <si>
    <t>2.4.3139</t>
  </si>
  <si>
    <t xml:space="preserve">ПК DEXP </t>
  </si>
  <si>
    <t>Aquilon O243 A8-9600/256GB SSD/Win1OH</t>
  </si>
  <si>
    <t>А-00171628/292021004/</t>
  </si>
  <si>
    <t>ЭРА-светильник уличный</t>
  </si>
  <si>
    <t>ЭРА-светильник уличный  на солнечной батарее, 40W (7501m) 5000К, датчик движ., ПДУ, IP65 3363</t>
  </si>
  <si>
    <t>казна</t>
  </si>
  <si>
    <t>ЕП9-0120210095 от 17.05.2021</t>
  </si>
  <si>
    <t>2.5.1728.К</t>
  </si>
  <si>
    <t>2.4.3140</t>
  </si>
  <si>
    <t xml:space="preserve">ЕП4-0120210113 </t>
  </si>
  <si>
    <t>МФУ RicohSP 330SEN (А4, 32 стр/мин копир/принтер/сканер)</t>
  </si>
  <si>
    <t>2.5.1729.К</t>
  </si>
  <si>
    <t>28.05.2021</t>
  </si>
  <si>
    <t>ЕП9-0120210067 от 23.03.2021</t>
  </si>
  <si>
    <t>Ул. Заводская 24 (установлено 2 контейнера)</t>
  </si>
  <si>
    <t>2.5.1730.К</t>
  </si>
  <si>
    <t>Площадка для установки контейнеров сбора твердых коммунальных отходов</t>
  </si>
  <si>
    <t>Ул. Пушкина 20 (установлено 2 контейнера)</t>
  </si>
  <si>
    <t>2.5.1731.К</t>
  </si>
  <si>
    <t>Ул. Строительная 8/1 (установлено 2 контейнера)</t>
  </si>
  <si>
    <t>Ул. Садовая 7 (установлено 2 контейнера)</t>
  </si>
  <si>
    <t>2.5.1732.К</t>
  </si>
  <si>
    <t>2.5.1733.К</t>
  </si>
  <si>
    <t>Ул. Алтайская 7 (установлено 2 контейнера)</t>
  </si>
  <si>
    <t>2.5.1734.К</t>
  </si>
  <si>
    <t>Ул. Алтайская 25 (установлено 2 контейнера)</t>
  </si>
  <si>
    <t>2.5.1735.К</t>
  </si>
  <si>
    <t>2.5.1736.К</t>
  </si>
  <si>
    <t>Ул. Менделеева 4 (установлено 3 контейнера)</t>
  </si>
  <si>
    <t>Ул. Заводская 4 (установлено 3 контейнера)</t>
  </si>
  <si>
    <t>2.5.1737.К</t>
  </si>
  <si>
    <t>Ул. Ленина 5 (установлено 3 контейнера)</t>
  </si>
  <si>
    <t>2.5.1738.К</t>
  </si>
  <si>
    <t>Квартал Б-11 (установлено 3 контейнера)</t>
  </si>
  <si>
    <t>2.5.1739.К</t>
  </si>
  <si>
    <t>Квартал А-28 (установлено 4 контейнера)</t>
  </si>
  <si>
    <t>2.5.1740.К</t>
  </si>
  <si>
    <t>Ул. 40 лет Октября 12 (установлено 4 контейнера)</t>
  </si>
  <si>
    <t>2.5.1741.К</t>
  </si>
  <si>
    <t>Ул. Пушкина 2а (установлено 4 контейнера)</t>
  </si>
  <si>
    <t>2.5.1742.К</t>
  </si>
  <si>
    <t>Квартал А-36 (установлено 6 контейнера)</t>
  </si>
  <si>
    <t>2.5.1743.К</t>
  </si>
  <si>
    <t>Квартал А-34 (установлено 6 контейнера)</t>
  </si>
  <si>
    <t>2.5.1744.К</t>
  </si>
  <si>
    <t>Квартал Б-22 (установлено 6 контейнера)</t>
  </si>
  <si>
    <t>2.4.3141</t>
  </si>
  <si>
    <t>12/04/2021</t>
  </si>
  <si>
    <t>Инв. 19/39/-001201                      ПРЭМ-80-ГС L2/-/F Класс D с БП индикацией</t>
  </si>
  <si>
    <t>2.4.3142</t>
  </si>
  <si>
    <t>Инв. 19/37/-001073                     iC-VC8052W  iCartool</t>
  </si>
  <si>
    <t>Видеоэндоскоп управляемый с экраном</t>
  </si>
  <si>
    <t>15/04-21</t>
  </si>
  <si>
    <t>2.4.3143</t>
  </si>
  <si>
    <t>Комплект визуально-измерительного контроля ВИК-Универсальный</t>
  </si>
  <si>
    <t xml:space="preserve">Инв. 19/37-001072          </t>
  </si>
  <si>
    <t>2.4.3144</t>
  </si>
  <si>
    <t>Лазерный дальномер Leica Disto X3 с поверкой</t>
  </si>
  <si>
    <t xml:space="preserve">Инв. 19/39-001202        </t>
  </si>
  <si>
    <t>15/04/21</t>
  </si>
  <si>
    <t>Бетономешалка БМ-140 Вихрь 74/1/6</t>
  </si>
  <si>
    <t xml:space="preserve">Инв. 19/37-001074      </t>
  </si>
  <si>
    <t>2.4.3145</t>
  </si>
  <si>
    <t>Весы настольные электронные тензометрические для статического взвешивания МТ</t>
  </si>
  <si>
    <t>Весы настольные электронные тензометрические для статического взвешивания МТ для взвешивания</t>
  </si>
  <si>
    <t>Шкаф расстоечный Abat ШРТ-8</t>
  </si>
  <si>
    <t>Комплект для обучения шахматам</t>
  </si>
  <si>
    <t>Пластик для 3D принтера</t>
  </si>
  <si>
    <t>3D принтер</t>
  </si>
  <si>
    <t>Квадракоптер Геоскан Пионер (макс)</t>
  </si>
  <si>
    <t>Квадракоптер Геоскан Пионер (мини)</t>
  </si>
  <si>
    <t>2.4.3150</t>
  </si>
  <si>
    <t>Оргтехника (Системный блок в сборе)</t>
  </si>
  <si>
    <t>Оргтехника (МФУ лазерное HP Laser Jet Pro 400 M 428 dw (черная-белая печать, А4, 3600*60 dpi, ч/б-38 Ethemel (RJ-45, USB)</t>
  </si>
  <si>
    <t>2.4.3151</t>
  </si>
  <si>
    <t>2.4.3152</t>
  </si>
  <si>
    <t>МФУ Ricoh SP 330SN</t>
  </si>
  <si>
    <t>2.6.0061.К</t>
  </si>
  <si>
    <t>Фактически израсходовано за июнь 2021</t>
  </si>
  <si>
    <t>фактически израсходовано за 06-2021</t>
  </si>
  <si>
    <t xml:space="preserve">Остаток </t>
  </si>
  <si>
    <t>2.6.0062.К</t>
  </si>
  <si>
    <t>Уголь каменный марки Промпродукт</t>
  </si>
  <si>
    <t>378; 463</t>
  </si>
  <si>
    <t>340; 463</t>
  </si>
  <si>
    <t xml:space="preserve">30.04.2021; 22.06.2021; </t>
  </si>
  <si>
    <t>20.05.2021; 22.06.2021</t>
  </si>
  <si>
    <t>06.11.2020; 26.11.2020; 25.12.2020; 30.12.2020; 22.06.2021</t>
  </si>
  <si>
    <t>920; 989; 1105; 1137; 463</t>
  </si>
  <si>
    <t>инв.19//39-001204/1,2</t>
  </si>
  <si>
    <t>инв.19/39-001205</t>
  </si>
  <si>
    <t>2021/19-05</t>
  </si>
  <si>
    <t>инв. 10104386, А4, 32 стр/мин, копир/принтер/сканер</t>
  </si>
  <si>
    <t>710/022021 0040</t>
  </si>
  <si>
    <t>ЕП9-0120210111</t>
  </si>
  <si>
    <t>Распоряжение Управления имущественных отношений АК</t>
  </si>
  <si>
    <t>10.03.2021; 15.03.2021; 29.03.2021; 02.04.2021; 02.04.2021</t>
  </si>
  <si>
    <t>311; 325; 400; 440; 439</t>
  </si>
  <si>
    <t>27.06.2014; 21.06.2021</t>
  </si>
  <si>
    <t>606; 451</t>
  </si>
  <si>
    <t>озеленение массива, ограниченного ул.Кулундинская, ул.40 лет Октября и аттракционами (709 ед.: дуб - 24, сосна-105, лиственница - 82, рябина -36, тополь пирамидальный - 437, снежноягодник - 6, вяз - 4, ива-8, клен - 7)</t>
  </si>
  <si>
    <t>2.4.3153</t>
  </si>
  <si>
    <t>29.12.2020; 21.06.2021</t>
  </si>
  <si>
    <t>1134; 448</t>
  </si>
  <si>
    <t>инв.110134000069-110134000070 МФУ RicohSP 33SN (Принтер/Сканер/Копир:А4 32 ppm256Mb LAN USB)</t>
  </si>
  <si>
    <t>инв.110134000068 МФУ RicohSP 33SN (Принтер/Сканер/Копир:А4 32 ppm256Mb LAN USB)</t>
  </si>
  <si>
    <t>24.05.2021</t>
  </si>
  <si>
    <t>390</t>
  </si>
  <si>
    <t>Водонагреватель проточный</t>
  </si>
  <si>
    <t>2.4.3154.К</t>
  </si>
  <si>
    <t xml:space="preserve">Герметизатор ПЗУ - 3А КМВ для труб 500-800 мм </t>
  </si>
  <si>
    <t>Инв. 19/19-000034</t>
  </si>
  <si>
    <t>24-05</t>
  </si>
  <si>
    <t xml:space="preserve">Герметизатор ПЗУ - 2 КМВ для труб 200-400 мм </t>
  </si>
  <si>
    <t>Инв. 19/39-001207</t>
  </si>
  <si>
    <t>Произв. АО "ЭВАН"</t>
  </si>
  <si>
    <t>Инв. 19/37-001075</t>
  </si>
  <si>
    <t>25-05</t>
  </si>
  <si>
    <t>Электродвигатель АИР 22 кВт 1500 об/мин 180S4 IM1001</t>
  </si>
  <si>
    <t>2.4.3155</t>
  </si>
  <si>
    <t>2.4.3156</t>
  </si>
  <si>
    <t>2.4.3157</t>
  </si>
  <si>
    <t>2.4.3158</t>
  </si>
  <si>
    <t>Оргтехника (Системный блок)</t>
  </si>
  <si>
    <t>Инв. 19/39-001210</t>
  </si>
  <si>
    <t>А-00236716</t>
  </si>
  <si>
    <t xml:space="preserve">Вентилятор ВЦ 4-75 № 4 с двигателем 1,5 кВт, 1500 об/мин </t>
  </si>
  <si>
    <t>2.4.3159</t>
  </si>
  <si>
    <t>Инв. 19/39-001209</t>
  </si>
  <si>
    <t>25-05/2021</t>
  </si>
  <si>
    <t>Фактически израсходовано за июль 2021</t>
  </si>
  <si>
    <t>фактически израсходовано за 07-2021</t>
  </si>
  <si>
    <t>2.4.3160</t>
  </si>
  <si>
    <t xml:space="preserve">Источник бесперебойного питания Ippon Smart Winner 1800Вт черный </t>
  </si>
  <si>
    <t>Инв. 19/39-001213</t>
  </si>
  <si>
    <t>2021/09-06</t>
  </si>
  <si>
    <t>2.4.3161</t>
  </si>
  <si>
    <t>Инв. 19/37-001076</t>
  </si>
  <si>
    <t>Электропривод МН-1</t>
  </si>
  <si>
    <t>22/06/21</t>
  </si>
  <si>
    <t>2.4.3162</t>
  </si>
  <si>
    <t>Компьютер в сборе (сист блок AMD Athlon 3000G,8 GB, I Tb HDD,120 Gb SSD)</t>
  </si>
  <si>
    <t>Б-00247346/ЕП4-0120210112</t>
  </si>
  <si>
    <t>Инв.110134000075-110134000076</t>
  </si>
  <si>
    <t>МФУ Pantum</t>
  </si>
  <si>
    <t>399</t>
  </si>
  <si>
    <t>2.4.3148</t>
  </si>
  <si>
    <t>18.06.2021, 09.07.2021</t>
  </si>
  <si>
    <t>444, 516</t>
  </si>
  <si>
    <t>2.5.1747</t>
  </si>
  <si>
    <t>2.5.1748</t>
  </si>
  <si>
    <t>2.4.3147</t>
  </si>
  <si>
    <t>08.07.2021</t>
  </si>
  <si>
    <t>12.02.2020; 16.03.2020; 21.04.2020; 25.05.2020; 23.06.2020; 06.07.2020; 12.08.2020, 29.09.2020; 06.11.2020; 26.11.2020; 25.12.2020; 30.12.2020; 18.02.2021; 22.06.2021; 13.07.2021</t>
  </si>
  <si>
    <t>127; 202; 344; 432; 547;586; 676; 818; 920; 989; 1105; 1137; 129; 463; 523</t>
  </si>
  <si>
    <t>12.02.2020; 16.03.2020; 23.06.2020; 12.08.2020; 29.09.2020; 14.04.2021; 22.06.2021; 13.07.2021</t>
  </si>
  <si>
    <t>127; 202; 547; 586; 818; 275; 463; 523</t>
  </si>
  <si>
    <t>25.12.2020; 13.07.2021</t>
  </si>
  <si>
    <t>1105; 523</t>
  </si>
  <si>
    <t>14.04.2021; 22.06.2021; 13.07.2021</t>
  </si>
  <si>
    <t>275; 463; 523</t>
  </si>
  <si>
    <t>20.05.2021; 22.06.2021; 13.07.2021</t>
  </si>
  <si>
    <t>378; 463; 523</t>
  </si>
  <si>
    <t>12.02.2020; 16.03.2020; 21.04.2020; 25.05.2020; 23.06.2020; 06.07.2020; 12.08.2020; 29.09.2020; 06.11.2020; 26.11.2020; 25.12.2020; 30.12.2020; 18.02.2021; 14.04.2021; 22.06.2021; 13.07.2021</t>
  </si>
  <si>
    <t>127; 202; 344; 432; 547; 586; 676; 818; 920; 989; 1105; 1137; 129; 275; 463; 523</t>
  </si>
  <si>
    <t>29.09.2020; 06.11.2020; 26.11.2020; 13.07.2021</t>
  </si>
  <si>
    <t>818; 920; 989; 523</t>
  </si>
  <si>
    <t>12.02.2020; 16.03.2020; 21.04.2020; 25.05.2020; 23.06.2020; 06.07.2020; 12.08.2020; 29.09.2020; 06.11.2020; 26.11.2020; 25.12.2020; 30.12.2020; 18.02.2021; 22.06.2021; 13.07.2021</t>
  </si>
  <si>
    <t>127; 202; 344; 432; 547; 586; 676; 818; 920; 989; 1105; 1137; 129; 463; 523</t>
  </si>
  <si>
    <t>818; 989; 1105; 463; 523</t>
  </si>
  <si>
    <t>13.07.2021</t>
  </si>
  <si>
    <t>Тепловычеслитель ТВ 7-01-М с БП</t>
  </si>
  <si>
    <t>Т21-020</t>
  </si>
  <si>
    <t>2.4.3164</t>
  </si>
  <si>
    <t>31.12.2019; 17.11.2020; 15.02.2021</t>
  </si>
  <si>
    <t>1086; 957; 119</t>
  </si>
  <si>
    <t>437; 130</t>
  </si>
  <si>
    <t>26.05.2015; 20.02.2021</t>
  </si>
  <si>
    <t>инв.138025-28 (26 списано)</t>
  </si>
  <si>
    <t>Тепловычеслитель предназначен для учета в регистрации параметровпотока теплоносителя</t>
  </si>
  <si>
    <t>16.07.2021</t>
  </si>
  <si>
    <t>2.4.3165</t>
  </si>
  <si>
    <t>Микшерный пульт активный YAMAHA(2*300вТ), 6 микр.входов. USB, процессор эффектов</t>
  </si>
  <si>
    <t xml:space="preserve">Договор  купли-продажи </t>
  </si>
  <si>
    <t>21.07.2021</t>
  </si>
  <si>
    <t xml:space="preserve">постановление; договор аренды; д/с  </t>
  </si>
  <si>
    <t>08.10.2010; 29.11.2010; 15.03.2021</t>
  </si>
  <si>
    <t>559; 10-11-32; 21-03-03с</t>
  </si>
  <si>
    <t xml:space="preserve">постановление; договор аренды; д/с </t>
  </si>
  <si>
    <t>2.4.3166</t>
  </si>
  <si>
    <t>Сплит - система Xigma-XG-AJ07RHA</t>
  </si>
  <si>
    <t>ЕП40620210043</t>
  </si>
  <si>
    <t>инв. ВА000000060104</t>
  </si>
  <si>
    <t>2.4.3167</t>
  </si>
  <si>
    <t>номер заводской 1762</t>
  </si>
  <si>
    <t xml:space="preserve">Отчет об оценке  </t>
  </si>
  <si>
    <t>26/07-2021</t>
  </si>
  <si>
    <t>2.4.3168</t>
  </si>
  <si>
    <t>Бойлер подогрева сетевой воды БП-200</t>
  </si>
  <si>
    <t>номер заводской 1091</t>
  </si>
  <si>
    <t>Сепаратор непрерывной продувки № 1</t>
  </si>
  <si>
    <t>2.4.3169</t>
  </si>
  <si>
    <t>номер заводской 851</t>
  </si>
  <si>
    <t>Сепаратор непрерывной продувки № 2</t>
  </si>
  <si>
    <t>2.5.1750</t>
  </si>
  <si>
    <t xml:space="preserve"> инв. 10001377</t>
  </si>
  <si>
    <t>Ёмкость V=100 м3 для хранения серной кислоты горизонтальная поз. Е1(1)</t>
  </si>
  <si>
    <t>инв. 10001378</t>
  </si>
  <si>
    <t>Отчет об оценке</t>
  </si>
  <si>
    <t>2.5.1749</t>
  </si>
  <si>
    <t>А10106143</t>
  </si>
  <si>
    <t>30.07.2021</t>
  </si>
  <si>
    <t>Ёмкость V=100 м3  серной кислоты горизонтальная для аварийного слива поз. Е1(2)</t>
  </si>
  <si>
    <t>2.4.3170</t>
  </si>
  <si>
    <t>Мотопомпа Патриот MP30065 SF</t>
  </si>
  <si>
    <t>инв. 19/39-001215</t>
  </si>
  <si>
    <t>Авансовый отчет</t>
  </si>
  <si>
    <t>227</t>
  </si>
  <si>
    <t>2.4.3171</t>
  </si>
  <si>
    <t>Газоанализатор ГАНК-4С (Р) для определения-Кислота серная (2376)</t>
  </si>
  <si>
    <t>инв. 13601865</t>
  </si>
  <si>
    <t>ТД-0076</t>
  </si>
  <si>
    <t>2.4.3172</t>
  </si>
  <si>
    <t>Газоанализатор ГАНК-4С (Р) для определения-Кислота серная (2377)</t>
  </si>
  <si>
    <t>инв. 13601866</t>
  </si>
  <si>
    <t>2.4.3174</t>
  </si>
  <si>
    <t>2.4.3175</t>
  </si>
  <si>
    <t>Ph-метр/иономер ИТАН</t>
  </si>
  <si>
    <t>инв. 13601874</t>
  </si>
  <si>
    <t>013/07-И</t>
  </si>
  <si>
    <t>2.4.3176</t>
  </si>
  <si>
    <t xml:space="preserve">МФУ лазерное HP LJ 
PRO 400 M428dw
</t>
  </si>
  <si>
    <t>инв. 19/39-001218</t>
  </si>
  <si>
    <t>А-00325971</t>
  </si>
  <si>
    <t>2.4.3177</t>
  </si>
  <si>
    <t xml:space="preserve">Контроллер регистрации, регулирования и защиты Базис-14.Р-32-Д-5-220-М-Ф
</t>
  </si>
  <si>
    <t>инв. 13601875</t>
  </si>
  <si>
    <t xml:space="preserve">Контроллер регистрации, регулирования и защиты Базис-14.ЦР-23-Д-5-220-М-ГП-Ф
</t>
  </si>
  <si>
    <t>инв. 13601877</t>
  </si>
  <si>
    <t>2.4.3178</t>
  </si>
  <si>
    <t>инв. 13601876</t>
  </si>
  <si>
    <t>26/05/2021-БАЗ</t>
  </si>
  <si>
    <t>25/05/21-БАЗ</t>
  </si>
  <si>
    <t>Датчик разности давлений ЭнИ-100-ДД-2430-02-МПЗ/ЖК-tl-050-(0…6,3)кПа-25М Па-42-С1-М20У</t>
  </si>
  <si>
    <t>26/05/2021</t>
  </si>
  <si>
    <t>2.5.1751</t>
  </si>
  <si>
    <t>ксеноновая лампа OSRAM XBO 220W/DHP OFR</t>
  </si>
  <si>
    <t>инв. ВА000000060090</t>
  </si>
  <si>
    <t>59/21/ЕП43320210049</t>
  </si>
  <si>
    <t>2.4.3149</t>
  </si>
  <si>
    <t>444; 638</t>
  </si>
  <si>
    <t>18.06.2021; 03.09.2021</t>
  </si>
  <si>
    <t>03.09.2021</t>
  </si>
  <si>
    <t>ЕП4-0120210067</t>
  </si>
  <si>
    <t>2.5.1752.К</t>
  </si>
  <si>
    <t>2.5.1753.К</t>
  </si>
  <si>
    <t>2.5.1754.К</t>
  </si>
  <si>
    <t>2.5.1755.К</t>
  </si>
  <si>
    <t>2.5.1756.К</t>
  </si>
  <si>
    <t>2.5.1757.К</t>
  </si>
  <si>
    <t>2.5.1758.К</t>
  </si>
  <si>
    <t>2.5.1759.К</t>
  </si>
  <si>
    <t>2.5.1760.К</t>
  </si>
  <si>
    <t>2.5.1761.К</t>
  </si>
  <si>
    <t>2.5.1762.К</t>
  </si>
  <si>
    <t>2.5.1763.К</t>
  </si>
  <si>
    <t>Бетонное основание с уклоном, ограждения профлистом с 3х сторон общей длинной 10 м и высотой 1,5 м. Квартал «А» - 35 (установлено 5 контейнеров)</t>
  </si>
  <si>
    <t>2.4.3163</t>
  </si>
  <si>
    <t>14.07.2021; 07.09.2021</t>
  </si>
  <si>
    <t>532; 650</t>
  </si>
  <si>
    <t>Для учебного процесса</t>
  </si>
  <si>
    <t>2.4.3146</t>
  </si>
  <si>
    <t>18.06.2021; 07.09.2021</t>
  </si>
  <si>
    <t>444; 648</t>
  </si>
  <si>
    <t>Бетонное основание с уклоном, ограждения профлистом с 3х сторон общей длинной 10 м и высотой 1,5 м. Квартал «А» - 24 (установлено 5 контейнеров)</t>
  </si>
  <si>
    <t>Бетонное основание с уклоном, ограждения профлистом с 3х сторон общей длинной 10 м и высотой 1,5 м. Квартал «А» - 30 (установлено 5 контейнеров)</t>
  </si>
  <si>
    <t>Бетонное основание с уклоном, ограждения профлистом с 3х сторон общей длинной 10 м и высотой 1,5 м. Квартал «А» - 9 (установлено 5 контейнеров)</t>
  </si>
  <si>
    <t>Бетонное основание с уклоном, ограждения профлистом с 3х сторон общей длинной 10 м и высотой 1,5 м. Квартал «Б» - 2 (установлено 5 контейнеров)</t>
  </si>
  <si>
    <t>Бетонное основание с уклоном, ограждения профлистом с 3х сторон общей длинной 10 м и высотой 1,5 м. Квартал «Б» - 15 (установлено 5 контейнеров)</t>
  </si>
  <si>
    <t>Бетонное основание с уклоном, ограждения профлистом с 3х сторон общей длинной 10 м и высотой 1,5 м. Квартал «Б» - 32 (установлено 5 контейнеров)</t>
  </si>
  <si>
    <t>Бетонное основание с уклоном, ограждения профлистом с 3х сторон общей длинной 10 м и высотой 1,5 м. Квартал «Б» - 17 (установлено 5 контейнеров)</t>
  </si>
  <si>
    <t>Бетонное основание с уклоном, ограждения профлистом с 3х сторон общей длинной 10 м и высотой 1,5 м. Квартал «В» - 5 (установлено 5 контейнеров)</t>
  </si>
  <si>
    <t>Бетонное основание с уклоном, ограждения профлистом с 3х сторон общей длинной 10 м и высотой 1,5 м. Квартал «В» - 15 (установлено 5 контейнеров)</t>
  </si>
  <si>
    <t>Бетонное основание с уклоном, ограждения профлистом с 3х сторон общей длинной 10 м и высотой 1,5 м. Квартал «В» - 8 (установлено 5 контейнеров)</t>
  </si>
  <si>
    <t>Бетонное основание с уклоном, ограждения профлистом с 3х сторон общей длинной 10 м и высотой 1,5 м. Квартал «В» - 21 (установлено 5 контейнеров)</t>
  </si>
  <si>
    <t>2.4.3179</t>
  </si>
  <si>
    <t>Вычеслитель колличества теплоты ТВ7-03 М RS232 блок питания батарейки АА(2021г)</t>
  </si>
  <si>
    <t>ВА00000000184</t>
  </si>
  <si>
    <t>324/П/ЕП46220210055</t>
  </si>
  <si>
    <t>23.09.2021</t>
  </si>
  <si>
    <t>Фактически израсходовано за сентябрь 2021</t>
  </si>
  <si>
    <t>2.5.1764.К</t>
  </si>
  <si>
    <t>2.5.1765.К</t>
  </si>
  <si>
    <t>ЕП4-0120210125</t>
  </si>
  <si>
    <t>2.5.1766.К</t>
  </si>
  <si>
    <t>2.5.1767.К</t>
  </si>
  <si>
    <t>2.5.1768.К</t>
  </si>
  <si>
    <t>2.5.1769.К</t>
  </si>
  <si>
    <t>Фигуры топиари(Львенок на черепахе 2,0*1,6*1,2)</t>
  </si>
  <si>
    <t>Фигуры топиари (Белка с орехом 2,0*1,3*1,0)</t>
  </si>
  <si>
    <t>Фигуры топиари (Медведь 2,0*1,0*1,0)</t>
  </si>
  <si>
    <t>Фигуры топиари (Павлин 1,8*1,6*0,8)</t>
  </si>
  <si>
    <t>Фигуры топиари (Слон с помпоном 2,0*1,6*0,8)</t>
  </si>
  <si>
    <t>Фигуры топиари (Улитка 1,8*1,4*1,0)</t>
  </si>
  <si>
    <t>2.4.3180</t>
  </si>
  <si>
    <t>ВА000000060091</t>
  </si>
  <si>
    <t>Гражданско-правовой контракт на поставку товара</t>
  </si>
  <si>
    <t>ЕП43320210055</t>
  </si>
  <si>
    <t>2.4.3181</t>
  </si>
  <si>
    <t>Усилитель BASSHEAD 600</t>
  </si>
  <si>
    <t>Усилитель NOVIK Е12</t>
  </si>
  <si>
    <t>ВА000000060092</t>
  </si>
  <si>
    <t>Интерактивное учебное пособие "Изобретательство на Алтае"</t>
  </si>
  <si>
    <t>Распоряжение Управления имущественных отношений Алтайского края</t>
  </si>
  <si>
    <t>Журнал «Культура Алтайского края» № 1/2021</t>
  </si>
  <si>
    <t>Журнал «Алтай» № 1/2021</t>
  </si>
  <si>
    <t>Настольная краеведческая игра «Путешествие по Алтайскому краю»</t>
  </si>
  <si>
    <t>микшерный пульт активный Behringer PMP 560M</t>
  </si>
  <si>
    <t>Договор купли продажи</t>
  </si>
  <si>
    <t>2.5.1774</t>
  </si>
  <si>
    <t>28.09.2021</t>
  </si>
  <si>
    <t>2.5.1745</t>
  </si>
  <si>
    <t>18.06.2021; 29.09.2021</t>
  </si>
  <si>
    <t>444; 715</t>
  </si>
  <si>
    <t>2.5.1775.К</t>
  </si>
  <si>
    <t>2.5.1776.К</t>
  </si>
  <si>
    <t>Опоры освещения (светильники на солнечных батареях) "Сквер для прогулок и отдыха детей квартал В"</t>
  </si>
  <si>
    <t>2.5.1777.К</t>
  </si>
  <si>
    <t>2.5.1778.К</t>
  </si>
  <si>
    <t>инв. 110132000056 Деская площадка "Сквер для прогулок и отдыха детей квартал В" состоит из: 1. Игровой комплекс Romana 2. Качели двойные смешанные Romana 3. Качалка балансир "Кошка" Romana  4. Качалки Romana 5. Карусель Romana. "Сквер для прогулок и отдыха детей квартал В" ограниченный территориями МБДОУ ЦРР д/с № 32 и жилыми домами №№ 8, 10, кв."В"</t>
  </si>
  <si>
    <t>инв. 110132000035-110132000054 Металлические опоры освещения со светильниками на солнечных батареях."Сквер для прогулок и отдыха детей квартал В" ограниченный территориями МБДОУ ЦРР д/с № 32 и жилыми домами №№ 8, 10, кв."В"</t>
  </si>
  <si>
    <t xml:space="preserve">Скамья со спинкой "Сквер для прогулок и отдыха детей квартал В" </t>
  </si>
  <si>
    <t>16.03.2021; 30.09.2021</t>
  </si>
  <si>
    <t>ЭА-0120210060; б/н</t>
  </si>
  <si>
    <t>Муниципальный котракт; Акт приема передачи</t>
  </si>
  <si>
    <t>2.5.1779.К</t>
  </si>
  <si>
    <t xml:space="preserve">Урна 830*400*400(пешеходная зона от ул. Кулундинская до ул. Барнаульская) возле скамеек </t>
  </si>
  <si>
    <t>инв. 110136000086-110136000090 Скамья со спинкой. "Сквер для прогулок и отдыха детей квартал В" ограниченный территориями МБДОУ ЦРР д/с № 32 и жилыми домами №№ 8, 10, кв."В"</t>
  </si>
  <si>
    <t>инв. 110136000091-110136000095 Урна Romana. "Сквер для прогулок и отдыха детей квартал В" ограниченный территориями МБДОУ ЦРР д/с № 32 и жилыми домами №№ 8, 10, кв."В"</t>
  </si>
  <si>
    <t>ЭА-0120210061; б/н</t>
  </si>
  <si>
    <t>2.5.1780.К</t>
  </si>
  <si>
    <t>инв. 110136000098-110136000099 Скамья 900*860*1800 (Тротуар от ул. Кулундинская до ул. Барнаульская)</t>
  </si>
  <si>
    <t>инв. 110136000100-110136000101 Урна 830*400*400. (Тротуар от ул. Кулундинская до ул. Барнаульская)</t>
  </si>
  <si>
    <t>Скамья (на территории пешеходной зоны от ул. Кулундинская до ул. Барнаульская)</t>
  </si>
  <si>
    <t>2.5.1781.К</t>
  </si>
  <si>
    <t>Перголы (на территории пешеходной зоны от ул. Кулундинская до ул. Барнаульская)</t>
  </si>
  <si>
    <t>инв. 110136000096-110136000097 Перголы 2600*1950*2300 (Тротуар от ул. Кулундинская до ул. Барнаульская)</t>
  </si>
  <si>
    <t>2.5.1782.К</t>
  </si>
  <si>
    <t xml:space="preserve">Освещение тротуара (на солнечных батареях от ул. Кулундинская до ул. Барнаульская) </t>
  </si>
  <si>
    <t>инв. 110132000096-110132000111 На металлических столбах. Светодиодный прожектор "Кобра" на солнечных батареях. (Тротуар от ул. Кулундинская до ул. Барнаульская)</t>
  </si>
  <si>
    <t>2.5.1783.К</t>
  </si>
  <si>
    <t xml:space="preserve">Линия освещения автодороги ул. Мира (от ул. Кулундинская до ул. Барнаульская) </t>
  </si>
  <si>
    <t>инв. 110112000012 Линия освещения автодороги ул.Мира (от ул. Кулундинская до ул. Барнаульская) 10 ж/б опор со светодиодными светильниками</t>
  </si>
  <si>
    <t>Детская площадка "Сквер для прогулок и отдыха детей квартал В"</t>
  </si>
  <si>
    <t>2.4.3182</t>
  </si>
  <si>
    <t>Комплект для звукозаписи Steinberg UR 22 MKII Recording Pack</t>
  </si>
  <si>
    <t>ВА000000060093</t>
  </si>
  <si>
    <t>ЕП43320210058</t>
  </si>
  <si>
    <t>договоры пожертвования за 03-05.2015; договор розничной купли-продажи; приказ Главного управления образования и молод.политики АК; договор безвозмездной передачи (пожертвования) мат.ценностей; контракт на поставку учебной литературы; договор; контракт на поставку учебников; договор безвозмездной передачи (пожертвования) мат.ценностей; контракт на поставку учебной литературы; договор безвозмездной передачи (пожертвования) мат.ценностей; распоряжение (край); договор розничной купли-продажи; договор</t>
  </si>
  <si>
    <t>12.10.2021</t>
  </si>
  <si>
    <t>Пианино "Нокт+D28:F1472юрн"</t>
  </si>
  <si>
    <t>2.5.1784</t>
  </si>
  <si>
    <t>Глобус d-400 ГЛОБЕН Классик Евро физиче-ский Ке014000242</t>
  </si>
  <si>
    <t>Договор розничной купли продажи</t>
  </si>
  <si>
    <t>2.5.1785</t>
  </si>
  <si>
    <t>Карта РФ политико-адм. 1:4 000 000 (настен., ламинир., с рейками в карт. тубусе)</t>
  </si>
  <si>
    <t>2.4.3183</t>
  </si>
  <si>
    <t>Насос Гном 16*16 380В 2,2кВт</t>
  </si>
  <si>
    <t>19/19-001221, кв."А", КНС-1</t>
  </si>
  <si>
    <t>2.4.3184</t>
  </si>
  <si>
    <t>Расходомер эл.магнитный ПРЭМ Ду 150-Гф кл. D с БП</t>
  </si>
  <si>
    <t>13601881 Предзаводская пл. 2, БОС (в корпусе 96)</t>
  </si>
  <si>
    <t>08-04</t>
  </si>
  <si>
    <t>14/09-11</t>
  </si>
  <si>
    <t>2.4.3185</t>
  </si>
  <si>
    <t>Кондиционер Royal Clima Vela Chrome 09</t>
  </si>
  <si>
    <t>19/39-001222</t>
  </si>
  <si>
    <t>Договор возмездного оказания услуг</t>
  </si>
  <si>
    <t>090921</t>
  </si>
  <si>
    <t>2.4.1927</t>
  </si>
  <si>
    <t>20.10.2021</t>
  </si>
  <si>
    <t>21.10.2021</t>
  </si>
  <si>
    <t>2.4.3186</t>
  </si>
  <si>
    <t>Насос Д320-50 с эл.двигателем 75/1500</t>
  </si>
  <si>
    <t>13/07/2021</t>
  </si>
  <si>
    <t>2.5.1786</t>
  </si>
  <si>
    <t>Доска д/ мела 3-х элементная</t>
  </si>
  <si>
    <t>Договор  купли продажи товара</t>
  </si>
  <si>
    <t>2.5.1787</t>
  </si>
  <si>
    <t>Доска д/ мела одноэлементная</t>
  </si>
  <si>
    <t>2.5.1788</t>
  </si>
  <si>
    <t>Кровать двухъярусная                        выкатная</t>
  </si>
  <si>
    <t>2.5.1789</t>
  </si>
  <si>
    <t>Плита электрическая промышленная 4-х                 конфорочная</t>
  </si>
  <si>
    <t>2.5.1790</t>
  </si>
  <si>
    <t>Стенка для игрушек</t>
  </si>
  <si>
    <t xml:space="preserve">Распоряжение управления имущественными отношениями </t>
  </si>
  <si>
    <t>2.5.1791</t>
  </si>
  <si>
    <t>Набор для хранения реактивов для ОГЭ/ГИА по химии</t>
  </si>
  <si>
    <t>2.5.1792</t>
  </si>
  <si>
    <t>Набор оборудования для выполнения химического эксперимента</t>
  </si>
  <si>
    <t>2.5.1793</t>
  </si>
  <si>
    <t>Набор химических реагентов</t>
  </si>
  <si>
    <t>2.5.1794</t>
  </si>
  <si>
    <t>Набор оборудования для ОГЭ/ГИА по физике</t>
  </si>
  <si>
    <t>Изделия из нержавеющей стали (Гастроемкость530*325*20)</t>
  </si>
  <si>
    <t>Изделия из нержавеющей стали (Гастроемкость530*325*40)</t>
  </si>
  <si>
    <t>Изделия из нержавеющей стали (Гастроемкость530*325*65)</t>
  </si>
  <si>
    <t>Изделия из нержавеющей стали (Гастроемкость530*325*100)</t>
  </si>
  <si>
    <t>2.5.1804</t>
  </si>
  <si>
    <t>Дозиметр СОЭКС</t>
  </si>
  <si>
    <t>2.5.1805</t>
  </si>
  <si>
    <t>2.5.1806</t>
  </si>
  <si>
    <t>Макет учебно-тренировочной гранаты РГД-5</t>
  </si>
  <si>
    <t>2.5.1807</t>
  </si>
  <si>
    <t>2.5.1808</t>
  </si>
  <si>
    <t>2.5.1809</t>
  </si>
  <si>
    <t>2.5.1810</t>
  </si>
  <si>
    <t>2.5.1811</t>
  </si>
  <si>
    <t>Сумка медицинская</t>
  </si>
  <si>
    <t>2.5.1812</t>
  </si>
  <si>
    <t>2.5.1813</t>
  </si>
  <si>
    <t>2.4.3187</t>
  </si>
  <si>
    <t>Проектор Epson EB-E500</t>
  </si>
  <si>
    <t>Б-00534224/2420210120</t>
  </si>
  <si>
    <t>3LCD, 1024*768, 3300 ANSI lm, 1,5k : 1, 2Bт, HDMI USB</t>
  </si>
  <si>
    <t>28.10.2021</t>
  </si>
  <si>
    <t>05.07.2021; 28.10.2021</t>
  </si>
  <si>
    <t>508; 796</t>
  </si>
  <si>
    <t>29.10.2021</t>
  </si>
  <si>
    <t>Многофункциональное устройство (мфу) pantum m6500</t>
  </si>
  <si>
    <t>731</t>
  </si>
  <si>
    <t>Моноблок acer aspire c22-820 21.5 full hd ps j5040</t>
  </si>
  <si>
    <t xml:space="preserve">Мяч баскетбольный </t>
  </si>
  <si>
    <t>2.2.0166</t>
  </si>
  <si>
    <t>шасси 330900А0992899</t>
  </si>
  <si>
    <t xml:space="preserve">№ двигателя Д245ТУ 546282  </t>
  </si>
  <si>
    <t>кузов 330700А0178976 цвет белый</t>
  </si>
  <si>
    <t>29.10.2021; 11.11.2021</t>
  </si>
  <si>
    <t>810; 823</t>
  </si>
  <si>
    <t>805; 824</t>
  </si>
  <si>
    <t xml:space="preserve">Тепловентилятор Electrolux/ TFH-5120(2000 вт. 25 кв.м, регулировка температуры) </t>
  </si>
  <si>
    <t>Тепловентилятор Electrolux</t>
  </si>
  <si>
    <t xml:space="preserve">Муниципальный контракт </t>
  </si>
  <si>
    <t>А-00451096/ЕП9-0120210167</t>
  </si>
  <si>
    <t>BOH/CL-07GRN серый 1500Вт площадь 20 кв.м</t>
  </si>
  <si>
    <t>Масляный радиатор Ballu</t>
  </si>
  <si>
    <t>2.4.3188</t>
  </si>
  <si>
    <t>2.4.3189</t>
  </si>
  <si>
    <t>2.4.3190.К</t>
  </si>
  <si>
    <t>2.4.3191.К</t>
  </si>
  <si>
    <t>2.5.1797</t>
  </si>
  <si>
    <t>2.5.1795</t>
  </si>
  <si>
    <t>2.5.1799</t>
  </si>
  <si>
    <t>2.5.1801</t>
  </si>
  <si>
    <t>2.5.1802</t>
  </si>
  <si>
    <t>2.5.1800</t>
  </si>
  <si>
    <t>2.5.1796</t>
  </si>
  <si>
    <t>2.5.1798</t>
  </si>
  <si>
    <t>инв. 13601883 Насос-Зав. № L 12042; Эл.двигатель - Зав. № 0894 (ПНС "Южный" насос №1)</t>
  </si>
  <si>
    <t>2.5.1803</t>
  </si>
  <si>
    <t>Базоовый набор LEGO Education WeDo</t>
  </si>
  <si>
    <t>221021-1С</t>
  </si>
  <si>
    <t>Кв. "А" № 21. Ориентирован на развитие логического мышления. Пластик</t>
  </si>
  <si>
    <t>08.09.2021; 17.11.2021</t>
  </si>
  <si>
    <t>653;840</t>
  </si>
  <si>
    <t>21.06.2021; 17.11.2021</t>
  </si>
  <si>
    <t>446; 842</t>
  </si>
  <si>
    <t>12.10.2021; 17.11.2021</t>
  </si>
  <si>
    <t>740; 843</t>
  </si>
  <si>
    <t>Кондуктометр-концентратомер                        «АГАТ-2/1»</t>
  </si>
  <si>
    <t>2021/08/31</t>
  </si>
  <si>
    <t>2.4.3192</t>
  </si>
  <si>
    <t>2.5.1814</t>
  </si>
  <si>
    <t>2.5.1815</t>
  </si>
  <si>
    <t>2.5.1816</t>
  </si>
  <si>
    <t>2.5.1817</t>
  </si>
  <si>
    <t>Инв. 13601884 Предзаводская пл. 2,сменная раболатория КТЦ ТЭЦ. Зав. № 607</t>
  </si>
  <si>
    <t>Инв.110138000010-110138000011 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 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порытии. Металлические части фигуры стойкие от коррозии, огрунтованы и окрашены. Адрес: Вдоль тротуара пешеходной зоны от ул. Кулундинская до ул. Барнаульская; Площадь им.Фомичева (музейная площадь)</t>
  </si>
  <si>
    <r>
      <t>Инв.110138000008-110138000009 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 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 Металические части фигуры стойкие от коррозии, огрунтованы и окрашены. Адрес: Вдоль тротуара пешеходной зоны от ул. Кулундинская до ул. Барнаульская</t>
    </r>
    <r>
      <rPr>
        <u/>
        <sz val="8"/>
        <rFont val="Times New Roman"/>
        <family val="1"/>
        <charset val="204"/>
      </rPr>
      <t>; Площадь им.Фомичева (музейная площадь)</t>
    </r>
  </si>
  <si>
    <t>Инв.110138000007 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 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 Металлические части фигуры стойкие от коррозии, огрунтованы и окрашены. Адрес: Детская площадка "Сквер для прогулок и отдыха детей квартал В"</t>
  </si>
  <si>
    <t>Инв.110138000005-110138000006 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 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 Металлические части фигуры стойкие от коррозии, огрунтованы и окрашены.Адрес: Детская площадка "Сквер для прогулок и отдыха детей квартал В"; Детская площадка квартал "Б" между домами  38, 34, 35</t>
  </si>
  <si>
    <t>2.5.1723</t>
  </si>
  <si>
    <t>02.03.2021; 23.11.2021</t>
  </si>
  <si>
    <t>144; 859</t>
  </si>
  <si>
    <t>2.6.0063.К</t>
  </si>
  <si>
    <t>уголь СС –СЛАБОСПЕКАЮЩИЙСЯ ССРОК-1</t>
  </si>
  <si>
    <t>уголь СС –слабоспекающийся</t>
  </si>
  <si>
    <t>2.4.3193</t>
  </si>
  <si>
    <t xml:space="preserve">Насос AX 3/15 E-СД двига-тель АИР90L2 У2 
IM1081 3/3000 220/380
</t>
  </si>
  <si>
    <t>12/08-Х</t>
  </si>
  <si>
    <t>2.4.3194</t>
  </si>
  <si>
    <t>ПК DEXP Atlas H316 Core i3-10100F/8GB/SSD 240GB/GT710 1GB/Без ПО</t>
  </si>
  <si>
    <t>А-00459228</t>
  </si>
  <si>
    <t>2.4.3195</t>
  </si>
  <si>
    <t>А-00484843</t>
  </si>
  <si>
    <t>2.4.3196</t>
  </si>
  <si>
    <t>Проектор Epson EB- E500(3LCD, 1024х768,3300ANSI lm, 15к:1, 2Вт, HDMI,USB</t>
  </si>
  <si>
    <t>2.5.1819</t>
  </si>
  <si>
    <t>Стол для учителя</t>
  </si>
  <si>
    <t>Договор постаки</t>
  </si>
  <si>
    <t>б\н</t>
  </si>
  <si>
    <t>2.5.1820</t>
  </si>
  <si>
    <t>Шкаф в кабинет ОБЖ</t>
  </si>
  <si>
    <t>2.5.1821</t>
  </si>
  <si>
    <t>29.09.2021; 23.11.2021</t>
  </si>
  <si>
    <t>717; 858</t>
  </si>
  <si>
    <t>29.09.2021; 17.11.2021; 23.11.2021</t>
  </si>
  <si>
    <t>717; 844; 858</t>
  </si>
  <si>
    <t>Инв.110138000003-110138000004Армирование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 Металические части фигуры стойкие от коррозии, огрунтованы и окрашены. Адрес: Детская площадка "Сквер для прогулок и отдыха детей квартал В"; Детс-я площадка кв. Б между дом. 38,34,35</t>
  </si>
  <si>
    <t>Инв. 13601885 Предзаводская пл. 2/7(Химводоотчистка ТЭЦ)</t>
  </si>
  <si>
    <t>2.5.1822</t>
  </si>
  <si>
    <t>Станок для архивного переплета</t>
  </si>
  <si>
    <t>Станок для архивного переплета YUNGER M368 250Вт, лоток, сшивка до 100 мм</t>
  </si>
  <si>
    <t>ЕП4-0120210183</t>
  </si>
  <si>
    <t>2.5.1823.К</t>
  </si>
  <si>
    <t>Мусорный контейнер (900*1100*660; 71 кг) L-2</t>
  </si>
  <si>
    <t>Контейнер для сбора и хранения твердых бытовых отходов без колес, без крышки Объем м3 0,75 Материал корпуса стальной лист Толщина металла корпуса 2 мм Размер уголка мм40*40*3 Габариты – высота (без колес) мм 1100, -по нижнему краю мм 660*660; - по верхнему краю мм 900*900 Покрытие контейнера изнутри и снаружи Антикоррозийный грунт по металлу Цвет контейнера - серый</t>
  </si>
  <si>
    <t>ЕП4-0120210163</t>
  </si>
  <si>
    <t>2.4.3197</t>
  </si>
  <si>
    <t>Монитор Huawei 23.8”</t>
  </si>
  <si>
    <t>инв. 110134000079 Монитор Huawei 23.8” AD80HW(1920*1080, IPS, 60Hz, 5ms, VGA,HDMI)</t>
  </si>
  <si>
    <t xml:space="preserve">Системный блок Intel Pentium Gold </t>
  </si>
  <si>
    <t>инв. 110134000078 Системный блок Intel Pentium Gold G6406 4.1GHz,GPU UHD 610. DDR4 8Gb. 400W. 1 Tb</t>
  </si>
  <si>
    <t>МФУ RicohSP 330SFN</t>
  </si>
  <si>
    <t>2.4.3200</t>
  </si>
  <si>
    <t>Системный блок Intel Core i3-10105 3.7/4.4GHz.GPU UHD 630. DDR4 8Gb. 1 Tb YDD.</t>
  </si>
  <si>
    <t>инв. 110134000077 МФУ RicohSP 330SFN (Принтер/сканер/Копир:А432ppm256Mb LAN USB)</t>
  </si>
  <si>
    <t>инв. 110134000081-110134000085 Системный блок Intel Core i3-10105 3.7/4.4GHz.GPU UHD 630. DDR4 8Gb. 1 Tb YDD.</t>
  </si>
  <si>
    <t>2.4.3201</t>
  </si>
  <si>
    <t>инв. 110134000086-110134000087 Монитор Huawei 23.8” AD80HW(1920*1080, IPS, 60Hz, 5ms, VGA,HDMI)</t>
  </si>
  <si>
    <t xml:space="preserve">инв. 110134000080, 110134000088, 110134000089 МФУ RicohSP 330SFN (Принтер/сканер/Копир:А432ppm256Mb LAN USB) </t>
  </si>
  <si>
    <t>2.4.3203</t>
  </si>
  <si>
    <t>Б-00607777</t>
  </si>
  <si>
    <t>3LCD,1024*768, 3300 ANSI lm, 15k:1, 2Вт, HDMI, USB</t>
  </si>
  <si>
    <t>2.4.3204</t>
  </si>
  <si>
    <t>Б-00607764</t>
  </si>
  <si>
    <t>Принтер Brother HL-1.2300DR</t>
  </si>
  <si>
    <t>2.5.1824</t>
  </si>
  <si>
    <t>Доска магнитная маркерная «Шах-маты»,  «Шаш-ки»+комплект те-матических магни-тов (КМ-12)</t>
  </si>
  <si>
    <t xml:space="preserve">  Размеры: 1000*1000(+20) мм, основа – поликарбонат 6мм, оцинко-ванный лист 0,5 мм, про-филь: П-образный об-кладочный профиль бело-го цвета тол-щиной 4 мм, шириной 10 мм</t>
  </si>
  <si>
    <t>20214985</t>
  </si>
  <si>
    <t>A4, 2400*600dpi 26 ppm 200 MHz 8Mb GDI Duplex USB2.0</t>
  </si>
  <si>
    <t>2.4.3198</t>
  </si>
  <si>
    <t>2.4.3199</t>
  </si>
  <si>
    <t>2.4.3202</t>
  </si>
  <si>
    <t>фактически израсходовано за 12-2021</t>
  </si>
  <si>
    <t>ЕП9-0120210170</t>
  </si>
  <si>
    <t>2.5.1825</t>
  </si>
  <si>
    <t>Принтер Brother YL-1.2300DR</t>
  </si>
  <si>
    <t>A4,2400*600dpi 26 ppm 200 MHz 8 Mb GDI Duplex USB 2.0</t>
  </si>
  <si>
    <t xml:space="preserve">Договор </t>
  </si>
  <si>
    <t>Б-00675423</t>
  </si>
  <si>
    <t>2.4.3205</t>
  </si>
  <si>
    <t xml:space="preserve">Доска для мела </t>
  </si>
  <si>
    <t>Магнитная 3-х элементная, пять рабочих поверхностей</t>
  </si>
  <si>
    <t>2.5.1826</t>
  </si>
  <si>
    <t>Баннер сцена 8*5 м</t>
  </si>
  <si>
    <t>инв. ВА000000060101</t>
  </si>
  <si>
    <t>ЕП43320210077</t>
  </si>
  <si>
    <t>2.6.0064.К</t>
  </si>
  <si>
    <t>ЕП9-0120210182</t>
  </si>
  <si>
    <t xml:space="preserve">Журнал «Культура Алтайского края» № 3/2021;
Журнал «Алтай» № 3/2021
</t>
  </si>
  <si>
    <t>Распоряжение управления имущ.отношений</t>
  </si>
  <si>
    <t>1568</t>
  </si>
  <si>
    <t>29.09.2020; 26.11.2020; 25.12.2020; 22.06.2021,  13.07.2021</t>
  </si>
  <si>
    <t>ЕП4-0120210194</t>
  </si>
  <si>
    <t>ЕП4-0120210197</t>
  </si>
  <si>
    <t>2.2.0167</t>
  </si>
  <si>
    <t>ЭА-0120210164</t>
  </si>
  <si>
    <t>№ двигателя MMZ-3LD, Мощность двигателя кВт (л.с.)-35.4(26)</t>
  </si>
  <si>
    <t>Фронтальный погрузчик ПФН с основным ковшом в комплекте</t>
  </si>
  <si>
    <t>2.4.3206</t>
  </si>
  <si>
    <t>Порошковая покраска. Ши-рина захвата ковша 1,518 метра</t>
  </si>
  <si>
    <t>2.4.3207</t>
  </si>
  <si>
    <t>Отвал на ПФН гидропово-ротный</t>
  </si>
  <si>
    <t>Порошковая покраска. Ши-рина захвата отвала 2,0 мет-ра</t>
  </si>
  <si>
    <t>2.4.3208</t>
  </si>
  <si>
    <t>Щетка коммунальная (под-метальная) привод от BOM</t>
  </si>
  <si>
    <t>Трехточечное крепление. Ширина 1,35 метра</t>
  </si>
  <si>
    <t>2.4.3209</t>
  </si>
  <si>
    <t>Косилка роторная двухдис-ковая  навесная</t>
  </si>
  <si>
    <t>Ширина 1,65 метра</t>
  </si>
  <si>
    <t>29.09.2021; 21.12.2021</t>
  </si>
  <si>
    <t>714; 949</t>
  </si>
  <si>
    <t>№ 89008618</t>
  </si>
  <si>
    <t xml:space="preserve">договор аренды; постановление </t>
  </si>
  <si>
    <t>29.11.2010; 22.12.2021</t>
  </si>
  <si>
    <t>10-11-30; 957</t>
  </si>
  <si>
    <t>Стул 18*258,65</t>
  </si>
  <si>
    <t>договор аренды ; постановление</t>
  </si>
  <si>
    <t>10-11-30;957</t>
  </si>
  <si>
    <t>2.2.0168</t>
  </si>
  <si>
    <t>2.2.0169</t>
  </si>
  <si>
    <t>2.2.0170</t>
  </si>
  <si>
    <t>2.2.0171</t>
  </si>
  <si>
    <t>2.4.3210</t>
  </si>
  <si>
    <t>23.6 Монитор АОС 24В1Н(00/01) черный</t>
  </si>
  <si>
    <t>ЕП4-0120210212</t>
  </si>
  <si>
    <t>2.4.3211</t>
  </si>
  <si>
    <t>Монитор LG 23.8 24 Mp400</t>
  </si>
  <si>
    <t>2.6.0065.К</t>
  </si>
  <si>
    <t>уголь СС –  СЛАБОСПЕКАЮЩИЙСЯ  ССР</t>
  </si>
  <si>
    <t>уголь СС –  СЛАБОСПЕКАЮЩИЙСЯ  ССРОК-1</t>
  </si>
  <si>
    <t xml:space="preserve">уголь СС –СЛАБОСПЕКАЮЩИЙСЯ ССРОК-1 </t>
  </si>
  <si>
    <t>ЕП9-0120210203</t>
  </si>
  <si>
    <t>2.6.0066.К</t>
  </si>
  <si>
    <t>2.6.0067.К</t>
  </si>
  <si>
    <t>ЕП9-0120210202</t>
  </si>
  <si>
    <t>Монитор Lenovo PC НК</t>
  </si>
  <si>
    <t>20.09.2021; 07.10.2021</t>
  </si>
  <si>
    <t>1287; 1357</t>
  </si>
  <si>
    <t>Привод DVD Hitachi-LG Data Storage Huizhou. Ltd</t>
  </si>
  <si>
    <t>Системный блок Lenovo PC HK Limited</t>
  </si>
  <si>
    <t>2.5.1828</t>
  </si>
  <si>
    <t xml:space="preserve">Лестница, 3х13 ступеней, 
алюминиевая, трехсекционная СИБТЕХ Россия
</t>
  </si>
  <si>
    <t>VIN Х1M32045SM0002433</t>
  </si>
  <si>
    <t xml:space="preserve">VIN X1M32045SN0000050 </t>
  </si>
  <si>
    <t>VIN X1M3204NSM0001690</t>
  </si>
  <si>
    <t xml:space="preserve">VIN X1M3204NSM0002354
</t>
  </si>
  <si>
    <t>Распоряжение управления имущественных отношений</t>
  </si>
  <si>
    <t>1615</t>
  </si>
  <si>
    <t>1647</t>
  </si>
  <si>
    <t xml:space="preserve">1647 </t>
  </si>
  <si>
    <t>ЕП4-0120210227</t>
  </si>
  <si>
    <t>2.2.0172</t>
  </si>
  <si>
    <t>1840</t>
  </si>
  <si>
    <t>Д-243S2, 157924</t>
  </si>
  <si>
    <t>2.4.3215.К</t>
  </si>
  <si>
    <t>Интерактивная панель</t>
  </si>
  <si>
    <t>20.12.2021, 23.12.2021</t>
  </si>
  <si>
    <t>1773; 1807</t>
  </si>
  <si>
    <t>2.4.3216.К</t>
  </si>
  <si>
    <t>Видеокамера Zhejiang Dahua Vision Technology Co,Ltd</t>
  </si>
  <si>
    <t>2.4.3217.К</t>
  </si>
  <si>
    <t>Сервер ICL ООО «АйСиЭп Техно»</t>
  </si>
  <si>
    <t>2.4.3218.К</t>
  </si>
  <si>
    <t>2.5.1770</t>
  </si>
  <si>
    <t>2.5.1771</t>
  </si>
  <si>
    <t>2.5.1772</t>
  </si>
  <si>
    <t>2.5.1773</t>
  </si>
  <si>
    <t>2.2.0173</t>
  </si>
  <si>
    <t xml:space="preserve">VIN X1M32045SN0000119
</t>
  </si>
  <si>
    <t>2.2.0174</t>
  </si>
  <si>
    <t xml:space="preserve">VIN X1M32045SN0000121
</t>
  </si>
  <si>
    <t>2.2.0175</t>
  </si>
  <si>
    <t>VIN X1M32045SN0000067</t>
  </si>
  <si>
    <t>2.2.0176</t>
  </si>
  <si>
    <t>VIN X1M32045SМ0002361</t>
  </si>
  <si>
    <t>инв. 110134000037. Систем.блок AMD Ryzen 3 2200G. 8 Gb RAM, монитор LG 22MK400A</t>
  </si>
  <si>
    <t>инв. 110134000038. Систем.блок AMD Ryzen 3 2200G. 8 Gb RAM, монитор LG 22MK400A</t>
  </si>
  <si>
    <t>инв. 10134146, 10134147, 10134148. AMD</t>
  </si>
  <si>
    <t>инв.101341129</t>
  </si>
  <si>
    <t>Остаточная</t>
  </si>
  <si>
    <t>2.6.0068.К</t>
  </si>
  <si>
    <t>2.6.0069.К</t>
  </si>
  <si>
    <t>ЕП9-0120210215</t>
  </si>
  <si>
    <t>2.6.0070.К</t>
  </si>
  <si>
    <t xml:space="preserve">уголь СС –  СЛАБОСПЕКАЮЩИЙСЯ  </t>
  </si>
  <si>
    <t>ЕП9-0120210221</t>
  </si>
  <si>
    <t>2.6.0071.К</t>
  </si>
  <si>
    <t>ЕП9-0120210211</t>
  </si>
  <si>
    <t>ЕП9-0120220005</t>
  </si>
  <si>
    <t>уголь СС –  СЛАБОСПЕКАЮЩИЙСЯ  СССШ</t>
  </si>
  <si>
    <t>2.4.3219.К</t>
  </si>
  <si>
    <t>2022</t>
  </si>
  <si>
    <t>ЕП4-0120220047</t>
  </si>
  <si>
    <t xml:space="preserve"> 02.02.2022</t>
  </si>
  <si>
    <t>Пушка тепловая Компакт, Зубр
ЗТП-М1-3000, круглая</t>
  </si>
  <si>
    <t xml:space="preserve">Пушка тепловая, ЗТП-М1-3000, круглая, электрическая, гладкий нерж. ТЭН, двойные стенки (термос), термостат, 3/1,5 кВт, 220 В </t>
  </si>
  <si>
    <t>2.6.0072.К</t>
  </si>
  <si>
    <t>2.6.0073.К</t>
  </si>
  <si>
    <t>ЕП9-0120220032</t>
  </si>
  <si>
    <t>2.4.3220</t>
  </si>
  <si>
    <t>Б-00699372</t>
  </si>
  <si>
    <t>2.4.3221</t>
  </si>
  <si>
    <t>14 Ноутбук HP Laptop</t>
  </si>
  <si>
    <t>ПК Acer (системный блок)</t>
  </si>
  <si>
    <t>2.4.3222</t>
  </si>
  <si>
    <t>ПК DEXP (системный блок)</t>
  </si>
  <si>
    <t>Расходомер ПРЭМ Ду 50-ГС Кл. D эл.маг. с ПБ</t>
  </si>
  <si>
    <t>2.4.3223</t>
  </si>
  <si>
    <t>2.4.3224</t>
  </si>
  <si>
    <t>Процессор Intel Celeron</t>
  </si>
  <si>
    <t>2.4.3225</t>
  </si>
  <si>
    <t>MФУ лазерный BROTHER DCP-L2500DR, А4 серый</t>
  </si>
  <si>
    <t>ЕП-40620210058</t>
  </si>
  <si>
    <t>ЕП-40620210071</t>
  </si>
  <si>
    <t>2.4.3226</t>
  </si>
  <si>
    <t>Т21-042/ЕП43320210083</t>
  </si>
  <si>
    <t>Расходомер ПРЭМ Ду 32-ГС Кл. D эл. магнитный с БП</t>
  </si>
  <si>
    <t>2.4.3227</t>
  </si>
  <si>
    <t xml:space="preserve">Договор купли продажи </t>
  </si>
  <si>
    <t>ЕП 43320220024</t>
  </si>
  <si>
    <t>Фискальный накопитель ФН-1.1М/15 месяцев</t>
  </si>
  <si>
    <t>2.4.3228</t>
  </si>
  <si>
    <t>МФУ Kyocera Ecosys M2235DN/ул. Алтайская, 39</t>
  </si>
  <si>
    <t>Б-00012209</t>
  </si>
  <si>
    <t>2.6.0074.К</t>
  </si>
  <si>
    <t>ПРЭМ Ду 50-ГС Кл. D эл.маг. с ПБ</t>
  </si>
  <si>
    <t>14s-fq0084ur (HD) A-3020e/8192/SSD 256/AMD RadeonVega/DOS/Black</t>
  </si>
  <si>
    <t>Aspire XC-830 Pentium JS040/8GB/256GB SSD/DOS/Black</t>
  </si>
  <si>
    <t>Atlas H314 Pentium G6405/8GB/SSD 24Gb/Без ПО</t>
  </si>
  <si>
    <t>ВА000000060106</t>
  </si>
  <si>
    <t>ВА000000060103-104</t>
  </si>
  <si>
    <t>ВА000000060110</t>
  </si>
  <si>
    <t>ВА000000060111</t>
  </si>
  <si>
    <t>19/39-001236</t>
  </si>
  <si>
    <t>2.6.0075.К</t>
  </si>
  <si>
    <t>NI-300-M, 26,6 м3/ч, Н=10 м, 2,2кВт, 220 В/N300M/(10013160/021120/0614812)</t>
  </si>
  <si>
    <t>2.4.3229</t>
  </si>
  <si>
    <t>ЕП46220220012</t>
  </si>
  <si>
    <t>Насос «NIAGARA»</t>
  </si>
  <si>
    <t>2.4.3230</t>
  </si>
  <si>
    <t>Насос СМ 200-150-315а/4-СД двигатель АИР225М4 У2 IM108155/1500</t>
  </si>
  <si>
    <t>27.05.2021</t>
  </si>
  <si>
    <t>2.4.3231</t>
  </si>
  <si>
    <t>ПК DEXP Aquilon O258 Ath-lon 3000G/8GB/SSd 240GB/Без ПО (системный блок)</t>
  </si>
  <si>
    <t>17/01-2022</t>
  </si>
  <si>
    <t>27/05-СМ</t>
  </si>
  <si>
    <t>2.4.3232</t>
  </si>
  <si>
    <t>Насосный агрегат СМ 150-125-315/4 с эл.двигателем 37/1500</t>
  </si>
  <si>
    <t>2.4.3233</t>
  </si>
  <si>
    <t>2.4.3234</t>
  </si>
  <si>
    <t>Насосный агрегат СМ 150-125-315/4 с эл. двигателем 37/1500</t>
  </si>
  <si>
    <t>2.4.3235</t>
  </si>
  <si>
    <t>2.4.3236</t>
  </si>
  <si>
    <t xml:space="preserve">Насос
СМ 100-65-200/4
с эл. двигателем 4/1500
</t>
  </si>
  <si>
    <t>2.4.3237</t>
  </si>
  <si>
    <t xml:space="preserve">Насос
СМ 125-100-250/4 с эл. двигателем 11/1500
</t>
  </si>
  <si>
    <t>2.4.3238</t>
  </si>
  <si>
    <t xml:space="preserve">Насос СМ 125-80-315/4 с эл. двига-телем 15/1500
</t>
  </si>
  <si>
    <t>2.4.3239</t>
  </si>
  <si>
    <t>2.4.3240</t>
  </si>
  <si>
    <t>Насос ЭЦВ 8-40-60</t>
  </si>
  <si>
    <t>2.4.3241</t>
  </si>
  <si>
    <t>2.4.3242</t>
  </si>
  <si>
    <t>2.4.3243</t>
  </si>
  <si>
    <t>2.4.3244</t>
  </si>
  <si>
    <t>2.4.3245</t>
  </si>
  <si>
    <t xml:space="preserve">Насос ЭЦВ 8-40-60
</t>
  </si>
  <si>
    <t>2.4.3246</t>
  </si>
  <si>
    <t xml:space="preserve">Тележка гидравлическая 2,0 т
</t>
  </si>
  <si>
    <t>2.4.3212</t>
  </si>
  <si>
    <t>2.4.3213</t>
  </si>
  <si>
    <t>2.4.3214</t>
  </si>
  <si>
    <t>29.12.2021; 21.02.2022</t>
  </si>
  <si>
    <t>996; 127</t>
  </si>
  <si>
    <t>инв. 19/37-001079 Предзаводская пл.2, КТЦ ТЭЦ</t>
  </si>
  <si>
    <t>инв. 19/39-001240 Предзаводская пл.2а Управ-ление</t>
  </si>
  <si>
    <t>инв. 13601900 Насос-Зав.№ян-18; Эл. двигатель-Зав.№ SZ210406433/ Предзаводская пл.2 БОС (корп.96)</t>
  </si>
  <si>
    <t>инв. 13601886 Насос-Зав № 472; эл.двигатель-Зав.№ 177761, ул. Кулундинская, КНС-2(на штатное место № 2)</t>
  </si>
  <si>
    <t>инв. 13601887 Насос- Зав № 474, Эл. двигатель-Зав.№ 177756, кв. «А», 26а, КНС-1(«Мысль») (на штатное место № 2)</t>
  </si>
  <si>
    <t>инв. 13601888 Насос – Зав.№ 475;
Эл. двигатель – 
Зав.№ 177757, ул. Гагарина, соору-жение 1/КНС-3(территория бывшего ОРСа) (на штатное место № 2)</t>
  </si>
  <si>
    <t xml:space="preserve">инв. 13601889 Насос – Зав.№ 471;
Эл. двигатель – 
Зав.№ 177759/ул. Гагарина, сооружение1/КНС-3, (территория бывшего ОРСа) (на штатное место № 1)
</t>
  </si>
  <si>
    <t xml:space="preserve">инв. 13601890 Насос – Зав.№ 318;
Эл. двигатель – 
Зав.№ XR1910300880/ул. Гагарина, сооружение11/КНС-5, (территория МСЧ-128)               (на штатное место № 1)
</t>
  </si>
  <si>
    <t xml:space="preserve">инв. 13601891 Насос – Зав.№ 9ш3;
Эл. двигатель – 
Зав.№ 162018/ул. Гагарина,              сооружение 11/КНС-5 (территория МСЧ-128)            (на штатное место № 2
</t>
  </si>
  <si>
    <t>инв. 13601892 Насос – Зав.№ 11ц30;
Эл. двигатель – 
Зав.№ 0487/ кв. "А", 26а КНС-1, ("Мысль"), (на штатное место № 2)</t>
  </si>
  <si>
    <t>инв. 13601893 Насос – Зав.№ 7998; Марка эл. двигателя - ПЭДВ 32-219/ ул. Северная, 2 (Водозабор), Артезианская скважина       № 1-86 (32а)</t>
  </si>
  <si>
    <t>инв. 13601894 Насос – Зав.№ 7999; Марка эл. двигателя - ПЭДВ 32-219/ ул. Северная, № 2 (Водозабор), Артезианская скважина № БИ-215 (32з)</t>
  </si>
  <si>
    <t>инв. 13601895 Насос – Зав.№ 1283; Марка эл. двигателя - ПЭДВ 11-180/ ул. Северная, 2 (Водозабор), Артезианская скважина  № 3601 (25)</t>
  </si>
  <si>
    <t>инв. 13601896 Насос – Зав.№ 2700; Марка эл. двигателя - ПЭДВ 11-180/ ул. Северная, № 2 (Водозабор), Артезиан-ская скважина № 4431 (35)</t>
  </si>
  <si>
    <t>инв. 13601897 Насос – Зав.№ 2373; Марка эл. двигателя - ПЭДВ 11-180/ между ул. Чапаева и ул. Северная, Артезианская скважина № БР-490 (40)</t>
  </si>
  <si>
    <t>инв. 13601898 Насос – Зав.№ 9200; Марка эл. двигателя - ПЭДВ 11-180/ ул. Заводская, Артезианская скважина № 4352 (6)</t>
  </si>
  <si>
    <t>инв. 13601899 Насос – Зав.№ 9407; Марка эл. двигателя - ПЭДВ 11-180/
ул. Заводская, Артезианская скважина № 1106 (9)</t>
  </si>
  <si>
    <t>2.5.1829</t>
  </si>
  <si>
    <t>Договор на поставку корпусной мебели</t>
  </si>
  <si>
    <t>33/0220210085</t>
  </si>
  <si>
    <t>2.5.1827</t>
  </si>
  <si>
    <t>20.12.2021; 28.02.2022</t>
  </si>
  <si>
    <t>944; 145</t>
  </si>
  <si>
    <t>2.5.1830</t>
  </si>
  <si>
    <t>Передатчик UwMic9 TX-XLR9</t>
  </si>
  <si>
    <t xml:space="preserve">Договор на поставку </t>
  </si>
  <si>
    <t>Б-00686818/2021.38</t>
  </si>
  <si>
    <t>2.5.1831</t>
  </si>
  <si>
    <t>Радиопетличка Saramonic UwMic9 TX9-RX9 с 1передатчиком и 1приемником</t>
  </si>
  <si>
    <t>2.4.3247</t>
  </si>
  <si>
    <t>МФУ Ricoh SP330SN (A4, 32 стр/мин, копир/прин/скан)</t>
  </si>
  <si>
    <t>2.4.3248</t>
  </si>
  <si>
    <t>Монитор Samsung 23.8 S24 R358FHI blue</t>
  </si>
  <si>
    <t>Б-00694586/2021.41</t>
  </si>
  <si>
    <t xml:space="preserve">Договор на поставку товара </t>
  </si>
  <si>
    <t>1587/2021.40</t>
  </si>
  <si>
    <t>Многофункциональное устройство (МФУ)</t>
  </si>
  <si>
    <t>1772</t>
  </si>
  <si>
    <t>Ноутбук ООО «Новый Ай Ти Проект»</t>
  </si>
  <si>
    <t xml:space="preserve">Машины посудомоечные промышленного типа Abat 
МПК-700К-01
</t>
  </si>
  <si>
    <t>1718</t>
  </si>
  <si>
    <t>Шкаф холодильный среднетемпературный СМ107-S (ШХ-0,7)</t>
  </si>
  <si>
    <t>Шкаф холодильный низкотемпературный СВ107-S (ШН-0,7)</t>
  </si>
  <si>
    <t>Котел пищеварочный Abat</t>
  </si>
  <si>
    <t>Шкаф жарочный Abat ШЖЭ-2-01</t>
  </si>
  <si>
    <t>Стол производственный СПБ-С-8/6-П Н(800*600*850) полка нерж. (конструкция в разборе)</t>
  </si>
  <si>
    <t>Стол производственный СПБ-С-10/6-П Н(1000*600*850) полка нерж. (конструкция в разборе)</t>
  </si>
  <si>
    <t>Стол производственный СПБ-С-8/6 (800*600*850) (конструкция в разборе)</t>
  </si>
  <si>
    <t>Стол производственный СПБ-С-10/6 (1000*600*850) (конструкция в разборе)</t>
  </si>
  <si>
    <t>Стол производственный СП-С-8/6-П Н(800*600*850) полка нерж. (конструкция в разборе)</t>
  </si>
  <si>
    <t>Стол производственный СП-С-10/6-П Н(1000*600*850) полка нерж. (конструкция в разборе)</t>
  </si>
  <si>
    <t>Стол производственный СП-С-8/6 (800*600*850) (конструкция в разборе)</t>
  </si>
  <si>
    <t>Стол производственный СП-С-10/6 (1000*600*850) (конструкция в разборе)</t>
  </si>
  <si>
    <t>Стеллаж производственный СТП-С-10/4(1000*400*1800) (конструкция в разборе)</t>
  </si>
  <si>
    <t>Стеллаж производственный СТП-С-8/4(800*400*1800) (конструкция в разборе)</t>
  </si>
  <si>
    <t>Стеллаж для тарелок СТТ-П-9,8/3,3 Н(980*330*1800)32 тарел/ур.4 поддона (конструкция в разборе)</t>
  </si>
  <si>
    <t>2.4.3255</t>
  </si>
  <si>
    <t>Проектор Epson EB-E500, белый</t>
  </si>
  <si>
    <t>Б-00089370</t>
  </si>
  <si>
    <t>2.4.3256</t>
  </si>
  <si>
    <t>ПК DEXP Atlas H316</t>
  </si>
  <si>
    <t>Core i3-10100F/8GB/SSD 240GB/GT710 1GB/Без ПО</t>
  </si>
  <si>
    <t>Б-00117958/2520220034</t>
  </si>
  <si>
    <t>2.4.3257</t>
  </si>
  <si>
    <t>минимойка Karcher K5 Compakt FJ 6Set</t>
  </si>
  <si>
    <t>Б-00072998/ЕП46220220019</t>
  </si>
  <si>
    <t>инв.0000000001  2100Вт, 500л/ч, 145 Бар, 8м, забор воды водопровод/из емкости, 12 кг</t>
  </si>
  <si>
    <t>2.5.1851</t>
  </si>
  <si>
    <t>переносные 2-секционные телеск. рампы (пандус)</t>
  </si>
  <si>
    <t>Контракт на поставку товаров</t>
  </si>
  <si>
    <t>ЕП43220220010</t>
  </si>
  <si>
    <t>инв.2061088</t>
  </si>
  <si>
    <t>2.6.0076.К</t>
  </si>
  <si>
    <t>ЕП9-0120220059</t>
  </si>
  <si>
    <t>2.6.0077.К</t>
  </si>
  <si>
    <t>ЕП9-0120220063</t>
  </si>
  <si>
    <t>Стол-тумба СПК-П-10/6(1000*600*850) (конструкция в разборе)</t>
  </si>
  <si>
    <t>Вентилятор переносной ВП-1000 (220) для продувки колодцев</t>
  </si>
  <si>
    <t>2.4.3258</t>
  </si>
  <si>
    <t>инв.13601904 ул. Садовая (Насос № 1). Насос-Зав.№ н-774. Эл.двигатель-№15866795</t>
  </si>
  <si>
    <t>2.4.3259</t>
  </si>
  <si>
    <t>инв.13601903 ул.Заводская, 10, (ЦТС). Вентилятор-Зав.№7735, Эл.двигатель- Зав.  № 142234. Комплектность: вентилятор-1шт., паспорт-1 шт., воздуховод-1м.п.</t>
  </si>
  <si>
    <t>11-01</t>
  </si>
  <si>
    <t>11/01/22</t>
  </si>
  <si>
    <t>Насос К 100-65-250 двигатель АИР 200 L2 У2 IMI081 45/3000 380/660 IP55 50ГЦ</t>
  </si>
  <si>
    <t>2.4.3260</t>
  </si>
  <si>
    <t>2.4.3261</t>
  </si>
  <si>
    <t>2.4.3262</t>
  </si>
  <si>
    <t>2.4.3263</t>
  </si>
  <si>
    <t>Монитор Philips 21.5</t>
  </si>
  <si>
    <t>220VB (00/01) (60Hz,1920*1080,VA,4ms,VGA,DVI)</t>
  </si>
  <si>
    <t>принтер/сканер/копир: А4 32ppm 256Mb LAN USB</t>
  </si>
  <si>
    <t>Б-00663259/022021083</t>
  </si>
  <si>
    <t>Б-00663195/022010082</t>
  </si>
  <si>
    <t>принтер/сканер/копир: А4 32 стр/мин</t>
  </si>
  <si>
    <t>1169/0220210063</t>
  </si>
  <si>
    <t>Дговор купли-продажи товара</t>
  </si>
  <si>
    <t>1608/0220210091</t>
  </si>
  <si>
    <t>220 V8L, черный</t>
  </si>
  <si>
    <t>2.6.0078.К</t>
  </si>
  <si>
    <t>2.6.0079.К</t>
  </si>
  <si>
    <t>уголь каменный Промпродукт СС - слабоспекающийся</t>
  </si>
  <si>
    <t>2.6.0080.К</t>
  </si>
  <si>
    <t>ЕП9-0120220060</t>
  </si>
  <si>
    <t>2.4.3264</t>
  </si>
  <si>
    <t>Счетчик горячей воды ВСТН-25 с имп. вых.</t>
  </si>
  <si>
    <t>2920220018</t>
  </si>
  <si>
    <t>2.4.3265</t>
  </si>
  <si>
    <t>Гигантские шашки детские</t>
  </si>
  <si>
    <t>35/2720210067</t>
  </si>
  <si>
    <t>2.4.3266</t>
  </si>
  <si>
    <t>СП-008 готовый комплект «Для слабовидящих»</t>
  </si>
  <si>
    <t>Местонахождение: кв. Б, дом 35</t>
  </si>
  <si>
    <t>2.4.3267</t>
  </si>
  <si>
    <t>Морозильный ларь Бирюса 200КХ</t>
  </si>
  <si>
    <t>2720210071</t>
  </si>
  <si>
    <t>2.4.3268</t>
  </si>
  <si>
    <t>ул. Гагарина 7</t>
  </si>
  <si>
    <t>Абонентский терминал Сигнал S2652</t>
  </si>
  <si>
    <t>2.5.1852</t>
  </si>
  <si>
    <t>2.5.1853</t>
  </si>
  <si>
    <t>84/22П/0220220022</t>
  </si>
  <si>
    <t xml:space="preserve">Системный блок в сборе </t>
  </si>
  <si>
    <t xml:space="preserve">ryzen 3 2200g SSd240 DDR4 8GB </t>
  </si>
  <si>
    <t>ЕП4-0120220064</t>
  </si>
  <si>
    <t xml:space="preserve">МФУ лазерное </t>
  </si>
  <si>
    <t>Brother DCP- 1.2520DWR</t>
  </si>
  <si>
    <t>2.6.0081.К</t>
  </si>
  <si>
    <t>ЕП9-0120220085</t>
  </si>
  <si>
    <t>2.4.3269</t>
  </si>
  <si>
    <t>HP LI PRO M227fdn</t>
  </si>
  <si>
    <t xml:space="preserve">Договор купои продажи </t>
  </si>
  <si>
    <t>894437/6585848</t>
  </si>
  <si>
    <t>договор безвозмездного пользования имуществом; постановление</t>
  </si>
  <si>
    <t>17-03-01; 306</t>
  </si>
  <si>
    <t>13.03.2017; 20.04.2022</t>
  </si>
  <si>
    <t>2.5.1854</t>
  </si>
  <si>
    <t>инв.3061488</t>
  </si>
  <si>
    <t xml:space="preserve">ЕП 46120220026 </t>
  </si>
  <si>
    <t>Контракт на поставку товара</t>
  </si>
  <si>
    <t>Баннер памяти А.Г. Моисеевского (Зал)</t>
  </si>
  <si>
    <t>Мотопомпа Патриот МР3065 SF</t>
  </si>
  <si>
    <t>117</t>
  </si>
  <si>
    <t>инв.19/39-001245 ул.  Заводская, 10, цех ВиВ</t>
  </si>
  <si>
    <t>2.4.3270</t>
  </si>
  <si>
    <t>Инв.110138000002 - 110138000001 Армирование фигур произведено композитным материалом (стеклопластиком), толщиной 4 мм. Высота ворса искусственной травы (газона) 35 мм. Фигуры по прочности антивандальные и всесезонные, устойчивые к воздействиюатмосферных осадков, и ультрафиолетовых лучей. Фигуры оснащены установочным комплектом, обеспечивающим прочное, антивандальное удержание фигуры на твердом и (или) грунтовом порыт Металические части фигуры стойкие от коррозии, огрунтованы и окрашены. Адрес: Детская площадка "Сквер для прогулок и отдыха детей квартал "В"; Детс-я площадка кв. Б между дом.38,34,35</t>
  </si>
  <si>
    <t>2.4.3271</t>
  </si>
  <si>
    <t>МФУ лазерное Brother DCP-L2500DR (А4, лазерный, серый)</t>
  </si>
  <si>
    <t>инв.110134000095</t>
  </si>
  <si>
    <t>ЕП4-0120220109</t>
  </si>
  <si>
    <t>2.4.3272</t>
  </si>
  <si>
    <t>2.4.3273</t>
  </si>
  <si>
    <t>инв.13601905, Прибор:зав.№ 1839, Предзаводская пл. 2/19, ЦехТАИ ТЭЦ</t>
  </si>
  <si>
    <t>Измеритель осевого сдвига ИП-107</t>
  </si>
  <si>
    <t xml:space="preserve">Весы аналитические СЕ124-С с 
поверкой
</t>
  </si>
  <si>
    <t>2.4.3274</t>
  </si>
  <si>
    <t>инв.13601906, зав.№ 42525033, Предзаводская пл. 2/19, (установлены в угольной лаборатории КТЦ ТЭЦ)</t>
  </si>
  <si>
    <t>инв.13601907, Прибор: зав.№ 3301460, Предзаводская пл. 2, (установлен в северной ТЭЦ</t>
  </si>
  <si>
    <t>2.4.3275</t>
  </si>
  <si>
    <t>Вычислитель расхода универсальный ЭЛЕМЕР-ВКМ-360</t>
  </si>
  <si>
    <t>МФУ лазерное Canon i-SENSYS MF443dw</t>
  </si>
  <si>
    <t>инв.13601902,  Предзаводская пл. 2а, Управление</t>
  </si>
  <si>
    <t>2.4.3276</t>
  </si>
  <si>
    <t>Насос СМ 80-50-2006-2 двигатель АИР132М2 У2 IM1081 11/3000 220/380 IP55</t>
  </si>
  <si>
    <t>инв.13601908,  Предзаводская пл. 2, БОС (корп. 263)</t>
  </si>
  <si>
    <t>2.4.3277</t>
  </si>
  <si>
    <t>Измеритель параметров силовых трансформаторов СЭИТ-4М-К540 с первичной поверкой</t>
  </si>
  <si>
    <t>инв.13601909,  Предзаводская пл. 2, (корп.10, электротехническая лаборатория)</t>
  </si>
  <si>
    <t>20-01</t>
  </si>
  <si>
    <t>17/01-С</t>
  </si>
  <si>
    <t>МП-22-0009</t>
  </si>
  <si>
    <t>27/01-2022</t>
  </si>
  <si>
    <t>20/12/21</t>
  </si>
  <si>
    <t>28/01/22</t>
  </si>
  <si>
    <t>2.4.3278</t>
  </si>
  <si>
    <t>15.6 Ноутбук AsusVivoBook 15</t>
  </si>
  <si>
    <t>Б-00197614</t>
  </si>
  <si>
    <t>(К513ЕА-ВQ2392W)(FHD/IPS) i31115G4/8192/SSD256/IntelHD/Win11/Silver</t>
  </si>
  <si>
    <t>2.5.1855.К</t>
  </si>
  <si>
    <t>Английский язык, 5-6 классы, Гребенкина Е.Е, Кулакова Т.А.</t>
  </si>
  <si>
    <t>12 573,00</t>
  </si>
  <si>
    <t>198</t>
  </si>
  <si>
    <t>инв.10106479</t>
  </si>
  <si>
    <t>2.4.3279</t>
  </si>
  <si>
    <t>МФУ Brother DCP-L2500DR</t>
  </si>
  <si>
    <t>Б-00201918</t>
  </si>
  <si>
    <t>инв. 19/39-001247 ул. Заводская, 10 (транспортный участок)</t>
  </si>
  <si>
    <t>2.4.3280</t>
  </si>
  <si>
    <t>Интерактивная панель Stark 65</t>
  </si>
  <si>
    <t>инв. 3120360</t>
  </si>
  <si>
    <t>ЕП53120220026</t>
  </si>
  <si>
    <t>10.03.2022; 17.06.2022</t>
  </si>
  <si>
    <t>183; 450</t>
  </si>
  <si>
    <t>2.5.1863.К</t>
  </si>
  <si>
    <t>2.4.3281</t>
  </si>
  <si>
    <t>Счетчик воды Gerrida СВКМ-40Г со штуцерами</t>
  </si>
  <si>
    <t>Постановление; Постановление; Договор ответственного хранения</t>
  </si>
  <si>
    <t>14.12.2021; 21.06.2022; 21.06.2022</t>
  </si>
  <si>
    <t>923; 465; б/н</t>
  </si>
  <si>
    <t>2.6.0082.К</t>
  </si>
  <si>
    <t>ЕП9-0120220127</t>
  </si>
  <si>
    <t>Стационарный металлодетектор</t>
  </si>
  <si>
    <t>2.4.3282.К</t>
  </si>
  <si>
    <t>2.4.3283.К</t>
  </si>
  <si>
    <t>2.4.3284.К</t>
  </si>
  <si>
    <t>2.4.3285.К</t>
  </si>
  <si>
    <t>2.4.3286.К</t>
  </si>
  <si>
    <t>2.4.3287.К</t>
  </si>
  <si>
    <t>31.12.2019; 31.12.2019; 31.05.2022; 21.06.2022; 21.06.2022</t>
  </si>
  <si>
    <t>1092; 4; 1; 465; б/н</t>
  </si>
  <si>
    <t>Постановление; Договор ответственного хранения с МУП "ЯТЭК"; Акт приема-передачи имущества; Постановление; Договор ответственного хранения с МУП "Автомобилист"</t>
  </si>
  <si>
    <t xml:space="preserve">кв. А  дом 13, изготовлен из ЛДСП, размеры: (1200мм*1000мм*250мм)      </t>
  </si>
  <si>
    <t>23.12.2019; 10.12.2020; 23.06.2022</t>
  </si>
  <si>
    <t>1059; 1039; 472</t>
  </si>
  <si>
    <t>29.09.2020; 23.06.2022</t>
  </si>
  <si>
    <t>821; 472</t>
  </si>
  <si>
    <t>распоряжение; постановление</t>
  </si>
  <si>
    <t>2.5.1864.К</t>
  </si>
  <si>
    <t>2.5.1865.К</t>
  </si>
  <si>
    <t>Урна</t>
  </si>
  <si>
    <t>ЭА-0120220076</t>
  </si>
  <si>
    <t>Озеленение по ул.Гагарина, 40 лет Октября, лесополоса 85 га, ул.Мира до учхоза, рынок</t>
  </si>
  <si>
    <t>инв. 3061102</t>
  </si>
  <si>
    <t>31.12.2019, 28.04.2021; 15.02.2021; 01.03.2022; 06.07.2022</t>
  </si>
  <si>
    <t>1088, 329; 119; 157; 514</t>
  </si>
  <si>
    <t>30.05.2019; 21.06.2021; 07.07.2022</t>
  </si>
  <si>
    <t>455; 451; 521</t>
  </si>
  <si>
    <t>Ель "Белобок" - 3 шт.</t>
  </si>
  <si>
    <t>29.09.2020; 23.06.2022; 07.07.2022</t>
  </si>
  <si>
    <t>821; 472; 520</t>
  </si>
  <si>
    <t>15.06.2020; 24.06.2022</t>
  </si>
  <si>
    <t>720; б/н</t>
  </si>
  <si>
    <t>распоряжение (край); Акт осмотра</t>
  </si>
  <si>
    <t xml:space="preserve">муниципальная казна/МУП "Автомобилист" </t>
  </si>
  <si>
    <t>Огнеупорные материалы (Кирпич шамотный ШБ-5)</t>
  </si>
  <si>
    <t>Огнеупорные материалы (Кирпич КПД-400-И)</t>
  </si>
  <si>
    <t>Огнеупорные материалы (Мертель шамотный огнеупорный МШ-28)</t>
  </si>
  <si>
    <t>Огнеупорные материалы (Асбест хризотиловый А6К-30.ГОСТ 12871-93)</t>
  </si>
  <si>
    <t>Серная кислота техническая ГОСТ 2184-2013, 65 т.</t>
  </si>
  <si>
    <t>ЕП4-0120220121</t>
  </si>
  <si>
    <t>ЕПпрот-0120220126</t>
  </si>
  <si>
    <t>2.5.1871.К</t>
  </si>
  <si>
    <t>Знаки дорожные на оцинкованной подоснове со светоотражающей пленкой особых предписаний. Тип 5.20, 1.17</t>
  </si>
  <si>
    <t>Знаки дорожные на оцинкованной подоснове со светоотражающей пленкой особых предписаний. Тип 5.20-4 шт., 1.17-2 шт.</t>
  </si>
  <si>
    <t>Муниципальный контракт; Акт према-передачи</t>
  </si>
  <si>
    <t>20.04.2022; 30.06.2022</t>
  </si>
  <si>
    <t>ЕП4-0120220087; б/н</t>
  </si>
  <si>
    <t>2.5.1870</t>
  </si>
  <si>
    <t>2.5.1869</t>
  </si>
  <si>
    <t>2.5.1868</t>
  </si>
  <si>
    <t>2.5.1867</t>
  </si>
  <si>
    <t>2.5.1866</t>
  </si>
  <si>
    <t>1395; 522</t>
  </si>
  <si>
    <t>30.12.2016; 07.07.2022</t>
  </si>
  <si>
    <t>1327; 522</t>
  </si>
  <si>
    <t>29.12.2018; 07.07.2022</t>
  </si>
  <si>
    <t>63 т.</t>
  </si>
  <si>
    <t>47.9999984 м.куб.</t>
  </si>
  <si>
    <t>9 т.</t>
  </si>
  <si>
    <t>6 т.</t>
  </si>
  <si>
    <t>Счетчик горячей воды ВСТН-40 крыльчатый с имп. вых.</t>
  </si>
  <si>
    <t>122-023</t>
  </si>
  <si>
    <t>2.4.3288</t>
  </si>
  <si>
    <t>2.5.1872</t>
  </si>
  <si>
    <t>Банер (Мы Россия, мы вместе)</t>
  </si>
  <si>
    <t>ЕП43320220071</t>
  </si>
  <si>
    <t>2.5.1873</t>
  </si>
  <si>
    <t>Металлоконструкция к банеру</t>
  </si>
  <si>
    <t>24.06.2022; 24.06.2022</t>
  </si>
  <si>
    <t>483; б/н</t>
  </si>
  <si>
    <t>323</t>
  </si>
  <si>
    <t xml:space="preserve">Постановление; договор ответственного хранения с МБОУ СОШ №19                                                                                                                                                                                </t>
  </si>
  <si>
    <t xml:space="preserve">Постановление; договор ответственного хранения с МБОУ СОШ №14                                                                                                                                                                                </t>
  </si>
  <si>
    <t xml:space="preserve">Постановление; договор ответственного хранения с МБОУ СОШ №12                                                                                                                                                                                </t>
  </si>
  <si>
    <t xml:space="preserve">Постановление; договор ответственного хранения с МБУ СП "Спортивная школа"                                                                                                                                                                   </t>
  </si>
  <si>
    <t xml:space="preserve">Постановление; договор ответственного хранения с МБУК "ГДК "Химик"                                              </t>
  </si>
  <si>
    <t>Постановление; договор ответственного хранения с КГБПОУ "Яровской политехнический техникум"</t>
  </si>
  <si>
    <t>кв. А, дом 13</t>
  </si>
  <si>
    <t xml:space="preserve">Находится в МБОУ СОШ №19 </t>
  </si>
  <si>
    <t xml:space="preserve">Находится в МБОУ СОШ №14 </t>
  </si>
  <si>
    <t xml:space="preserve">Находится в МБОУ СОШ №12 </t>
  </si>
  <si>
    <t>Находится в МБУ СП "Спортивная школа"</t>
  </si>
  <si>
    <t xml:space="preserve">Находится в МБУК "ГДК "Химик"   </t>
  </si>
  <si>
    <t>Находится в КГБПОУ "Яровской политехнический техникум"</t>
  </si>
  <si>
    <t>2.2.0177</t>
  </si>
  <si>
    <t>Автогрейдер ГС-14.02</t>
  </si>
  <si>
    <t>кондиционер "Samsung"</t>
  </si>
  <si>
    <t>65 т.</t>
  </si>
  <si>
    <t>2.4.3289</t>
  </si>
  <si>
    <t>Договор на  поставки</t>
  </si>
  <si>
    <t>ЕП43320220075</t>
  </si>
  <si>
    <t xml:space="preserve">МФУ Epson L3100 </t>
  </si>
  <si>
    <t>2.5.1874</t>
  </si>
  <si>
    <t>Доска маркерная 3-х элементная</t>
  </si>
  <si>
    <t>2.4.3290</t>
  </si>
  <si>
    <t>Сплит - система ECOSTAR SPARK 07</t>
  </si>
  <si>
    <t>Контракт на  поставку товаров</t>
  </si>
  <si>
    <t>ЕП40620220050</t>
  </si>
  <si>
    <t>2.4.3291</t>
  </si>
  <si>
    <t>Сплит - система ECOSTAR SPARK 09</t>
  </si>
  <si>
    <t>ЕП4-0120220151</t>
  </si>
  <si>
    <t>2.5.1875</t>
  </si>
  <si>
    <t>Цилиндр АМАКС ЦКВ-ЮО(Ф) 1000.57 30 (24 м/кор), 70 м</t>
  </si>
  <si>
    <t xml:space="preserve"> ЕПпрот-0120220129</t>
  </si>
  <si>
    <t>2.5.1876</t>
  </si>
  <si>
    <t>Цилиндр  АМАКС ЦКВ-100(Ф) 1000.83.30 (14 м/кор), 501 м</t>
  </si>
  <si>
    <t>2.5.1877</t>
  </si>
  <si>
    <t>Цилиндр  АМАКС ЦКВ-ЮО(Ф) 1000.108.30 (11 м/кор), 111 м</t>
  </si>
  <si>
    <t>2.5.1878</t>
  </si>
  <si>
    <t>Цилиндр  АМАКС ЦКВ-ЮО(Ф) 1000.60.30 (24 м/кор), 45 м</t>
  </si>
  <si>
    <t>2.5.1879</t>
  </si>
  <si>
    <t>Мат ламельный МЛ-35 (Ф) АМАКС 6000.1000.50 (О.ЗмЗ/уп), 31,5 м3</t>
  </si>
  <si>
    <t>2.5.1880</t>
  </si>
  <si>
    <t>Фольма-ткань СФ 160-20 (100 м2/рулон), 40 м2</t>
  </si>
  <si>
    <t>2.5.1881</t>
  </si>
  <si>
    <t>Цилиндр  АМАКС ЦКВ-ЮО(Ф) 1000.89.30 (16 м/кор), 70 м</t>
  </si>
  <si>
    <t>Цилиндр  АМАКС ЦКВ-200(ОЦ) ЭНЕРГО 1000.57.50 (25/25), 639,999593575 м</t>
  </si>
  <si>
    <t>2.5.1882</t>
  </si>
  <si>
    <t>2.5.1883</t>
  </si>
  <si>
    <t>2.5.1884</t>
  </si>
  <si>
    <t>Цилиндр  АМАКС ЦКВ-200(ОЦ) ЭНЕРГО 1000.89.50 (25/25). 80 м</t>
  </si>
  <si>
    <t>Цилиндр  АМАКС ЦКВ-200(ОЦ) ЭНЕРГО 1000.108.50 (25/25), 235 м</t>
  </si>
  <si>
    <t>2.5.1885</t>
  </si>
  <si>
    <t>МП-100-2000.1000.50 (0.1м3/ул) ГОСТ 21880-2011, 27 м3</t>
  </si>
  <si>
    <t>01.10.2018; 11.08.2022</t>
  </si>
  <si>
    <t>926; 629</t>
  </si>
  <si>
    <t>2.5.1886</t>
  </si>
  <si>
    <t>Клапан взрывной БК-651413</t>
  </si>
  <si>
    <t>2.5.1887</t>
  </si>
  <si>
    <t>Гляделка котла 00,9692.023</t>
  </si>
  <si>
    <t>Клапан мигалка ДУ200</t>
  </si>
  <si>
    <t>2.5.1888</t>
  </si>
  <si>
    <t>Люк- лаз по СТ 003.0001.003</t>
  </si>
  <si>
    <t>2.5.1889</t>
  </si>
  <si>
    <t>Клапаны пылегазовоздухопроводов круглые 05ПГВУ 291-80</t>
  </si>
  <si>
    <t>2.5.1890</t>
  </si>
  <si>
    <t>2.5.1891</t>
  </si>
  <si>
    <t>2.5.1892</t>
  </si>
  <si>
    <t>2.5.1893</t>
  </si>
  <si>
    <t>2.5.1894</t>
  </si>
  <si>
    <t>2.5.1895</t>
  </si>
  <si>
    <t>2.5.1896</t>
  </si>
  <si>
    <t>2.5.1897</t>
  </si>
  <si>
    <t>2.5.1898</t>
  </si>
  <si>
    <t>2.5.1899</t>
  </si>
  <si>
    <t>2.5.1900</t>
  </si>
  <si>
    <t>2.5.1901</t>
  </si>
  <si>
    <t>2.5.1902</t>
  </si>
  <si>
    <t>2.5.1903</t>
  </si>
  <si>
    <t>2.5.1904</t>
  </si>
  <si>
    <t>Броня барабан 3-7653 1И 1</t>
  </si>
  <si>
    <t>Броня клина 3-76569И</t>
  </si>
  <si>
    <t>Броня люка 3-76570И</t>
  </si>
  <si>
    <t>Броня подлюк 3-85382</t>
  </si>
  <si>
    <t>Броня барабана 3-85383И</t>
  </si>
  <si>
    <t>Броня клина 3-85384И</t>
  </si>
  <si>
    <t>Броня торцевой стенки 3-76571И</t>
  </si>
  <si>
    <t>Клин затяжной 4-60356И</t>
  </si>
  <si>
    <t>Клин затяжной 4-169223 И</t>
  </si>
  <si>
    <t>Болт люка 4-60705И</t>
  </si>
  <si>
    <t>Болт брони 4-60710И</t>
  </si>
  <si>
    <t>Болт торцевой брони 4-133945И5</t>
  </si>
  <si>
    <t>Болт торцевой брони 4-133945И5-01</t>
  </si>
  <si>
    <t>Шайба подкладочная 4-133944</t>
  </si>
  <si>
    <t>Опоры освещения (светильники на солнечных батареях) "Сквер для прогулок"</t>
  </si>
  <si>
    <t>Спортивная площадка "Сквер для прогулок и отдыха детей", квартал "В"</t>
  </si>
  <si>
    <t>2.5.1905.К</t>
  </si>
  <si>
    <t>2.5.1906.К</t>
  </si>
  <si>
    <t xml:space="preserve">Металлические опоры освещения территории (со светильниками Кобра на солнечных батареях 40W 6500К) </t>
  </si>
  <si>
    <t>Спортивная площадка состоящая: бесшовное резиновое покрытие, толщиной 10мм-565 м2, оборудование спортивное Romana 1 шт., тренажер тяга к груди Romana 1 шт., тренажер жим от груди Romana 1 шт., тренажер жим ногами Romana 1 шт., тренажер Гребля Romana 1 шт., скамья со спинкой Romana – 5 шт., урна Romana  - 5 шт.</t>
  </si>
  <si>
    <t>Скамья, тип 5 (со спинкой и металлическими подлокотниками) (установлены на тротуаре по ул. Мира, возле 19 шк, кв. В., между д. 9 кв.В и магазин "Низкоцен")</t>
  </si>
  <si>
    <t>Урна металлическая, круглая, переворачивающаяся (установлены на тротуаре по ул. Мира, возле 19 шк, кв. В., между д. 9 кв.В и магазин "Низкоцен")</t>
  </si>
  <si>
    <t>Муниципальный контракт, акт приема передачи</t>
  </si>
  <si>
    <t>21.02.2022; 11.08.2022</t>
  </si>
  <si>
    <t xml:space="preserve"> ЕПпрот-0120220053; б/н</t>
  </si>
  <si>
    <t>Муниципальный контракт; Акт о приемке имущества</t>
  </si>
  <si>
    <t>20.06.2022; 22.08.2022</t>
  </si>
  <si>
    <t xml:space="preserve"> ЕПпрот-0120220124; б/н</t>
  </si>
  <si>
    <t>21.06.2022; 22.08.2022</t>
  </si>
  <si>
    <t xml:space="preserve"> ЕПпрот-0120220128; б/н</t>
  </si>
  <si>
    <t>инв.89000416. LG-S0764</t>
  </si>
  <si>
    <t>2.4.3292</t>
  </si>
  <si>
    <t>Накопитель АДС-91</t>
  </si>
  <si>
    <t>13/07</t>
  </si>
  <si>
    <t>2.4.3293</t>
  </si>
  <si>
    <t>Абонентский терминал Сигнал S-2652 (АСН)</t>
  </si>
  <si>
    <t>инв.номер 19/39-001251 ул. Заводская 10, транспортный участок</t>
  </si>
  <si>
    <t>инв.номер 19/39-001252, ул. Алтайская 39, УТА</t>
  </si>
  <si>
    <t>54/22П</t>
  </si>
  <si>
    <t>2.4.3294</t>
  </si>
  <si>
    <t>Преобразователь частоты GD200А-030G/037P-4</t>
  </si>
  <si>
    <t>инв.номер 13601911 ул. Заводская, скв.№ 4803, куст 2м. Зав. № F0621A009203</t>
  </si>
  <si>
    <t>01/02/2022</t>
  </si>
  <si>
    <t>Контракт на поставку</t>
  </si>
  <si>
    <t xml:space="preserve"> ЕП43320220085</t>
  </si>
  <si>
    <t>2.5.1907</t>
  </si>
  <si>
    <t>2.5.1908</t>
  </si>
  <si>
    <t xml:space="preserve"> ЕП43320220086</t>
  </si>
  <si>
    <t>Баннер (С праздником!) на сцену</t>
  </si>
  <si>
    <t>440 гр, 3000*6000 мм, проклейка, люверсы. ВА000000060113</t>
  </si>
  <si>
    <t>Баннер на (С днем города!) администрацию</t>
  </si>
  <si>
    <t>440 гр, 3000*5000 мм, проклейка, люверсы. ВА000000060114</t>
  </si>
  <si>
    <t>2.4.3295</t>
  </si>
  <si>
    <t>инв.номер 3061490</t>
  </si>
  <si>
    <t>ЕП46120220047</t>
  </si>
  <si>
    <t>2.5.1909</t>
  </si>
  <si>
    <t>Пианино «Н.Рубинштейн НР-121» черн., полированная</t>
  </si>
  <si>
    <t>инв. 3120374 - 3120375</t>
  </si>
  <si>
    <t>Контракт на поставку музыкальных инструментов</t>
  </si>
  <si>
    <t xml:space="preserve"> ЕП173120220028</t>
  </si>
  <si>
    <t>Камера видеонаблюдения AX-QY5(зал) (коммутатор POE LSA-HT 812, провод UTR, Астра 312 М тревожная кнопка)</t>
  </si>
  <si>
    <t>Бумага формата А4</t>
  </si>
  <si>
    <t>2.5.1911.К</t>
  </si>
  <si>
    <t>2.4.3296.К</t>
  </si>
  <si>
    <t xml:space="preserve">Ноутбук ICL RAYbook Si1512 15.6 FHD (1920x1080), процессор Imel Core i5-8279U, ОЗУ 8Gb DDR4? SSD 240GB, Web-Camera 2Mp, WiFi, Bluetooth, 3*USB 3.0, 1*VGA, 1*HDMI, 1*RJ45, Astra Linux, Мой офис ОБЩЕСТВО С ОГРАНИЧЕННОЙ ОТВЕТСТВЕННОСТЬЮ «АЙСИЭЛ ТЕХНО» РЭ-1539/21 (-) 30.06.2022 </t>
  </si>
  <si>
    <t>2.4.3297.К</t>
  </si>
  <si>
    <t>2.4.3298.К</t>
  </si>
  <si>
    <t>Образовательный набор по механике, мехатронике и робототехнике</t>
  </si>
  <si>
    <t>2.5.1912.К</t>
  </si>
  <si>
    <t>2.4.3299.К</t>
  </si>
  <si>
    <t>Образоват.набор для изучен. многокомпон.робототех-х систем и манипуляц-х роботов</t>
  </si>
  <si>
    <t>2.4.3300.К</t>
  </si>
  <si>
    <t>2.4.3301.К</t>
  </si>
  <si>
    <t>2.5.1913.К</t>
  </si>
  <si>
    <t xml:space="preserve">Триммер бензиновый Husgvarna 128R </t>
  </si>
  <si>
    <t xml:space="preserve">Бензоножницы садовые CHAMPION HT625R </t>
  </si>
  <si>
    <t>Мотобур CHAMPION Ав252+шнек С8053</t>
  </si>
  <si>
    <t>2.4.3303.К</t>
  </si>
  <si>
    <t xml:space="preserve">Бензопила Stihl MS 180-14 </t>
  </si>
  <si>
    <t>Муниципаоьный контракт</t>
  </si>
  <si>
    <t>ЕП4-0120220160</t>
  </si>
  <si>
    <t>14.08.2015; 19.11.2015; 09.12.2015; 03.03.2016; 05.08.2016; 29.09.2016; 19.10.2016; 19.10.2016; 01.11.2016; 16.11.2016; 22.12.2016; 30.12.2016; 17.05.2017; 13.06.2017; 07.07.2017; 22.09.2017; 19.10.2017; 13.11.2017; 28.02.2018; 08.08.2018; 29.08.2018; 09.10.2018; 30.10.2018; 28.12.2018; 29.12.2018; 05.04.2019; 02.09.2019; 13.09.2019; 05.11.2019; 23.12.2019; 29.06.2020; 09.09.2020; 16.11.2020; 12.05.2021; 09.07.2021; 22.09.2021; 12.10.2021; 28.10.2021; 28.10.2021: 08.12.2021; 18.05.2022; 23.05.2022; 24.06.2022; 12.07.2022; 04.10.2022</t>
  </si>
  <si>
    <t>696; 950; 999; 218; 817; 1016; 1103; 1104; 1156; 1218; 1359; 1398; 444; 548; 619; 849; 845; 942; 1000;159; 782; 826; 967; 1049; 1309; 1332; 289; 720; 750; 916; 1061; 562; 757; 943; 346; 515; 679; 736; 792; 793; 906; 364; 374; 482; 537; 819</t>
  </si>
  <si>
    <t>10.11.2015; 21.12.2015; 18.12.2015; 18.01.2016; 22.09.2016; 14.04.2016; 14.10.2016; 04.10.2016; 24.04.2017; 29.05.2017; 17.10.2017; 01.06.2018; 06.06.2018; 06.06.2018; 20.08.2018; 24.09.2018; 26.02.2019; 11.10.2019; 01.06.2020; 10.09.2021; 29.06.2022; 11.07.2022</t>
  </si>
  <si>
    <t>2520150139; 2212; 2197; 145; б/н; БРН/10-0002; /2520170041; /2520170040; 1/3113/2520180078; 2520180076; 2420180093; 2520180077; 209; 211; 76; 3; 46; б/н; А0022965</t>
  </si>
  <si>
    <t>14.08.2015; 08.12.2015; 03.03.2016; 10.10.2016; 10.10.2016; 17.10.2016; 02.11.2016; 22.12.2016; 30.12.2016; 13.06.2017; 22.08.2017; 22.09.2017; 19.10.2017; 18.12.2017; 26.12.2017; 21.05.2018; 29.08.2018; 09.10.2018; 30.10.2018; 28.12.2018; 28.01.2019; 05.04.2019; 26.08.2019; 13.09.2019; 14.11.2019; 22.11.2019; 23.12.2019; 03.02.2020; 06.07.2020; 20.08.2020; 09.11.2020; 16.11.2020; 17.11.2020; 16.12.2020; 13.04.2021; 12.05.2021; 03.09.2021; 28.10.2021; 08.04.2022; 04.10.2022</t>
  </si>
  <si>
    <t>696; 995; 218; 1055; 1047; 1079; 1168; 1359; 1390; 548; 778; 849; 942; 1125; 1175; 435; 827; 981; 1049; 1310; 101; 289; 706; 754; 949; 969; 1061; 103; 589; 690; 925; 952; 953; 1048; 272; 345; 640; 735; 795; 279; 818</t>
  </si>
  <si>
    <t>ЯМЗ-236Г-6, №0699958. Мощность двигателя 110кВт (150 л.с.)</t>
  </si>
  <si>
    <t>Инв. номер ВА 000000060111 (Принтер/Копир/Сканер:А4 5760x1440dpi 33ppm CHПЧ (4*65ml) USB тип В)</t>
  </si>
  <si>
    <t>70м</t>
  </si>
  <si>
    <t>501м</t>
  </si>
  <si>
    <t>111м</t>
  </si>
  <si>
    <t>45м</t>
  </si>
  <si>
    <t>31,5м3</t>
  </si>
  <si>
    <t>40м2</t>
  </si>
  <si>
    <t>80м</t>
  </si>
  <si>
    <t>235м</t>
  </si>
  <si>
    <t>639,999593575 м</t>
  </si>
  <si>
    <t>27м3</t>
  </si>
  <si>
    <t xml:space="preserve"> договор пожертвования имущества; приказ Главного управления образования и молод.политики АК; договор безвозмездной передачи (пожертвования) мат.ценностей; контракт на поставку учебников; контракт на поставку учебной литературы; договор; распоряжение (край); договор</t>
  </si>
  <si>
    <t>24.12.2015; 21.12.2015; 18.12.2015; 18.01.2016; 10.10.2016; 20.04.2017; 31.01.2018; 05.07.2018; 25.10.2018; 26.02.2019;18.05.2020; 01.06.2020; 06.07.2020; 10.09.2021; 20.04.2022</t>
  </si>
  <si>
    <t>1; 2212; 2197; 145; б/н;/242170040; б/н; 1/3981/2420180072; БРН18/10-10; 209; 211; А0004607; А0004584; А0004604; 6; 53/2420220035</t>
  </si>
  <si>
    <t>2.5.1914</t>
  </si>
  <si>
    <t>Пианино «Михаил Глинка» акустическое</t>
  </si>
  <si>
    <t>инв.  3120376</t>
  </si>
  <si>
    <t xml:space="preserve">Контракт на поставку музыкальных инструментов </t>
  </si>
  <si>
    <t xml:space="preserve"> ЕП 173120220033</t>
  </si>
  <si>
    <t>2.5.1915</t>
  </si>
  <si>
    <t>инв.  ВА 000000060115</t>
  </si>
  <si>
    <t xml:space="preserve"> ЕП 43320220093</t>
  </si>
  <si>
    <t xml:space="preserve">Ксеноновая лампа Ushio DXL-22 BAF </t>
  </si>
  <si>
    <t>Входная группа (дверь) Зал Единоборств</t>
  </si>
  <si>
    <t>2.5.1916</t>
  </si>
  <si>
    <t>инв. 3061492</t>
  </si>
  <si>
    <t xml:space="preserve">ЕП 46120220052 </t>
  </si>
  <si>
    <t>Фиск.накопитель ФН-1.1.15 месяцев</t>
  </si>
  <si>
    <t>2.4.3304</t>
  </si>
  <si>
    <t>2.4.3305</t>
  </si>
  <si>
    <t>Тахометр ИП-115</t>
  </si>
  <si>
    <t>13/07-2022</t>
  </si>
  <si>
    <t>2.4.3306</t>
  </si>
  <si>
    <t>Блок технологической сигнализации и защиты БАЗИС-35.ЦС-02-2-Ф</t>
  </si>
  <si>
    <t>Зав. № 657, инв. 13601912, Предзаводская пл. 2/19 (установлен-местный щит турбогенератора № 5)</t>
  </si>
  <si>
    <t>Зав. № 1341, ннв. 13601913,  Предзаводская пл. 2/19 (установлен-местный щит тур-богенератора № 5)</t>
  </si>
  <si>
    <t>09/06/2021-БАЗ</t>
  </si>
  <si>
    <t>2.4.3307</t>
  </si>
  <si>
    <t>зав. № 21030005, инв. 13601915, Предзаводская пл. 2/19 (установлен-щит ПК № 10)</t>
  </si>
  <si>
    <t>Регистратор видеографический Ш 9329А (тип 29.010/1)-А4-АВ20-CF-П</t>
  </si>
  <si>
    <t>15/01/21-С</t>
  </si>
  <si>
    <t>2.4.3308</t>
  </si>
  <si>
    <t>Анеморумбометр 116-ФЗ</t>
  </si>
  <si>
    <t>инв. 13601916, в комплекте: прибор МПВ- зав. № 12120104249 (чашечный анемо-метр, измерение скорости ветра); МПВ – зав. № 12120104280 (индикатор из-мерения направления ветра), Предзаводская пл. 2/19 (установлен-мазутное хозяйство ТЭЦ)</t>
  </si>
  <si>
    <t>02/09-А</t>
  </si>
  <si>
    <t>1064</t>
  </si>
  <si>
    <t>324</t>
  </si>
  <si>
    <t xml:space="preserve">приказ Главного управления образования и молод.политики АК; договор безвозмездной передачи (пожертвования); контракт на поставку учебной литературы для муниципальных образовательных учреждений; договор безвозмездной передачи (пожертвования); контракт на поставку учебной литературы для образовательных учреждений; распоряжение (край); контракт на поставку учебной литературы; договор розничной купли-продажи; договор; договор поставки; контракт на поставку учебной литературы </t>
  </si>
  <si>
    <t>21.12.2015; 18.12.2015; 18.01.2016; 04.09.2016; 22.05.2017; 01.11.2017; 05.07.2018; 01.08.2018; 05.07.2018; 26.02.2019; 15.01.2020; 18.05.2020; 09.11.2020; 19.08.2022; 11.07.2022</t>
  </si>
  <si>
    <t>2212; 2197; 145; б/н; 2320170050; 215; 232180072; 1/3991/2320180071; 2320180074/1; 209; 211; 1; А0004557; 2320200106; б/н; А0022917/2320220064</t>
  </si>
  <si>
    <t>22.07.2015; 19.10.2016; 07.07.2017; 15.10.2019; 02.10.2020; 31.03.2021; 23.09.2021; 12.10.2021; 21.12.2021; 16.03.2022; 23.06.2022; 13.10.2022</t>
  </si>
  <si>
    <t>630; 1086; 622; 850; 830; 223; 695; 738; 952; 207; 470; 874</t>
  </si>
  <si>
    <t>договор на поставку; договор; договор</t>
  </si>
  <si>
    <t>15.06.2017; 28.03.2022; 14.09.2022</t>
  </si>
  <si>
    <t>66/3120171015; № ЕП173120220033; № м-130-2022/ЕП43120220094</t>
  </si>
  <si>
    <t>Муниципальная казна/МУП Автомобилист/</t>
  </si>
  <si>
    <t>Триммер бензиновый Husgvarna 128R/леска+нож/2 шт. в уп.  (Передано по договору безвозмездного пользования от 30.09.2022 № 5 МУП "Автомобилист" - 5 шт.)</t>
  </si>
  <si>
    <t>(Передано по договору безвозмездного пользования от 30.09.2022 № 5 МУП "Автомобилист" - 2 шт.)</t>
  </si>
  <si>
    <t>(Передано по договору безвозмездного пользования от 30.09.2022 № 5 МУП "Автомобилист" - 5 шт.)</t>
  </si>
  <si>
    <t>2.4.3309</t>
  </si>
  <si>
    <t>Блок технологической сигнализации и защиты БАЗИС-35.ЦС-03-Ф</t>
  </si>
  <si>
    <t>2.4.3310</t>
  </si>
  <si>
    <t>Блок технологической сигнализации и защиты БАЗИС-35.ЦС-03</t>
  </si>
  <si>
    <t>02/03/2022-БАЗ</t>
  </si>
  <si>
    <t>инв. 13601914, зав. № 1444, Предзаводская пл. 2/19 (устанолвлен-щит ПК № 10)</t>
  </si>
  <si>
    <t>инв. 13601917, зав. № 1467, Предзаводская пл. 2/19 (устанолвлен-щит ПК № 9)</t>
  </si>
  <si>
    <t>32/31</t>
  </si>
  <si>
    <t>2.4.3311</t>
  </si>
  <si>
    <t>Установка электролизная "САНЕР 5-400х2"</t>
  </si>
  <si>
    <t>ВА 0000000192</t>
  </si>
  <si>
    <t>49-22/ЕП46220220064</t>
  </si>
  <si>
    <t>2.4.3312</t>
  </si>
  <si>
    <t>Прибор управления оповещением «Рокот»</t>
  </si>
  <si>
    <t>ВА 0000000193</t>
  </si>
  <si>
    <t>2.4.3313</t>
  </si>
  <si>
    <t>2.4.3314</t>
  </si>
  <si>
    <t>2.4.3315</t>
  </si>
  <si>
    <t>2.4.3316</t>
  </si>
  <si>
    <t xml:space="preserve">Триммер бензиновый Husgvarna 128R/леска+нож/2 шт. в уп. </t>
  </si>
  <si>
    <t>VIN XVL 483213A0001818, номер ПТС 22 ОС 212011</t>
  </si>
  <si>
    <t xml:space="preserve">Машина коммунальная с отвалом, щеткой - Трактор колесный сельскохозяйственный "Беларус-82.1" в комплектации со тщеткой и отвалом, 22 АР 1175
</t>
  </si>
  <si>
    <t xml:space="preserve">VIN Y4R900Z01M1111281, номер ПТС RU CB 715647
</t>
  </si>
  <si>
    <t>Мини-трактор с кабиной и навесным оборудованием Беларус-320.4м, рег. № 22АР 1176</t>
  </si>
  <si>
    <t>VIN Y4U320Z04M1203821 ПСМ(Паспорт самоходной машины) № BY KC 005707 Выдан ОАО «БЗТДиА», 31 октября 2021 г. Модель, № двигателя № MMZ-3LD, 004671 Мощность двигателя кВт (л.с.)-35.4(26), номер ПТС RU CB 715648</t>
  </si>
  <si>
    <t xml:space="preserve">автомобиль КО 440-2, рег № Н 165 ХА 22 </t>
  </si>
  <si>
    <t>Автобус, рег. № А 478 РК (инв.10105125к (инв.3040904))</t>
  </si>
  <si>
    <t xml:space="preserve">Автобус ПАЗ-320405-04/ ЭПТС № 164301037587270,
Идентификационный номер VIN Х1M32045SM0002433, рег. № В 611 ВЕ 122
 </t>
  </si>
  <si>
    <t xml:space="preserve">Автобус ПАЗ-320405-04/ ЭПТС № 164301038125169,
Идентификационный номер VIN X1M32045SN0000050, рег. № В 639 ВЕ 122
</t>
  </si>
  <si>
    <t xml:space="preserve">Автобус ПАЗ-320435-04/ ЭПТС № 164301032876277,
Идентификационный номер VIN X1M3204NSM0001690, рег. № В 625 ВЕ 122
</t>
  </si>
  <si>
    <t xml:space="preserve">Автобус ПАЗ-320435-04/ ЭПТС № 164301037141274,
Идентификационный номер VIN X1M3204NSM0002354, рег. № В 649 ВЕ 122
</t>
  </si>
  <si>
    <t>ПСМ: RU CB 681784, индентификационный номер (VIN) 220080, номер ПТС RU CB 715655</t>
  </si>
  <si>
    <t xml:space="preserve">Автобус ПАЗ-320405-04/ ЭПТС № 164301038526141,
Идентификационный номер (VIN) X1M32045SN0000119, рег. № АМ 11422
</t>
  </si>
  <si>
    <t xml:space="preserve">Автобус ПАЗ-320405-04/ ЭПТС № 164301038529672,
Идентификационный номер (VIN) X1M32045SN0000121, рег. № АМ11522
</t>
  </si>
  <si>
    <t xml:space="preserve">Автобус ПАЗ-320405-04/ ЭПТС № 164301038230758,
Идентификационный номер (VIN) X1M32045SN0000067, рег. № 11322
</t>
  </si>
  <si>
    <t xml:space="preserve">Автобус ПАЗ-320405-04/ ЭПТС № 164301038261151,
Идентификационный номер (VIN) X1M32045SМ0002361, рег. № 11622
</t>
  </si>
  <si>
    <t xml:space="preserve">Автомобиль легковой, Волга, цвет белый, гос.рег.знак Р 096 РТ (инв.01510019) </t>
  </si>
  <si>
    <t>ГАЗ-3110, номер ПТС 52 КВ 907306</t>
  </si>
  <si>
    <t>Т25-А, номер ПТС ВА 566821</t>
  </si>
  <si>
    <t>ТО-30, номер ПТС ВА 565661</t>
  </si>
  <si>
    <t>ГАЗ-САЗ- 3504, номер ПТС 22 КУ 535545</t>
  </si>
  <si>
    <t>КО-705Б, номер ПТС ВА 565662</t>
  </si>
  <si>
    <t>ЛТЗ-55А, номер ПТС ВА 565663</t>
  </si>
  <si>
    <t>КО-713, номер ПТС 22 КУ 535541</t>
  </si>
  <si>
    <t>ЗИЛ- 45085, номер ПТС 22 КУ 535542</t>
  </si>
  <si>
    <t>ГАЗ-5312, номер ПТС 22 КУ 535843</t>
  </si>
  <si>
    <t>ЗИЛ-130, номер ПТС 22 КУ 535543</t>
  </si>
  <si>
    <t>МТЗ-82, номер ПТС ВА 767629</t>
  </si>
  <si>
    <t>МТЗ-80, номер ПТС ВА 767630</t>
  </si>
  <si>
    <t>Т-150К, номер ПТС RU CB 104240</t>
  </si>
  <si>
    <t>Т-40, номер ПТС ВА 767631</t>
  </si>
  <si>
    <t>Трактор, гос.номер 6200 МТ (инв.10104153к)</t>
  </si>
  <si>
    <t>Т-40 М, ВА 767632</t>
  </si>
  <si>
    <t xml:space="preserve">2822703 </t>
  </si>
  <si>
    <t>ЗИЛ -130 (автовышка), номер ПТС 22 КУ 535340</t>
  </si>
  <si>
    <t>ГАЗ-3307, номер ПТС 22 КУ 535455</t>
  </si>
  <si>
    <t>ЗИЛ ММ3 554М, номер ПТС 22 КУ 535327</t>
  </si>
  <si>
    <t>ГАЗ-330700, номер ПТС 22 КУ 535333</t>
  </si>
  <si>
    <t>ПТС-12, ПТС - отсутсвует (сдана в гостехнадзор)</t>
  </si>
  <si>
    <t>2ПТС-4, номер ПТС ВА 767645</t>
  </si>
  <si>
    <t>2ПТС-4, номер ПТС ВА 767643</t>
  </si>
  <si>
    <t xml:space="preserve">Автомобиль легковой, Волга, гос.номер У 865 НТ  </t>
  </si>
  <si>
    <t>ГАЗ-31105, номер ПТС 52 МЕ 690529</t>
  </si>
  <si>
    <t>ГАЗ322132, номер ПТС 22 ОС 212059</t>
  </si>
  <si>
    <t>инв. 00-000165, ПАЗ 32053, номер ПТС 52 МР 283541</t>
  </si>
  <si>
    <t>ЕК12-00Б, номер ПТС ВЕ 408524</t>
  </si>
  <si>
    <t>Экскаватор ЕК-12-00Б, гос.номер 6202 МТ (инв.10104072к)</t>
  </si>
  <si>
    <t>Кран автомобильный КАМАЗ 53605-1952-97DЗКС-3577-ЗК, гос.номер Н 041 СМ 22</t>
  </si>
  <si>
    <t>КАМАЗ 53605-D3КС-3577-3К, номер ПТС 76 МУ 782207</t>
  </si>
  <si>
    <t>ПАЗ 32054, номер ПТС 52 МХ 094412</t>
  </si>
  <si>
    <t>Автомобиль специализированный, мусоровоз КО-440 с задней загрузкой на шасси ГАЗ-3309, гос.номер У 666 СТ</t>
  </si>
  <si>
    <t>КО 440, номер ПТС 22 РА 115960</t>
  </si>
  <si>
    <t xml:space="preserve">Автомобиль седан, Волга, цвет серый, гос.номер С 159 НЕ </t>
  </si>
  <si>
    <t>ГАЗ 33110, номер ПТС 52 МА 227205</t>
  </si>
  <si>
    <t>Т-170, номер ПТС ВВ 107712</t>
  </si>
  <si>
    <t>Автомобиль фургон, УАЗ 3741, грузовой фургон, цвет-хаки, гос.номер Е 417 СМ</t>
  </si>
  <si>
    <t>Номер ПТС 22 КУ 535514</t>
  </si>
  <si>
    <t xml:space="preserve">ДЗ-143, номер ПТС RU СВ 104861 </t>
  </si>
  <si>
    <t>810; 925</t>
  </si>
  <si>
    <t>30.09.2022; 25.10.2022</t>
  </si>
  <si>
    <t>2.5.1917</t>
  </si>
  <si>
    <t xml:space="preserve">Компьютер в комплекте AMD Ryzen 5 5600G, монитор Samsung 27 C27F390FHI </t>
  </si>
  <si>
    <t>Компьютер в комплекте AMD Ryzen 5 PRO 4650G, монитор Samsung 27 C27F390FHI</t>
  </si>
  <si>
    <t>13.10.2022; 21.10.2022</t>
  </si>
  <si>
    <t>ЕП4-0120220196; ЕП4-0120220201</t>
  </si>
  <si>
    <t>2.4.3317.К</t>
  </si>
  <si>
    <t>1394</t>
  </si>
  <si>
    <t>2.4.3318.К</t>
  </si>
  <si>
    <t>Производитель:  Российская Федерация</t>
  </si>
  <si>
    <t>Цифровая лаборатория по химии (ученическая)</t>
  </si>
  <si>
    <t>2.4.3319.К</t>
  </si>
  <si>
    <t>Цифровая лаборатория по физике (ученическая)</t>
  </si>
  <si>
    <t>2.4.3320.К</t>
  </si>
  <si>
    <t>Цифровая лаборатория по биологии (ученическая)</t>
  </si>
  <si>
    <t>2.5.1919.К</t>
  </si>
  <si>
    <t>Производитель: Российская Федерация</t>
  </si>
  <si>
    <t xml:space="preserve">Набор ОГЭ по химии </t>
  </si>
  <si>
    <t>Ноутбук ПЭВМ RAY-book</t>
  </si>
  <si>
    <t>Телевизор JeminiCo PQ75MW</t>
  </si>
  <si>
    <t>19/39-001259, акт комплектации № 4 от 26.09.2022, ул. Заводская 10, ЦТС</t>
  </si>
  <si>
    <t>2.4.3323</t>
  </si>
  <si>
    <t>19/39-001260, акт комплектации № 2 от 26.09.2022, ул. Алтайская 39, отдел сбыта</t>
  </si>
  <si>
    <t>2.4.3324</t>
  </si>
  <si>
    <t>19/39-001262-19/39-001263, акт комплектации № 3 от 28.09.2022, ул. Пушкина 2а, Управление</t>
  </si>
  <si>
    <t>19/39-001261, акт комплектации № 5 от 12.10.2022, ул. Алтайская 39, УТА</t>
  </si>
  <si>
    <t>810; 5; 925</t>
  </si>
  <si>
    <t>30.09.2022; 30.09.2022; 25.10.2022</t>
  </si>
  <si>
    <t>Постановление/Договор безвозмездного пользования; Постановление</t>
  </si>
  <si>
    <t>Постановление/Договор безвозмездного пользования ; Постановление</t>
  </si>
  <si>
    <t>2.5.1918</t>
  </si>
  <si>
    <t>12 ЕП 56220220073</t>
  </si>
  <si>
    <t>инв. ВА0000000191</t>
  </si>
  <si>
    <t>2.4.3325</t>
  </si>
  <si>
    <t>2.4.3326</t>
  </si>
  <si>
    <t>2.4.3327</t>
  </si>
  <si>
    <t>2.4.3328</t>
  </si>
  <si>
    <t>19/39-001257, ул. Алтайская, 39 отдел сбыта</t>
  </si>
  <si>
    <t>Пылесос LG VC83109UHAQ</t>
  </si>
  <si>
    <t>ЕП43520220036</t>
  </si>
  <si>
    <t>2.4.3329</t>
  </si>
  <si>
    <t>г.Яровое, кв. А, 21. 3-х элементная 100*150/300 см, 5 рабочих поверхностей, белая BRAUBERG, 231708</t>
  </si>
  <si>
    <t>2.4.3330</t>
  </si>
  <si>
    <t>Портативная аудиосистема</t>
  </si>
  <si>
    <t>All-in-One Sven PS-750 (80 Вт, Biuetooth, FM, USB, microSD, ПДУ, караоке, подсветка, черный)</t>
  </si>
  <si>
    <t>Б-00513066/2420220096</t>
  </si>
  <si>
    <t>Договора на поставку</t>
  </si>
  <si>
    <t xml:space="preserve"> 01.08.2022; 31.08.2022; 01.09.2022; 05.09.2022; 19.09.2022; 27.09.2022; 05.09.2022</t>
  </si>
  <si>
    <t>№ Б-00429734; № Б-00505243; № Б-00508886; № Б-00518316; № Б-00556677;№ Б-00578567; № Б-00517487</t>
  </si>
  <si>
    <t>инв.13601535</t>
  </si>
  <si>
    <t>инв.13601537, 13601538, 13601540</t>
  </si>
  <si>
    <t>30.05.2018; 16.11.2022</t>
  </si>
  <si>
    <t>494; 1042</t>
  </si>
  <si>
    <t>2.5.1920.К</t>
  </si>
  <si>
    <t xml:space="preserve">Ванна моечная ВМС-С-3/500 </t>
  </si>
  <si>
    <t>1800х600х850</t>
  </si>
  <si>
    <t>903</t>
  </si>
  <si>
    <t>Распоряжение Управления имущественных отношений АК (Министерство образования и науки АК)</t>
  </si>
  <si>
    <t>2.5.1921.К</t>
  </si>
  <si>
    <t>Площадка для установки контейнеров для сбора твердых коммунальных отходов</t>
  </si>
  <si>
    <t>ЕП4-0120220168</t>
  </si>
  <si>
    <t xml:space="preserve"> 20.09.2022</t>
  </si>
  <si>
    <t>2.5.1922.К</t>
  </si>
  <si>
    <t>Трехстороннее металлическое ограждение серого цвета, бетонное основание, квартал «Б» д.26 (установлено 2 контейнера)</t>
  </si>
  <si>
    <t>Трехстороннее металлическое ограждение серого цвета, бетонное основание, ул. 40 лет октября д.7 (установлено 5 контейнеров)</t>
  </si>
  <si>
    <t>2.4.3331</t>
  </si>
  <si>
    <t>ПК DEXP Atlas H322 Core i3-10105/8GB/SSD 240GB/Win11H</t>
  </si>
  <si>
    <t>Б-00645336/2520220130</t>
  </si>
  <si>
    <t>2.4.3332</t>
  </si>
  <si>
    <t>Проектор Epson EB-E01, (1024х768, 3LCD, 3300 lm, 15k:1)</t>
  </si>
  <si>
    <t>2.4.3333</t>
  </si>
  <si>
    <t>МФУ Epson L3100 (Принтер/Копир/Сканер: А4 5760х1440dpi 33ppm СНПЧ(4х65ml) USB тип В)</t>
  </si>
  <si>
    <t>2.4.3334</t>
  </si>
  <si>
    <t xml:space="preserve">Бетоносмеситель 
</t>
  </si>
  <si>
    <t>инв. 19/37-001093, OLYMPMACHINERY EXPERT BM-205, 205 л.,
Предзаводская пл. 2, РСС</t>
  </si>
  <si>
    <t>инв. 19/37-001091; 19/37-001092,  Предзаводская пл. 2, ТЭЦ, Топливоподача</t>
  </si>
  <si>
    <t>Водонагреватель Ariston (накопи-тельный, 100л.)</t>
  </si>
  <si>
    <t>2.4.3335</t>
  </si>
  <si>
    <t>инв. 19/37-001095, акт комплектации № 6 от 21.10.2022,  Предзаводская пл. 2, ПТО ТЭЦ</t>
  </si>
  <si>
    <t>306</t>
  </si>
  <si>
    <t>259</t>
  </si>
  <si>
    <t>А-00326314</t>
  </si>
  <si>
    <t>2.4.3336</t>
  </si>
  <si>
    <t>2.4.3337</t>
  </si>
  <si>
    <t xml:space="preserve">МФУ Canon i-SENSYS ME-3010 </t>
  </si>
  <si>
    <t>(копир/принтер/сканер А4)</t>
  </si>
  <si>
    <t>ЕП4-0120220189</t>
  </si>
  <si>
    <t>26.04.2021; 29.11.2022</t>
  </si>
  <si>
    <t>316; 1088</t>
  </si>
  <si>
    <t>инв.01380343-44в</t>
  </si>
  <si>
    <t>2.4.3338</t>
  </si>
  <si>
    <t>Acer X1123HP (DLP, лампа, 800*600, 4000ANSI lm, 20k:1,3Вт, VGA,YDMI)</t>
  </si>
  <si>
    <t>2.4.3339</t>
  </si>
  <si>
    <t>Echips Lite (HD/TN) Celeron J4005/8192/SSD256/UMA/Win10ro/Siver</t>
  </si>
  <si>
    <t>14 Ноутбук</t>
  </si>
  <si>
    <t>2.4.3340</t>
  </si>
  <si>
    <t xml:space="preserve"> Laser 135a (Принтер/сканер/копир) А4 1200*1200dpi 20ppm USB) EU/CN</t>
  </si>
  <si>
    <t>МФУ НР</t>
  </si>
  <si>
    <t>2.4.3341</t>
  </si>
  <si>
    <t>Принтер Brother HL-111OR (A4 2400x600dpi20ppm USB 2.0)</t>
  </si>
  <si>
    <t>Brother HL-111OR (A4 2400x600dpi20ppm USB 2.0)</t>
  </si>
  <si>
    <t>Б-00686721</t>
  </si>
  <si>
    <t xml:space="preserve">Урна, темно-синего цвета на ножках, подвижная, в сеточку Romana "Сквер для прогулок и отдыха детей квартал В" </t>
  </si>
  <si>
    <t>14.08.2015; 03.03.2016; 19.10.2016; 22.12.2016; 30.12.2016; 11.04.2017; 24.05.2017; 13.06.2017; 07.07.2017; 22.09.2017; 19.10.2017; 13.11.2017; 19.12.2017; 26.12.2017; 14.02.2018; 20.04.2018; 09.10.2018; 30.10.2018; 26.11.2018; 26.11.2018; 28.12.2018; 28.01.2019; 05.04.2019; 20.08.2019; 09.09.2019; 13.09.2019; 22.11.2019; 23.12.2019; 06.07.2020; 08.07.2020;20.08.2020; 06.11.2020; 16.11.2020; 18.05.2021; 22.09.2021;22.09.2021; 12.10.2021; 28.10.2021; 29.10.2021; 05.10.2022; 06.12.2022</t>
  </si>
  <si>
    <t>696; 218; 1105; 1359; 1402; 336; 478; 548; 618; 849; 942; 999; 1127; 1174; 132; 318; 980; 1049; 1147; 1317; 101; 289; 693; 738; 753; 967; 1061; 588; 601; 692; 919; 946; 944; 364; 681; 680; 794; 802; 830; 1121</t>
  </si>
  <si>
    <t>Комплект освещения (на елке)</t>
  </si>
  <si>
    <t>2.5.1923</t>
  </si>
  <si>
    <t>Шкаф лабораторный для хим. реактивов</t>
  </si>
  <si>
    <t>Муниципальный контракт  на поставку товаров</t>
  </si>
  <si>
    <t>252022136</t>
  </si>
  <si>
    <t>2.4.3342</t>
  </si>
  <si>
    <t xml:space="preserve">Домашняя аудиосистема AII-in-One DEXP LH-V1500 </t>
  </si>
  <si>
    <t>Bluetooth*2, USB*2,FM,6.3 MIC Jack, Gitar Jack, AUX, Караоке, подсветка, 500 Вт, ПДУ) 863*310*288 мм</t>
  </si>
  <si>
    <t>Б-00655440/2720220059</t>
  </si>
  <si>
    <t>2.5.1924</t>
  </si>
  <si>
    <t>Комплект демонстрационных стендов для кабинета истории</t>
  </si>
  <si>
    <t>2.5.1925</t>
  </si>
  <si>
    <t xml:space="preserve">Рояль акустический 
«Михаил Глинка» 
</t>
  </si>
  <si>
    <t>2.4.3343</t>
  </si>
  <si>
    <t>Б-00681879/2920220065</t>
  </si>
  <si>
    <t>2.4.3344</t>
  </si>
  <si>
    <t>Ноутбук «Lenovo»</t>
  </si>
  <si>
    <t>Б-00785510</t>
  </si>
  <si>
    <t>V15 G2 ALC (FHD/TN) Ryzen 5 5500U/12288/SSD 512/UMA/DOS/Black</t>
  </si>
  <si>
    <t>2.4.3345</t>
  </si>
  <si>
    <t>Телевизор LED 75 (190см)</t>
  </si>
  <si>
    <t>Телевизор LED 75 (190см) iFFALCON 75H720(4KUltraHD,3840x2160, Smart ТВ (RUS)</t>
  </si>
  <si>
    <t>Б-00775298/ЕП4-0120220220</t>
  </si>
  <si>
    <t>2.5.1926</t>
  </si>
  <si>
    <t>Стол угловой с 2-мя выкатными тумбами цвет "ольха"</t>
  </si>
  <si>
    <t>ЕП4-0120220215</t>
  </si>
  <si>
    <t>2.5.1849</t>
  </si>
  <si>
    <t>2.5.1846</t>
  </si>
  <si>
    <t>2.5.1843</t>
  </si>
  <si>
    <t>2.5.1840</t>
  </si>
  <si>
    <t>2.5.1838</t>
  </si>
  <si>
    <t>2.4.3252</t>
  </si>
  <si>
    <t>14.03.2022; 13.12.2022</t>
  </si>
  <si>
    <t>190; 1160</t>
  </si>
  <si>
    <t>2.5.1837</t>
  </si>
  <si>
    <t>2.5.1842</t>
  </si>
  <si>
    <t>2.5.1839</t>
  </si>
  <si>
    <t>2.5.1845</t>
  </si>
  <si>
    <t>2.5.1848</t>
  </si>
  <si>
    <t>2.4.3254</t>
  </si>
  <si>
    <t>2.4.3250</t>
  </si>
  <si>
    <t>190; 1159</t>
  </si>
  <si>
    <t>перенести в эл.сети?</t>
  </si>
  <si>
    <t>ЕП173120220033</t>
  </si>
  <si>
    <t>Договор поставки; контракт на оказание услуг</t>
  </si>
  <si>
    <t>29.09.2022; 01.11.2022</t>
  </si>
  <si>
    <t>ЕП56220220074; ЕП56220220084</t>
  </si>
  <si>
    <t>27.10.2022; 13.12.2022</t>
  </si>
  <si>
    <t>936; 1154</t>
  </si>
  <si>
    <t>2.4.3251</t>
  </si>
  <si>
    <t>190; 1151</t>
  </si>
  <si>
    <t>2.4.3253</t>
  </si>
  <si>
    <t>2.5.1833</t>
  </si>
  <si>
    <t>2.5.1834</t>
  </si>
  <si>
    <t>2.5.1835</t>
  </si>
  <si>
    <t>2.5.1836</t>
  </si>
  <si>
    <t>2.5.1841</t>
  </si>
  <si>
    <t>2.5.1844</t>
  </si>
  <si>
    <t>2.5.1847</t>
  </si>
  <si>
    <t>2.5.1850</t>
  </si>
  <si>
    <t>2.5.1832</t>
  </si>
  <si>
    <t>2.4.3249</t>
  </si>
  <si>
    <t>Б-00658380/2120220055</t>
  </si>
  <si>
    <t>Б-00505373/2120220052</t>
  </si>
  <si>
    <t>2.2.0178</t>
  </si>
  <si>
    <t>2.5.1927</t>
  </si>
  <si>
    <t>Наглядные пособия для детей (стенд)</t>
  </si>
  <si>
    <t>2720220063</t>
  </si>
  <si>
    <t xml:space="preserve">Муниципальный контракт  </t>
  </si>
  <si>
    <t>2.5.1928</t>
  </si>
  <si>
    <t>Ковер борцовский</t>
  </si>
  <si>
    <t>Контракт  на поставку товаров</t>
  </si>
  <si>
    <t>ЕП56120220075</t>
  </si>
  <si>
    <t xml:space="preserve">Светильник светодиодный      </t>
  </si>
  <si>
    <t xml:space="preserve">Муниципальный котракт </t>
  </si>
  <si>
    <t>ЕП4-0120220210</t>
  </si>
  <si>
    <t>BL-LD-3A-3 (56Вт) (5500К) (365-0069)</t>
  </si>
  <si>
    <t>2.4.3346.К</t>
  </si>
  <si>
    <t>2.4.3347</t>
  </si>
  <si>
    <t xml:space="preserve">(AMD RYZEN 5PRO, MSI A320M PRO-VH, DDR4 8Gb, ITb)   </t>
  </si>
  <si>
    <t>Системный блок в сборе</t>
  </si>
  <si>
    <t>2.4.3348</t>
  </si>
  <si>
    <t>MSI 27 Pro MP271(75 HZ,1920x1080 (16:9), IPS,5ms, 250 cd/m2, 178</t>
  </si>
  <si>
    <t>ЕП4-0120220223</t>
  </si>
  <si>
    <t>Б-00795485/ЕП4-0120220231</t>
  </si>
  <si>
    <t>2.5.1929.К</t>
  </si>
  <si>
    <t>1620</t>
  </si>
  <si>
    <t>2.5.1930.К</t>
  </si>
  <si>
    <t>2.5.1931.К</t>
  </si>
  <si>
    <t>2.5.1932.К</t>
  </si>
  <si>
    <t>Офисная бумага 14 шк</t>
  </si>
  <si>
    <t>Офисная бумага 19 шк</t>
  </si>
  <si>
    <t>Офисная бумага 12 шк</t>
  </si>
  <si>
    <t>Aguilon 0273 Сore I3-10105/8GB/SSD 240GB/Без ПО</t>
  </si>
  <si>
    <t>Погрузчик YUTONG 931A</t>
  </si>
  <si>
    <t>Цвет желтый ПСМ RU CB 715659, 2008 г.</t>
  </si>
  <si>
    <t>Двигатель В7625800282, заводской номер С080410888,</t>
  </si>
  <si>
    <t>1467, 1488, 1519, 1520, 1521, 1522, 1523</t>
  </si>
  <si>
    <t>07.11.2022; 11.11.2022; 15.11.2022; 15.11.2022; 15.11.2022; 15.11.2022; 15.11.2022</t>
  </si>
  <si>
    <t>24.03.2010; 02.04.2010; 05.07.2010; 30.12.2010; 08.07.2013; 19.11.2013; 17.10.2013; 13.12.2013; 09.12.2012; 19.12.2013; 17.10.2013; 16.07.2013; 17.04.2014; 19.03.2014; 11.10.2013; 02.07.2014; 02.07.2014; 07.10.2014; 01.10.2014; 24.09.2015; 02.11.2015; 21.04.2016; 26.10.2016; 01.11.2016; 04.04.2017; 27.04.2017; 30.08.2017; 21.07.2017; 01.06.2017; 21.11.2017; 09.09.2019; 01.10.2019; 10.10.2019; 14.11.2019; 28.10.2020; 17.02.2021; 03.02.2021; 06.09.2021; 08.10.2021; 16.12.2021; 31.03.2022; 08.04.2022; 13.04.2022; 14.04.2022; 17.11.2022; 08.04.2022, 26.04.2022, 16.05.2022, 19.05.2022, 22.07.2022, 15.08.2022</t>
  </si>
  <si>
    <t>97-р; 996; 144-р; 1208; 4176; 1171; 2169; 549; 2343; 678; 726; 548; 391; 166; 517; 1930; 289; 290; 1511;410; 2238; 2239; 173; 768; 985; 1164; 327; 328; 1536; 3520151016; 458; 40/4209/ОРП по/688-16; 1827; 1828; 473; 618; 1329; 1136; 802; 804; 3520171014; 997; 1131; 1200; 1356; 1386; 1850; ЕП43520200029; 1178; 1715, 121; 1186; 1378; 1748; ЕП43520220041; 341, 442, 563, 604, 1052, 1126</t>
  </si>
  <si>
    <t>2.4.3349</t>
  </si>
  <si>
    <t xml:space="preserve">Система оповещения «Рокот-5 ПУО-100»
</t>
  </si>
  <si>
    <t>ЕП43320220125</t>
  </si>
  <si>
    <t>2.4.3350</t>
  </si>
  <si>
    <t xml:space="preserve">Система речевого оповещения «Рокот-5 ПУО 100»
</t>
  </si>
  <si>
    <t xml:space="preserve">Контракт </t>
  </si>
  <si>
    <t>ЕП56120220081</t>
  </si>
  <si>
    <t>2.5.1933.К</t>
  </si>
  <si>
    <t>Библиотечный фонд (поставщик ООО «Фирма «Бисер»)</t>
  </si>
  <si>
    <t xml:space="preserve">Ноутбук ПЭВМ RAYbook модели Si1512. Порядковый номер реестровой записи в реестре российской радиоэлектронной продукции: РЭ-1539/21
Реестровый номер в реестре промышленной продукции 1660\1\2021. Страна происхождения Российская Федерация. С программным обеспечением: Операционная система специального н
</t>
  </si>
  <si>
    <t>1715</t>
  </si>
  <si>
    <t>2.4.3352.К</t>
  </si>
  <si>
    <t>2.4.3351.К</t>
  </si>
  <si>
    <t xml:space="preserve">Многофункциональное устройство МФУ Pantum
</t>
  </si>
  <si>
    <t>2.4.3353.К</t>
  </si>
  <si>
    <t xml:space="preserve">Ноутбук
</t>
  </si>
  <si>
    <t>2.4.3354.К</t>
  </si>
  <si>
    <t xml:space="preserve">Ноутбук для учителя с предустановленным программным обеспечением для компьютерного мультимедиа лингафонного класса
</t>
  </si>
  <si>
    <t>2.4.3355.К</t>
  </si>
  <si>
    <t xml:space="preserve">Тележка-хранилище с системой подзарядки
</t>
  </si>
  <si>
    <t>2.4.3356.К</t>
  </si>
  <si>
    <t xml:space="preserve">Наушники Panasonic
</t>
  </si>
  <si>
    <t xml:space="preserve">Котел пищеварочный
</t>
  </si>
  <si>
    <t>1518</t>
  </si>
  <si>
    <t xml:space="preserve">Подставка под пароконвектомат ППК-8,4/7 (840х700х640)(2 ряда по 5 уровней, GN 1/1)
</t>
  </si>
  <si>
    <t>2.4.3358</t>
  </si>
  <si>
    <t>2.4.3357</t>
  </si>
  <si>
    <t>2.4.3359</t>
  </si>
  <si>
    <t xml:space="preserve">Водоумягчитель для                           пароконвектомата
</t>
  </si>
  <si>
    <t>2.4.3360</t>
  </si>
  <si>
    <t xml:space="preserve">Мясорубка электрическая МИМ-300М
</t>
  </si>
  <si>
    <t>2.4.3361</t>
  </si>
  <si>
    <t xml:space="preserve">Печь конвекционная
</t>
  </si>
  <si>
    <t>2.4.3362</t>
  </si>
  <si>
    <t xml:space="preserve">Машина овощерезательная электрическая Abat МКО-50
</t>
  </si>
  <si>
    <t>2.4.3363</t>
  </si>
  <si>
    <t xml:space="preserve">Пароконвектомат Abat ПКА 10-1/1ВМ2
</t>
  </si>
  <si>
    <t xml:space="preserve">Шкаф холодильный R 0.7 S
</t>
  </si>
  <si>
    <t>2.4.3364</t>
  </si>
  <si>
    <t>2.4.3365</t>
  </si>
  <si>
    <t xml:space="preserve"> 2022</t>
  </si>
  <si>
    <t>Контракт на оказание услуг</t>
  </si>
  <si>
    <t>ЕП43120220129</t>
  </si>
  <si>
    <t>02.11.2022; 22.12.2022</t>
  </si>
  <si>
    <t>981; 1200</t>
  </si>
  <si>
    <t>19.12.2022; 21.12.2022</t>
  </si>
  <si>
    <t>1187; 1201</t>
  </si>
  <si>
    <t>2.4.3321</t>
  </si>
  <si>
    <t>2.4.3322</t>
  </si>
  <si>
    <t xml:space="preserve">Сервер RAMEC TSUNAMI
</t>
  </si>
  <si>
    <t>1751</t>
  </si>
  <si>
    <t xml:space="preserve">Видеокамера Hiwatch IPC D022-G2/U 2.8 mm (в комплекте картой памяти micro SDXC 64 GB)
</t>
  </si>
  <si>
    <t>2.4.3366.К</t>
  </si>
  <si>
    <t>2.4.3367.К</t>
  </si>
  <si>
    <t xml:space="preserve">Бак аккумулятор горячей воды объемом 700 м3 на фундаменте
</t>
  </si>
  <si>
    <t>ЕПпрот-0120220125</t>
  </si>
  <si>
    <t>2.4.3368</t>
  </si>
  <si>
    <t>2.4.3369</t>
  </si>
  <si>
    <t xml:space="preserve">Дымосос Д-18-2 с эл.двигателем 250кВт/590об.,6000В </t>
  </si>
  <si>
    <t>ЕПпрот-0120220130</t>
  </si>
  <si>
    <t>Выписка из ЕГРН об основных характеристиках и зарегистрированных правах на объект недвижимости</t>
  </si>
  <si>
    <t>2.4.3370</t>
  </si>
  <si>
    <t>Арочный металодетектор ZKT eco AMD-600</t>
  </si>
  <si>
    <t>Вывеска для здания</t>
  </si>
  <si>
    <t>Объемные световые буквы (крышная конструкция) «АДМИНИСТРАЦИЯ ГОРОДА ЯРОВОЕ»)</t>
  </si>
  <si>
    <t>ЕП4-0120220211</t>
  </si>
  <si>
    <t>2.5.1934</t>
  </si>
  <si>
    <t xml:space="preserve">распоряжение; постановление </t>
  </si>
  <si>
    <t xml:space="preserve">10.12.2008; </t>
  </si>
  <si>
    <t xml:space="preserve">ВА000000060118  </t>
  </si>
  <si>
    <t xml:space="preserve">3061507, 3061508  </t>
  </si>
  <si>
    <t>1551</t>
  </si>
  <si>
    <t>Автогрейдер ДЗ-143, гос.номер 22 МТ 3794</t>
  </si>
  <si>
    <t>17.10.2014; 17.10.2014; 30.10.2014; 27.11.2014; 28.01.2015; 30.09.2015; 01.10.2015; 01.10.2015; 27.10.2015; 16.11.2015; 30.12.2015; 18.02.2016; 09.03.2016; 10.06.2016; 15.11.2016; 23.12.2016; 28.12.2016; 20.01.2017; 16.02.2017; 25.04.2017; 25.05.2017; 19.10.2017; 26.10.2017; 11.12.2017; 22.01.2018; 23.01.2018; 28.02.02018; 21.05.2018; 20.06.2018; 16.08.2018; 30.10.2018; 22.11.2018; 28.12.2018; 28.01.2019; 13.02.2019; 17.04.2019; 27.05.2019; 26.06.2019; 13.08.2019; 01.11.2019; 05.12.2019; 12.12.2019; 25.02.2020; 11.03.2020; 25.06.2020; 14.08.2020; 20.08.2020; 16.11.2020; 24.11.2020; 25.12.2020; 28.12.2020; 29.12.2020; 18.02.2021; 18.02.2021; 18.02.2021; 09.04.2021; 18.05.2021; 19.05.2021; 21.06.2021; 07.09.2021; 22.09.2021; 29.09.2021;15.12.2021; 21.12.2021; 08.04.2022; 26.05.2022; 30.06.2022; 28.09.2022; 31.10.2022; 13.12.2022; 16.12.2022; 19.12.2022; 22.12.2022; 30.12.2022</t>
  </si>
  <si>
    <t>948; 947; 990; 1100; 120; 818; 836; 837; 875; 927; 927; 1070; 172; 221; 605; 1214; 1352; 1361; 1375; 31; 150; 385; 486; 943; 958; 1080; 1087; 36; 39; 159; 432; 579; 801; 1050; 1128; 1311; 92; 161; 325; 435; 533; 665; 895; 998; 1022; 145; 178; 550; 679; 699; 945; 951; 980;1102; 1110; 1132; 125;126; 127; 256; 365; 373; 447; 649; 678; 716; 932; 948; 280; 392; 501; 798; 962; 274; 340; 379; 395; 1152; 1177; 1189; 1201; 1252</t>
  </si>
  <si>
    <t>2.4.3380</t>
  </si>
  <si>
    <t>Проектор ViwSonic PA503X (DLP, 1024*768, 3600 Im, 22000:1, HDML, VGA, USB, 1*2ВТ, 2.2 кг.</t>
  </si>
  <si>
    <t>2023</t>
  </si>
  <si>
    <t>Б-00815133</t>
  </si>
  <si>
    <t>Муниципальная казна/МБУ СП "Спортивная школа"</t>
  </si>
  <si>
    <t xml:space="preserve">Муниципальная казна/МБОУ СОШ №12 </t>
  </si>
  <si>
    <t xml:space="preserve">Муниципальная казна/МБУК "ГДК "Химик"   </t>
  </si>
  <si>
    <t>Муниципальная казна/КГБПОУ "Яровской политехнический техникум"</t>
  </si>
  <si>
    <t xml:space="preserve">Муниципальная казна/МБОУ СОШ №14 </t>
  </si>
  <si>
    <t xml:space="preserve">Муниципальная казна/МБОУ СОШ №19 </t>
  </si>
  <si>
    <t>2.4.3381</t>
  </si>
  <si>
    <t>Узел учета пара на 
производство</t>
  </si>
  <si>
    <t>Комплектация: преобразова-тель расходомер ЭМИС-ВИХРЬ 200-100 (зав. №36496)-1 шт.; тепловычис-литель СПТ962 (зав. № 01428)-1шт.; преобразова-тель давления измерительный СДВ-И (зав. № А826609)-1 шт.; термометр платиновый технический ТПТ-1 (зав.№ 5511)-1 шт.; инв. 13601918 Предзаводская пл. 2/19, ТЭЦ (установлен в КТЦ)</t>
  </si>
  <si>
    <t>2022.133929</t>
  </si>
  <si>
    <t>2.4.3382</t>
  </si>
  <si>
    <t>инв. 13601921, акт комплектации № 8 от 28.12.2022, ул. Предзаводская 2а, управление</t>
  </si>
  <si>
    <t>Б-00792601</t>
  </si>
  <si>
    <t>2.5.1935</t>
  </si>
  <si>
    <t>Клюшка вратарская ЗаряД А Dex SR (3-02/27.5-L)</t>
  </si>
  <si>
    <t>инв.ВА00000002001</t>
  </si>
  <si>
    <t>ЕП56220220099</t>
  </si>
  <si>
    <t xml:space="preserve">Котракт на поставку товаров  </t>
  </si>
  <si>
    <t>инв.43022009</t>
  </si>
  <si>
    <t>Раздел 1 Подраздел 1.1 "Земельные участки"</t>
  </si>
  <si>
    <t>Кадастровый номер</t>
  </si>
  <si>
    <t>Категория земель</t>
  </si>
  <si>
    <t>Разрешенное использование</t>
  </si>
  <si>
    <t>Площадь, кв.м</t>
  </si>
  <si>
    <t>Площадь ЗУ (пропорционально занимаемой  площади в помещениях), кв.м</t>
  </si>
  <si>
    <t>Кадастровая стоимость, руб.</t>
  </si>
  <si>
    <t>КС всего участка под МКД</t>
  </si>
  <si>
    <t>Площадь муниципапальных квартир</t>
  </si>
  <si>
    <t>Номера квартир</t>
  </si>
  <si>
    <t>Площадь всех помещений в МКД</t>
  </si>
  <si>
    <t>Адрес местонахождения</t>
  </si>
  <si>
    <t>Объект муниципальной казны</t>
  </si>
  <si>
    <t>Реквизиты документа подтверждающего возникновение права муниципальной собственности</t>
  </si>
  <si>
    <t>1.1.0003</t>
  </si>
  <si>
    <t>22:72:060201:13</t>
  </si>
  <si>
    <t>земли населенных пунктов</t>
  </si>
  <si>
    <t>Для объектов общественно-делового значения, обслуживание здания школы 19</t>
  </si>
  <si>
    <t>Российская Федерация, Алтайский край, г. Яровое, кв-л В, участок 19</t>
  </si>
  <si>
    <t xml:space="preserve">МБОУ СОШ № 19 </t>
  </si>
  <si>
    <t>постоянное (бессрочное) пользование</t>
  </si>
  <si>
    <t>свидетельство о государственной регистрации права</t>
  </si>
  <si>
    <t>22.05.2008; 18.09.2013</t>
  </si>
  <si>
    <t>22 АБ 282692;   22 АГ 641320</t>
  </si>
  <si>
    <t>1.1.0007</t>
  </si>
  <si>
    <t>22:72:060201:15</t>
  </si>
  <si>
    <t>Для объектов общественно-делового значения, обслуживание здания ДОУ 32</t>
  </si>
  <si>
    <t>Российская Федерация, Алтайский край, г. Яровое, кв-л В,  д.32</t>
  </si>
  <si>
    <t xml:space="preserve">МБДОУ ЦРР- д/с № 32 </t>
  </si>
  <si>
    <t xml:space="preserve"> 22.05.2013; 22.05.2013</t>
  </si>
  <si>
    <t xml:space="preserve">22 АГ 470960;    22 АГ 470961  </t>
  </si>
  <si>
    <t>1.1.0008</t>
  </si>
  <si>
    <t>22:72:060403:1744</t>
  </si>
  <si>
    <t>Для размещения объектов 
дошкольного, начального, общего и среднего (полного) общего образования</t>
  </si>
  <si>
    <t>Российская Федерация, Алтайский край, городской округ город Яровое, город Яровое,квартал "Б", земельный участок № 31</t>
  </si>
  <si>
    <t>МБОУ СОШ № 12</t>
  </si>
  <si>
    <t>26.08.2011; 24.05.2022</t>
  </si>
  <si>
    <t>927; 375</t>
  </si>
  <si>
    <t>свидетельство о государственной регистрации права; выписка ЕГРН</t>
  </si>
  <si>
    <t>12.01.2009; 28.10.2013; 22.12.2020</t>
  </si>
  <si>
    <t>22 АБ 586989;    22 АГ 644613; 22:72:060403:1743-22/140/2020-2</t>
  </si>
  <si>
    <t>1.1.0009</t>
  </si>
  <si>
    <t>22:72:060304:6</t>
  </si>
  <si>
    <t>Для размещения объектов дошкольного, начального, общего и среднего (полного) общего образования, обслуживание здания школы 14</t>
  </si>
  <si>
    <t>Российская Федерация, Алтайский край, г. Яровое, квартал "А", дом 21</t>
  </si>
  <si>
    <t xml:space="preserve">МБОУ СОШ № 14 </t>
  </si>
  <si>
    <t xml:space="preserve"> 18.06.2008; 05.11.2013</t>
  </si>
  <si>
    <t>22 АБ 305736; 22 АГ 644934</t>
  </si>
  <si>
    <t>1.1.0010.К</t>
  </si>
  <si>
    <t>22:72:070502:27</t>
  </si>
  <si>
    <t>для эксплуатации производственной базы</t>
  </si>
  <si>
    <t>Российская Федерация, Алтайский край, г. Яровое, ул. Алтайская, дом 39</t>
  </si>
  <si>
    <t>22 АГ 815783</t>
  </si>
  <si>
    <t xml:space="preserve"> МУП "ЯТЭК"</t>
  </si>
  <si>
    <t>1.1.0011.К</t>
  </si>
  <si>
    <t>22:72:080201:7</t>
  </si>
  <si>
    <t>эксплуатация производственной базы</t>
  </si>
  <si>
    <t>Российская Федерация, Алтайский край, г. Яровое, ул. Заводская, дом 10</t>
  </si>
  <si>
    <t xml:space="preserve">аренда </t>
  </si>
  <si>
    <t>постановление; договор аренды; доп.соглашение;      постановление; постановление</t>
  </si>
  <si>
    <t>24.02.2015; 06.09.2011; 05.03.2015;   29.12.2020; 22.06.2021</t>
  </si>
  <si>
    <t>202; 21; 5-с;  1128; 470</t>
  </si>
  <si>
    <t>22:72:080201:7-22/140/2020-1</t>
  </si>
  <si>
    <t>постановление; договор аренды; доп.соглашение;     постановление; постановление</t>
  </si>
  <si>
    <t>24.02.2015; 06.09.2011; 05.03.2015; 29.12.2020; 22.06.2021</t>
  </si>
  <si>
    <t>ООО "Благоустройство"</t>
  </si>
  <si>
    <t>постановление; договор аренды; доп.соглашение;      постановление</t>
  </si>
  <si>
    <t>29.12.2020; 22.06.2021</t>
  </si>
  <si>
    <t>1128; 470</t>
  </si>
  <si>
    <t>1.1.0020</t>
  </si>
  <si>
    <t>22:72:060303:8</t>
  </si>
  <si>
    <t>для эксплуатации многоквартирного  жилого дома</t>
  </si>
  <si>
    <t xml:space="preserve">Российская Федерация, Алтайский край, г. Яровое, кв-л А, дом 8 </t>
  </si>
  <si>
    <t>ФЛ</t>
  </si>
  <si>
    <t>1.1.0022</t>
  </si>
  <si>
    <t>22:72:060303:9</t>
  </si>
  <si>
    <t>Обслуживание жилого дома</t>
  </si>
  <si>
    <t xml:space="preserve">Российская Федерация, Алтайский край, г. Яровое, кв-л А, дом 10 </t>
  </si>
  <si>
    <t>1.1.0032</t>
  </si>
  <si>
    <t>22:72:060301:14</t>
  </si>
  <si>
    <t xml:space="preserve">Российская Федерация, Алтайский край, г. Яровое, кв-л А, дом 24 </t>
  </si>
  <si>
    <t>1.1.0038</t>
  </si>
  <si>
    <t>22:72:060301:2</t>
  </si>
  <si>
    <t xml:space="preserve">  Для объектов общественно-делового значения, обслуживание детского сада №31</t>
  </si>
  <si>
    <t>Российская Федерация, Алтайский край, г. Яровое, кв-л А, кв. А д.13</t>
  </si>
  <si>
    <t xml:space="preserve"> 21.05.2013</t>
  </si>
  <si>
    <t>22 АГ 470398</t>
  </si>
  <si>
    <t>1.1.0047</t>
  </si>
  <si>
    <t>22:72:060401:7</t>
  </si>
  <si>
    <t xml:space="preserve">Российская Федерация, Алтайский край, г. Яровое, кв-л Б, дом 1 </t>
  </si>
  <si>
    <t>1.1.0049</t>
  </si>
  <si>
    <t>22:72:060401:9</t>
  </si>
  <si>
    <t>53, 67</t>
  </si>
  <si>
    <t xml:space="preserve">Российская Федерация, Алтайский край, г. Яровое, кв-л Б, дом 3 </t>
  </si>
  <si>
    <t>1.1.0052</t>
  </si>
  <si>
    <t>22:72:060403:21</t>
  </si>
  <si>
    <t xml:space="preserve">Российская Федерация, Алтайский край, г. Яровое, квартал Б, дом 13 </t>
  </si>
  <si>
    <t>1.1.0054</t>
  </si>
  <si>
    <t>22:72:060403:22</t>
  </si>
  <si>
    <t xml:space="preserve">Российская Федерация, Алтайский край, г. Яровое, кв-л "Б", дом 16 </t>
  </si>
  <si>
    <t>1.1.0056</t>
  </si>
  <si>
    <t>22:72:060404:7</t>
  </si>
  <si>
    <t xml:space="preserve">Российская Федерация, Алтайский край, г. Яровое, квартал "Б", дом 18 </t>
  </si>
  <si>
    <t>1.1.0057</t>
  </si>
  <si>
    <t>22:72:060404:8</t>
  </si>
  <si>
    <t xml:space="preserve">Российская Федерация, Алтайский край, г. Яровое, квартал "Б", дом 19 </t>
  </si>
  <si>
    <t>1.1.0058</t>
  </si>
  <si>
    <t>22:72:060404:9</t>
  </si>
  <si>
    <t xml:space="preserve">Российская Федерация, Алтайский край, г. Яровое, квартал "Б", д. 20 </t>
  </si>
  <si>
    <t>1.1.0060</t>
  </si>
  <si>
    <t>22:72:060404:11</t>
  </si>
  <si>
    <t>34, 71, 73, 74, 75, 76, 77, 79, 80</t>
  </si>
  <si>
    <t>Российская Федерация, Алтайский край, г. Яровое, квартал "Б", дом 22</t>
  </si>
  <si>
    <t>Выписка из ЕГРН</t>
  </si>
  <si>
    <t>22:72:060404:168-22/111/2022-2</t>
  </si>
  <si>
    <t>1.1.0077</t>
  </si>
  <si>
    <t>22:72:060201:31</t>
  </si>
  <si>
    <t xml:space="preserve">Российская Федерация, Алтайский край, г. Яровое, кв-л В, дом 14 </t>
  </si>
  <si>
    <t>1.1.0080</t>
  </si>
  <si>
    <t>22:72:060201:1</t>
  </si>
  <si>
    <t>113, 117</t>
  </si>
  <si>
    <t xml:space="preserve">Российская Федерация, Алтайский край , г. Яровое, кв-л В, дом 17 </t>
  </si>
  <si>
    <t>1.1.0081</t>
  </si>
  <si>
    <t>22:72:060201:43</t>
  </si>
  <si>
    <t xml:space="preserve">Российская Федерация, Алтайский край, г. Яровое, кв-л В, дом 21 </t>
  </si>
  <si>
    <t>1.1.0084</t>
  </si>
  <si>
    <t>22:72:070307:41</t>
  </si>
  <si>
    <t xml:space="preserve">Российская Федерация, Алтайский край, г. Яровое, ул. 40 лет Октября, дом 2 </t>
  </si>
  <si>
    <t>1.1.0085</t>
  </si>
  <si>
    <t>22:72:070307:42</t>
  </si>
  <si>
    <t xml:space="preserve">Российская Федерация, Алтайский край, г. Яровое, ул. 40 лет Октября, дом 3 </t>
  </si>
  <si>
    <t>1.1.0087</t>
  </si>
  <si>
    <t>22:72:060402:3</t>
  </si>
  <si>
    <t xml:space="preserve">Российская Федерация, Алтайский край, г. Яровое, ул. 40 лет Октября, дом 5 </t>
  </si>
  <si>
    <t>1.1.0089</t>
  </si>
  <si>
    <t>22:72:070501:25</t>
  </si>
  <si>
    <t xml:space="preserve">Российская Федерация, Алтайский край, г. Яровое, ул. 40 лет Октября, дом 6 </t>
  </si>
  <si>
    <t>1.1.0090</t>
  </si>
  <si>
    <t>22:72:060402:1</t>
  </si>
  <si>
    <t xml:space="preserve">Российская Федерация, Алтайский край, г. Яровое, ул. 40 лет Октября, дом 7 </t>
  </si>
  <si>
    <t>1.1.0091</t>
  </si>
  <si>
    <t>22:72:060402:5</t>
  </si>
  <si>
    <t xml:space="preserve">Российская Федерация, Алтайский край, г. Яровое, ул. 40 лет Октября, дом 8 </t>
  </si>
  <si>
    <t>1.1.0141</t>
  </si>
  <si>
    <t>22:72:060402:12</t>
  </si>
  <si>
    <t>1а, 214, 214а, 216, 218, 225, 226, 231, 233, 309, 318, 323, 331, 409, 417, 427, 500, 501, 506, 511, 514, 516, 519, 522</t>
  </si>
  <si>
    <t xml:space="preserve">Российская Федерация, Алтайский край, г. Яровое, кв-л Б, дом 15 </t>
  </si>
  <si>
    <t>1.1.0142</t>
  </si>
  <si>
    <t>22:72:060402:11</t>
  </si>
  <si>
    <t xml:space="preserve">Российская Федерация, Алтайский край, г. Яровое, ул. 40 лет Октября, дом 13 </t>
  </si>
  <si>
    <t>1.1.0144</t>
  </si>
  <si>
    <t>22:72:060403:24</t>
  </si>
  <si>
    <t>15, 17, 23, 34, 39, 41, 44, 46, 48, 59, 71, 84, 89, 92, 93, 103</t>
  </si>
  <si>
    <t xml:space="preserve">Российская Федерация, Алтайский край, г. Яровое, кв-л Б, дом 32 </t>
  </si>
  <si>
    <t>1.1.0145</t>
  </si>
  <si>
    <t>22:72:060403:25</t>
  </si>
  <si>
    <t>40, 42, 76, 113, 118, 123, 127, 128</t>
  </si>
  <si>
    <t xml:space="preserve">Российская Федерация, Алтайский край, г. Яровое, кв-л Б, дом 33 </t>
  </si>
  <si>
    <t>1.1.0182</t>
  </si>
  <si>
    <t>22:72:090106:16</t>
  </si>
  <si>
    <t>Для объектов общественно-делового значения, для эксплуатации МБУ "СОЦ" г.Яровое</t>
  </si>
  <si>
    <t xml:space="preserve">  Российская Федерация, Алтайский край, г. Яровое, ул. Гагарина, дом 9 </t>
  </si>
  <si>
    <t>16.08.2011; 12.10.2021</t>
  </si>
  <si>
    <t>884; 734</t>
  </si>
  <si>
    <t>01.08.2013; 27.07.2012; 22.07.2013</t>
  </si>
  <si>
    <t>22 АГ 814326; 22 АГ 254682; 22-22-29/018/2013-612</t>
  </si>
  <si>
    <t>1.1.0184</t>
  </si>
  <si>
    <t>22:72:060202:1</t>
  </si>
  <si>
    <t>Для иных видов использования, характерных для населенных пунктов, обслуживание здания городской библиотеки</t>
  </si>
  <si>
    <t xml:space="preserve">  Российская Федерация, Алтайский край, г. Яровое, ул. Кулундинская, д. 54 </t>
  </si>
  <si>
    <t>05.08.2013;  22.10.2014</t>
  </si>
  <si>
    <t>22 АГ 814461; 22 АД 216819</t>
  </si>
  <si>
    <t>1.1.0186</t>
  </si>
  <si>
    <t>22:72:070604:1</t>
  </si>
  <si>
    <t>Для объектов общественно-делового значения, обслуживание ГДК "Химик"</t>
  </si>
  <si>
    <t xml:space="preserve">Российская Федерация, Алтайский край, г. Яровое, ул. Ленина, дом 9 </t>
  </si>
  <si>
    <t>12.03.2013; 21.05.2013</t>
  </si>
  <si>
    <t xml:space="preserve">22 АГ 351612; 22 АГ 470396 </t>
  </si>
  <si>
    <t>1.1.0187</t>
  </si>
  <si>
    <t>22:72:070501:36</t>
  </si>
  <si>
    <t>Для объектов общественно-делового значения</t>
  </si>
  <si>
    <t xml:space="preserve">Российская Федерация, Алтайский край, г. Яровое, ул. 40 лет Октября, дом 1 д </t>
  </si>
  <si>
    <t>30.09.2015; 09.08.2017</t>
  </si>
  <si>
    <t>827; 735</t>
  </si>
  <si>
    <t>25.12.2013; 17.10.2015</t>
  </si>
  <si>
    <t>22 АГ 812877; 22 АД 671298</t>
  </si>
  <si>
    <t>1.1.0191</t>
  </si>
  <si>
    <t>22:72:090202:8</t>
  </si>
  <si>
    <t>Для объектов общественно-делового значения, для эксплуатации административного здания</t>
  </si>
  <si>
    <t xml:space="preserve">  Российская Федерация, Алтайский край, г. Яровое, ул. Гагарина, дом 7 </t>
  </si>
  <si>
    <t>25.04.2011; 16.05.2022</t>
  </si>
  <si>
    <t>22 АВ 631281; 22:72:090202:8-22/111/2022-1</t>
  </si>
  <si>
    <t>1.1.0207</t>
  </si>
  <si>
    <t>22:72:060302:3</t>
  </si>
  <si>
    <t>Для объектов общественно-делового значения, для обслуживания здания ДШИ</t>
  </si>
  <si>
    <t xml:space="preserve">  Российская Федерация, Алтайский край, г. Яровое, кв-л А, дом 40 </t>
  </si>
  <si>
    <t xml:space="preserve"> 24.04.2013; 28.01.2016</t>
  </si>
  <si>
    <t>22 АГ 469931;    22-22-29/ 017/2013-74</t>
  </si>
  <si>
    <t>1.1.0253</t>
  </si>
  <si>
    <t>22:72:060302:6</t>
  </si>
  <si>
    <t xml:space="preserve">  Для объектов общественно-делового значения, обслуживание детского сада № 28</t>
  </si>
  <si>
    <t xml:space="preserve">Российская Федерация, Алтайский край, г. Яровое, квартал "А", дом 42 </t>
  </si>
  <si>
    <t xml:space="preserve"> 23.07.2013; 23.07.2013</t>
  </si>
  <si>
    <t xml:space="preserve">22 АГ 811896;    22 АГ 811897     </t>
  </si>
  <si>
    <t>1.1.0254.К</t>
  </si>
  <si>
    <t>22:72:090202:9</t>
  </si>
  <si>
    <t>Для размещения и эксплуатации объектов автомобильного транспорта и объектов дорожного хозяйства, для размещения временной парковки автотранспорта</t>
  </si>
  <si>
    <t>Российская Федерация, Алтайский край, г. Яровое, ул. Гагарина, дом 7 в 15 м по направлению от ориентира</t>
  </si>
  <si>
    <t>ООО "Порт"</t>
  </si>
  <si>
    <t xml:space="preserve">договор аренды земельного участка; </t>
  </si>
  <si>
    <t>22 АВ 631280</t>
  </si>
  <si>
    <t>1.1.0256.К</t>
  </si>
  <si>
    <t>22:72:060304:10</t>
  </si>
  <si>
    <t>Для размещения подстанций, для эксплуатации подстанции ТП-291</t>
  </si>
  <si>
    <t xml:space="preserve">Российская Федерация, Алтайский край, г. Яровое, ул. Гагарина, дом 14б </t>
  </si>
  <si>
    <t xml:space="preserve">22 АГ 408446 </t>
  </si>
  <si>
    <t>1.1.0258</t>
  </si>
  <si>
    <t>22:72:060401:12</t>
  </si>
  <si>
    <t xml:space="preserve">Для объектов общественно-делового значения, для эксплуатации МБДОУ детского сада № 29 </t>
  </si>
  <si>
    <t xml:space="preserve">Российская Федерация, Алтайский край, г. Яровое, кв-л Б, дом 35 </t>
  </si>
  <si>
    <t xml:space="preserve"> 13.06.2013</t>
  </si>
  <si>
    <t>22 АГ 471743</t>
  </si>
  <si>
    <t>1.1.0269</t>
  </si>
  <si>
    <t>22:72:060302:7</t>
  </si>
  <si>
    <t xml:space="preserve">  Для объектов общественно-делового значения, эксплуатация здания музея истории г.Яровое</t>
  </si>
  <si>
    <t xml:space="preserve">Российская Федерация, Алтайский край, г. Яровое, кв-л А, дом 19 </t>
  </si>
  <si>
    <t xml:space="preserve"> 31.05.2013;  16.04.2015</t>
  </si>
  <si>
    <t xml:space="preserve">22 АГ 471292;    22 АД 492836   </t>
  </si>
  <si>
    <t>1.1.0270.К</t>
  </si>
  <si>
    <t>22:72:070501:26</t>
  </si>
  <si>
    <t>Для объектов общественно-делового значения, обслуживание административного здания</t>
  </si>
  <si>
    <t xml:space="preserve">Российская Федерация, Алтайский край, г. Яровое, ул. Пушкина, дом 2а </t>
  </si>
  <si>
    <t xml:space="preserve">МУП "ЯТЭК"                     </t>
  </si>
  <si>
    <t>аренда 1296/2854 от общей площади 2854</t>
  </si>
  <si>
    <t>договор аренды земельного участка,  постновление</t>
  </si>
  <si>
    <t>12.11.2018; 29.12.2018</t>
  </si>
  <si>
    <t>43; 1336</t>
  </si>
  <si>
    <t>30.09.2013</t>
  </si>
  <si>
    <t>22-22-29/031/2013-19</t>
  </si>
  <si>
    <t>1.1.0271.К</t>
  </si>
  <si>
    <t>22:72:050211:2</t>
  </si>
  <si>
    <t>Для ведения гражданами садоводства и огородничества</t>
  </si>
  <si>
    <t xml:space="preserve">Российская Федерация, Алтайский край, г. Яровое, Садовое общество "Химик-2", ул.10, уч.7 </t>
  </si>
  <si>
    <t>Муниципальное образование город Яровое Алтайского края</t>
  </si>
  <si>
    <t>22 АГ 350107</t>
  </si>
  <si>
    <t>1.1.0272.К</t>
  </si>
  <si>
    <t>22:72:050214:4</t>
  </si>
  <si>
    <t>Для ведения гражданами садоводства и огородничества, для садоводства</t>
  </si>
  <si>
    <t xml:space="preserve">Российская Федерация, Алтайский край, г. Яровое, Садовое общество "Химик-2", ул.6, уч.4 </t>
  </si>
  <si>
    <t>22-22-29/003/2014-110</t>
  </si>
  <si>
    <t>1.1.0273</t>
  </si>
  <si>
    <t>22:72:060403:36</t>
  </si>
  <si>
    <t>Для объектов общественно-делового значения, земли под общественной застройкой</t>
  </si>
  <si>
    <t xml:space="preserve">Российская Федерация, Алтайский край, г. Яровое, кв-л Б, дом 31 </t>
  </si>
  <si>
    <t xml:space="preserve">22 АБ 586988 </t>
  </si>
  <si>
    <t>1.1.0278</t>
  </si>
  <si>
    <t>22:72:090203:38</t>
  </si>
  <si>
    <t>Для размещения объектов культуры, Обелиск Славы воинам, погибшим в годы Великой Отечественной войны 1941-1945 г.г.</t>
  </si>
  <si>
    <t xml:space="preserve">Российская Федерация, Алтайский край, г. Яровое, ул. Гагарина, 3в </t>
  </si>
  <si>
    <t xml:space="preserve">01.04.2014; 02.04.2014 </t>
  </si>
  <si>
    <t xml:space="preserve">22 АГ 815964;    22 АГ 815983 </t>
  </si>
  <si>
    <t>1.1.0283.К</t>
  </si>
  <si>
    <t>22:72:080202:1</t>
  </si>
  <si>
    <t>Для размещения и эксплуатации объектов автомобильного транспорта и объектов дорожного хозяйства, под объекты транспорта (автомобильного)</t>
  </si>
  <si>
    <t xml:space="preserve">Российская Федерация, Алтайский край , г. Яровое, ул. Гагарина, дом 1а </t>
  </si>
  <si>
    <t xml:space="preserve">22АД 675221 </t>
  </si>
  <si>
    <t>1.1.0284.К</t>
  </si>
  <si>
    <t>22:72:060101:48</t>
  </si>
  <si>
    <t xml:space="preserve">  Для размещения военных организаций, учреждений и других объектов , для строительства линейного отделения пограничного управления ФСБ России по Алтайскому краю</t>
  </si>
  <si>
    <t xml:space="preserve">Российская Федерация, Алтайский край, г Яровое, в границах красных линий ул.Барнаульская, Комарова, Кулундинская и грунтовой дороги на жилой массив "Северный" </t>
  </si>
  <si>
    <t>22АД 672962</t>
  </si>
  <si>
    <t>1.1.0285.К</t>
  </si>
  <si>
    <t>22:72:020202:136</t>
  </si>
  <si>
    <t>для размещения трансформаторной подстанции № 157</t>
  </si>
  <si>
    <t xml:space="preserve">Российская Федерация, Алтайский край, г. Яровое, пл. Предзаводская, строение 2/16 </t>
  </si>
  <si>
    <t>постановление; договор аренды земельного участка</t>
  </si>
  <si>
    <t>24.02.2016; 22.03.2016</t>
  </si>
  <si>
    <t>187; 8</t>
  </si>
  <si>
    <t>22-22/029-22/029/001/2016-343/1</t>
  </si>
  <si>
    <t>1.1.0287.К</t>
  </si>
  <si>
    <t>22:72:020101:89</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</si>
  <si>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t>
  </si>
  <si>
    <t>Под объектами размещения отходов потребления</t>
  </si>
  <si>
    <t>Трасса Яровое-Славгород, 5</t>
  </si>
  <si>
    <t>постановление; дополнительное соглашение к договору аренды земельного участка</t>
  </si>
  <si>
    <t>01.03.2017; 28.03.2017</t>
  </si>
  <si>
    <t>184; 28-с</t>
  </si>
  <si>
    <t>выписка из Единого государственного реестра недвижимости  об основных характеристиках и зарегистрированных правах на объект недвижимости</t>
  </si>
  <si>
    <t>22/001/009/ 2017-792</t>
  </si>
  <si>
    <t>1.1.0288.К</t>
  </si>
  <si>
    <t>22:72:020101:27</t>
  </si>
  <si>
    <t>Трасса Яровое-Славгород, строение 3</t>
  </si>
  <si>
    <t>10.03.2017; 15.12.2016</t>
  </si>
  <si>
    <t>206; 88</t>
  </si>
  <si>
    <t>22/001/009/ 2017-791</t>
  </si>
  <si>
    <t>1.1.0289.К</t>
  </si>
  <si>
    <t>22:72:060201:59</t>
  </si>
  <si>
    <t xml:space="preserve">  Для объектов жилой застройки, для эксплуатации здания ТП-264</t>
  </si>
  <si>
    <t xml:space="preserve">Российская Федерация, Алтайский край, г. Яровое, квартал "В", здание ТП -264 </t>
  </si>
  <si>
    <t>20.03.2017; 10.05.2017</t>
  </si>
  <si>
    <t>241; 33</t>
  </si>
  <si>
    <t>1.1.0290.К</t>
  </si>
  <si>
    <t>22:72:060301:19</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</si>
  <si>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ТП-255</t>
  </si>
  <si>
    <t xml:space="preserve">Российская Федерация, Алтайский край, г. Яровое, кв-л А, здание ТП-255 </t>
  </si>
  <si>
    <t>1.1.0291.К</t>
  </si>
  <si>
    <t>22:72:060304:9</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</si>
  <si>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ТП-261</t>
  </si>
  <si>
    <t xml:space="preserve">Российская Федерация, Алтайский край, г. Яровое, кв-л А, здание ТП-261 </t>
  </si>
  <si>
    <t>1.1.0292.К</t>
  </si>
  <si>
    <t>22:72:060403:40</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</si>
  <si>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ЦРП-6</t>
  </si>
  <si>
    <t xml:space="preserve">Российская Федерация, Алтайский край, г. Яровое, кв-л Б, здание ЦРП-6 </t>
  </si>
  <si>
    <t>1.1.0293.К</t>
  </si>
  <si>
    <t>22:72:080101:17</t>
  </si>
  <si>
    <t>Для размещения промышленных объектов, для эксплуатации здания ЦРП-15</t>
  </si>
  <si>
    <t xml:space="preserve">Российская Федерация, Алтайский край, г. Яровое, ул. Заводская, здание ЦРП-15 </t>
  </si>
  <si>
    <t>1.1.0294.К</t>
  </si>
  <si>
    <t>22:72:060202:13</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</si>
  <si>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здания ЦРП-16</t>
  </si>
  <si>
    <t xml:space="preserve">Российская Федерация, Алтайский край, г. Яровое, кв-л В, здание ЦРП-16 </t>
  </si>
  <si>
    <t>1.1.0295.К</t>
  </si>
  <si>
    <t>22:72:060303:20</t>
  </si>
  <si>
    <t>Для размещения промышленных объектов, для эксплуатации корпуса 262 ТП-49</t>
  </si>
  <si>
    <t xml:space="preserve">Российская Федерация, Алтайский край, г. Яровое, кв-л А, корпус 262-ТП-49 </t>
  </si>
  <si>
    <t>1.1.0296.К</t>
  </si>
  <si>
    <t>22:72:040202:7</t>
  </si>
  <si>
    <t>Для индивидуальной жилой застройки, индивидуальное жилищное строительство</t>
  </si>
  <si>
    <t>Российская Федерация, Алтайский край, г. Яровое, ул. Сибирская, дом 50</t>
  </si>
  <si>
    <t>1.1.0297</t>
  </si>
  <si>
    <t>22:72:060304:33</t>
  </si>
  <si>
    <t>Для размещения объектов дошкольного, начального, общего и среднего (полного) общего образования, эксплуатация учебных корпусов</t>
  </si>
  <si>
    <t>Российская Федерация, Алтайский край, город Яровое, квартал "А", 43а</t>
  </si>
  <si>
    <t>02.08.2017; 29.12.2020</t>
  </si>
  <si>
    <t>704; 1128</t>
  </si>
  <si>
    <t>распоряжение (край); акт приемки-передачи; выписка из Единого государственного реестра прав на недвижимое имущество и сделок с ним о переходе прав на объект недвижимого имущества</t>
  </si>
  <si>
    <t>20.06.2017; 14.07.2017; 04.08.2017</t>
  </si>
  <si>
    <t>225-р; 22:72:060304:33-22/024/ 2017-2; 22:72:060304:33-22/024/2017-3</t>
  </si>
  <si>
    <t>1.1.0298.К</t>
  </si>
  <si>
    <t>22:72:070501:137</t>
  </si>
  <si>
    <t>Для иных видов использ-ия, характерных для населенных пунктов. Офисы, предприятия связи, почтамт, зрелищные, просветительские и развлекат-ые объекты, объекты управ-ия, гостиницы, торговые комплексы, учреж-ия культуры и искусства, спортивные комплексы, предпр-ия общест-го питания, аптеки, библиотеки, пункты охраны правопорядка и травмопункты, общест-ые туалеты</t>
  </si>
  <si>
    <t>Российская Федерация, Алтайский край, г. Яровое, в 8 м на восток от дома 1д по ул. 40 лет Октября</t>
  </si>
  <si>
    <t>ИП Бочкарёв Александр Николаевич</t>
  </si>
  <si>
    <t>04.08.2017; 20.11.2017</t>
  </si>
  <si>
    <t>731; 69</t>
  </si>
  <si>
    <t>22:72:070501:137-22/024/ 2017-1</t>
  </si>
  <si>
    <t>1.1.0299.К</t>
  </si>
  <si>
    <t>22:72:050215:1</t>
  </si>
  <si>
    <t>Российская Федерация, Алтайский край, г. Яровое, Садовое общество "Химик-2", ул.6, уч.7</t>
  </si>
  <si>
    <t>22:72:050215:1-024/024/2017-2</t>
  </si>
  <si>
    <t>1.1.0300.К</t>
  </si>
  <si>
    <t>22:72:080101:20</t>
  </si>
  <si>
    <t>Для размещения иных объектов промышленности, энергетики, транспорта, связи, радиовещания, телевидения, информатики, обеспечения космической деятельности, обороны, безопасности и иного специального назначения, Для эксплуатации скважины 4656 (300м), куст 1а, для эксплуатации артезианской скважины фильтровой № 1-103, куст 1</t>
  </si>
  <si>
    <t>Российская Федерация, Алтайский край, г. Яровое, ул. Заводская, артезианская скважина фильтовая № 1-103, куст1</t>
  </si>
  <si>
    <t xml:space="preserve">договор аренды земельного участка </t>
  </si>
  <si>
    <t>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Росимущества в Алтайском крае и Республике Алтай</t>
  </si>
  <si>
    <t>02.08.2018; 25.04.2018</t>
  </si>
  <si>
    <t>22:72:080101:20-22/024/2018-2; 261</t>
  </si>
  <si>
    <t>1.1.0301.К</t>
  </si>
  <si>
    <t>22:72:080101:19</t>
  </si>
  <si>
    <t xml:space="preserve">Для размещения объектов водного фонда, для эксплуатации скважины № 4656 (300м), куст 1а </t>
  </si>
  <si>
    <t>Российская Федерация, Алтайский край, г. Яровое, ул. Заводская, скважина 4656 (300м), куст 1 а</t>
  </si>
  <si>
    <t>22:72:080101:19-22/024/2018-2; 261</t>
  </si>
  <si>
    <t>1.1.0302.К</t>
  </si>
  <si>
    <t>22:72:010610:3</t>
  </si>
  <si>
    <t>для эксплуатации скважины БР 213</t>
  </si>
  <si>
    <t>Российская Федерация, Алтайский край, г.Яровое, район СНТ "Химик",  земельный участок №9скв, скважина БР 213</t>
  </si>
  <si>
    <t>06.08.2018; 25.04.2018</t>
  </si>
  <si>
    <t>22:72:010610:3-22/024/2018-2; 261</t>
  </si>
  <si>
    <t>1.1.0303.К</t>
  </si>
  <si>
    <t>22:72:010201:2</t>
  </si>
  <si>
    <t>скважина (глубина 700 м)</t>
  </si>
  <si>
    <t>Российская Федерация, Алтайский край, городской округ город Яровое, город Яровое, территория СНТ "Химик-1", земельный участок №1скв БР 214</t>
  </si>
  <si>
    <t>22:72:010201:2-22/024/2018-2; 261</t>
  </si>
  <si>
    <t>1.1.0304.К</t>
  </si>
  <si>
    <t>22:72:010202:30</t>
  </si>
  <si>
    <t xml:space="preserve">для эксплуатации скважин куст 2, № 4803, № 4263, № 4264 </t>
  </si>
  <si>
    <t>Российская Федерация, Алтайский край, г.Яровое, ул.Заводская, куст 2, скважины № 4803, № 4263, № 4264</t>
  </si>
  <si>
    <t>22:72:010202:30-22/024/2018-2; 261</t>
  </si>
  <si>
    <t>1.1.0305.К</t>
  </si>
  <si>
    <t>22:72:080101:18</t>
  </si>
  <si>
    <t>Для размещения объектов водного фонда, Для эксплуатации скважины № 4657 (150м), куст 1з</t>
  </si>
  <si>
    <t>Алтайский край, г.Яровое, ул.Заводская, скважина 4657 (150м), куст 1з</t>
  </si>
  <si>
    <t>22:72:080101:18-22/024/2018-2; 261</t>
  </si>
  <si>
    <t>1.1.0306.К</t>
  </si>
  <si>
    <t>22:72:010318:4</t>
  </si>
  <si>
    <t>для эксплуатации артезианской скважины № 1-360 с павильоном</t>
  </si>
  <si>
    <t xml:space="preserve">Российская Федерация, Алтайский край, городской округ город Яровое, ул.Заводская, артезианская скважина фильтровая № 1-360 с павильоном, земельный участок №6скв </t>
  </si>
  <si>
    <t>22:72:010318:4-22/024/2018-2; 261</t>
  </si>
  <si>
    <t>1.1.0307.К</t>
  </si>
  <si>
    <t>22:72:010318:3</t>
  </si>
  <si>
    <t>для эксплуатации артезианской скважины № 1-96, куст 5</t>
  </si>
  <si>
    <t>Российская Федерация, Алтайский край, городской округ город Яровое, город Яровое, территория СНТ "Химик-1", артезианская скважина № 1-96, земельный участок №5скв, куст 5</t>
  </si>
  <si>
    <t>07.08.2018; 25.04.2018</t>
  </si>
  <si>
    <t>22:72:010318:3-22/024/2018-2; 261</t>
  </si>
  <si>
    <t>1.1.0308.К</t>
  </si>
  <si>
    <t>22:72:020201:16</t>
  </si>
  <si>
    <t>скважина</t>
  </si>
  <si>
    <t>Российская Федерация, Алтайский край, г.Яровое, район СНТ "Химик", артезианская скважина № 1-191 с павильоном</t>
  </si>
  <si>
    <t>22:72:020201:16-22/024/2018-2; 261</t>
  </si>
  <si>
    <t>1.1.0309.К</t>
  </si>
  <si>
    <t>22:72:020101:66</t>
  </si>
  <si>
    <t>для эксплуатации артезианской скважины БР 212</t>
  </si>
  <si>
    <t xml:space="preserve">Российская Федерация, Алтайский край, г.Яровое, ул.Гагарина, артезианская скважина БР 212, куст </t>
  </si>
  <si>
    <t>22:72:020101:66-22/024/2018-2; 261</t>
  </si>
  <si>
    <t>1.1.0310.К</t>
  </si>
  <si>
    <t>22:72:010714:2</t>
  </si>
  <si>
    <t>для эксплуатации артезианской скважины № 1-189 с павильоном</t>
  </si>
  <si>
    <t>Российская Федерация, Алтайский край, городской округ город Яровое, город Яровое, территория СНТ "Химик-1", земельный участок №11скв, артезианская скважина № 1-189 с павильоном</t>
  </si>
  <si>
    <t>09.08.2018; 25.04.2018</t>
  </si>
  <si>
    <t>22:72:010714:2-22/024/2018-2; 261</t>
  </si>
  <si>
    <t>1.1.0311.К</t>
  </si>
  <si>
    <t>22:72:010222:6</t>
  </si>
  <si>
    <t>для эксплуатации артезианской скважины № 1-190 с павильоном</t>
  </si>
  <si>
    <t>Российская Федерация, Алтайский край, г. Яровое, район СНТ "Химик", артезианская скважина № 1-190 с павильоном</t>
  </si>
  <si>
    <t>14.08.2018; 25.04.2018</t>
  </si>
  <si>
    <t>22:72:010222:6-22/024/2018-2; 261</t>
  </si>
  <si>
    <t>1.1.0312.К</t>
  </si>
  <si>
    <t>22:72:011107:2</t>
  </si>
  <si>
    <t>для эксплуатации скважины № 4638 (70м)</t>
  </si>
  <si>
    <t>Российская Федерация, Алтайский край, городской округ город Яровое, город Яровое, территория СНТ "Химик-1", земельный участок 15скв, скважина № 4638 (70 м)</t>
  </si>
  <si>
    <t>22:72:011107:2-22/024/2018-2; 261</t>
  </si>
  <si>
    <t>1.1.0313.К</t>
  </si>
  <si>
    <t>22:72:010607:2</t>
  </si>
  <si>
    <t>для эксплуатации артезианской скважины № 1-337с павильоном</t>
  </si>
  <si>
    <t>Российская Федерация, Алтайский край, городской округ город Яровое, город Яровое, территоря СНТ "Химик-1", земельный участок № 8скв, артезианская скважина № 1-337с павильоном</t>
  </si>
  <si>
    <t>22:72:010607:2-22/024/2018-2; 261</t>
  </si>
  <si>
    <t>1.1.0314.К</t>
  </si>
  <si>
    <t>22:72:010514:3</t>
  </si>
  <si>
    <t>для эксплуатации артезианской скважины фильтровой № 1-89</t>
  </si>
  <si>
    <t>Российская Федерация, Алтайский край, городской округ город Яровое, город Яровое, территория СНТ "Химик-1", земельный участок №7скв, артезианская скважина фильтровая № 1-89</t>
  </si>
  <si>
    <t>22:72:010514:3-22/024/2018-2; 261</t>
  </si>
  <si>
    <t>1.1.0315.К</t>
  </si>
  <si>
    <t>22:72:011016:2</t>
  </si>
  <si>
    <t>для эксплуатации артезианской скважины № 1-606</t>
  </si>
  <si>
    <t>Российская Федерация, Алтайский край, г. Яровое, район СНТ "Химик", артезианская скважина № 1-606</t>
  </si>
  <si>
    <t>22:72:011016:2-22/024/2018-2; 261</t>
  </si>
  <si>
    <t>1.1.0316.К</t>
  </si>
  <si>
    <t>22:72:010205:6</t>
  </si>
  <si>
    <t>для эксплуатации скважины 4641</t>
  </si>
  <si>
    <t>Российская Федерация, Алтайский край, городской округ город Яровое, город Яровое, территория СНТ "Химик-1", земельный участок №2скв, скважина № 4641</t>
  </si>
  <si>
    <t>22:72:010205:6-22/024/2018-2; 261</t>
  </si>
  <si>
    <t>1.1.0317.К</t>
  </si>
  <si>
    <t>22:72:010210:3</t>
  </si>
  <si>
    <t>для эксплуатации скважины 4640</t>
  </si>
  <si>
    <t>Российская Федерация, Алтайский край, городской округ город Яровое, город Яровое, территория СНТ "Химик-1", земельный участок №3скв, скважина № 4640</t>
  </si>
  <si>
    <t>16.08.2018; 25.04.2018</t>
  </si>
  <si>
    <t>22:72:010210:3-22/024/2018-2; 261</t>
  </si>
  <si>
    <t>1.1.0318.К</t>
  </si>
  <si>
    <t>22:72:010214:8</t>
  </si>
  <si>
    <t>для эксплуатации скважины 4639</t>
  </si>
  <si>
    <t>Российская Федерация, Алтайский край, городской округ город Яровое, город Яровое, территория СНТ "Химик-1", земельный участок №4скв, скважина № 4639</t>
  </si>
  <si>
    <t>22:72:010214:8-22/024/2018-2; 261</t>
  </si>
  <si>
    <t>1.1.0319.К</t>
  </si>
  <si>
    <t>22:72:010903:3</t>
  </si>
  <si>
    <t>для эксплуатации скважины 4642 (70 м)</t>
  </si>
  <si>
    <t>Российская Федерация, Алтайский край, городской округ город Яровое, город Яровое, территория СНТ "Химик-1", земельный участок № 13скв, скважина № 4642 (70 м)</t>
  </si>
  <si>
    <t>22:72:010903:3-22/024/2018-2; 261</t>
  </si>
  <si>
    <t>1.1.0321.К</t>
  </si>
  <si>
    <t>22:72:020202:135</t>
  </si>
  <si>
    <t>Земли населенных пунктов</t>
  </si>
  <si>
    <t>для размещения трансформаторной подстанции № 140</t>
  </si>
  <si>
    <t>Российская Федерация, Алтайский край, г. Яровое, пл. Предзаводская, строение 2/15</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</si>
  <si>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Росимущества в Алтайском крае и Республике Алтай; </t>
  </si>
  <si>
    <t xml:space="preserve">21.05.2019; 02.04.2019 </t>
  </si>
  <si>
    <t>22:72:020202:135-22/024/2019-1; 196</t>
  </si>
  <si>
    <t>1.1.0322.К</t>
  </si>
  <si>
    <t>22:72:020202:833</t>
  </si>
  <si>
    <t>Для размещения промышленных объектов, размещение производственной площадки БОС</t>
  </si>
  <si>
    <t>Российская Федерация, Алтайский край, городской округ город Яровое, город Яровое, Промзона микрорайон, земельный участок № 47</t>
  </si>
  <si>
    <t>22:72:020202:833-22/024/2019-1</t>
  </si>
  <si>
    <t>1.1.0323.К</t>
  </si>
  <si>
    <t>22:72:010912:5</t>
  </si>
  <si>
    <t>для ведения садоводства</t>
  </si>
  <si>
    <t>Российская Федерация, Алтайский край, г.Яровое, СНТ "Химик-1", ул.№№ 3,4, №№ 90,111 1997 года нареза</t>
  </si>
  <si>
    <t>22:72:010912:5-22/024//2019-2</t>
  </si>
  <si>
    <t>1.1.0324</t>
  </si>
  <si>
    <t>22:72:060403:1451</t>
  </si>
  <si>
    <t>Для иных видов использования, характерных для населенных пунктов, Обслуживание здания ЦНТТУ</t>
  </si>
  <si>
    <t>Российская Федерация, Алтайский край, городской округ город Яровое, город Яровое, квартал Б, земельный участок №37</t>
  </si>
  <si>
    <t>19.06.2020; 14.04.2022</t>
  </si>
  <si>
    <t>540; 296</t>
  </si>
  <si>
    <t>16.06.2020; 13.04.2022</t>
  </si>
  <si>
    <t>22:72:060403:1451-22/024/2020-1; КУВИ-001/2022-55025500</t>
  </si>
  <si>
    <t>1.1.0325.К</t>
  </si>
  <si>
    <t xml:space="preserve">22:72:000000:2 </t>
  </si>
  <si>
    <t xml:space="preserve">Земли населенных пунктов </t>
  </si>
  <si>
    <t>Эксплуатация ТЭЦ</t>
  </si>
  <si>
    <t>край Алтайский, г.Яровое, пл. Предзаводская, дом 2/19</t>
  </si>
  <si>
    <t>18.08.2020; 27.08.2020</t>
  </si>
  <si>
    <t>685; 24</t>
  </si>
  <si>
    <t>22:72:000000:2 -22/0224/2020-15</t>
  </si>
  <si>
    <t>1.1.0327.К</t>
  </si>
  <si>
    <t xml:space="preserve">  22:72:060201:22</t>
  </si>
  <si>
    <t xml:space="preserve">Российская Федерация, Алтайский край, г. Яровое, кв-л В, дом 3 
</t>
  </si>
  <si>
    <t>30.12.2020, 08.04.2021</t>
  </si>
  <si>
    <t>1139, 253</t>
  </si>
  <si>
    <t>Выписка из Единого государственного реестра недвижимости</t>
  </si>
  <si>
    <t>№ КУВИ-002/2021-30181934</t>
  </si>
  <si>
    <t>1.1.0328.К</t>
  </si>
  <si>
    <t>22:72:60201:30</t>
  </si>
  <si>
    <t xml:space="preserve">Российская Федерация, Алтайский край, г. Яровое, кв-л В, дом 12 </t>
  </si>
  <si>
    <t>№ КУВИ-002/2021-30181250</t>
  </si>
  <si>
    <t>1.1.0329.К</t>
  </si>
  <si>
    <t xml:space="preserve">  22:72:070602:35</t>
  </si>
  <si>
    <t xml:space="preserve">Российская Федерация, Алтайский край, г. Яровое, ул. Ленина, дом 6 </t>
  </si>
  <si>
    <t>№ КУВИ-002/2021-30180604</t>
  </si>
  <si>
    <t>1.1.0331.К</t>
  </si>
  <si>
    <t xml:space="preserve">   22:72:020202:802</t>
  </si>
  <si>
    <t>Эксплуатация промышленного здания</t>
  </si>
  <si>
    <t>Российская Федерация, Алтайский край, г. Яровое, пл. Предзаводская, прилегающий с восточной стороны к участку 2/63</t>
  </si>
  <si>
    <t>22:72:020202:802-22/140/2021-3</t>
  </si>
  <si>
    <t>1.1.0332.К</t>
  </si>
  <si>
    <t>22:72:010618:3</t>
  </si>
  <si>
    <t>Для ведения садоводства</t>
  </si>
  <si>
    <t>Российская Федерация, Алтайский край, городской округ город Яровое, город Яровое, тер. СНТ "Химик-1", улица 1987 года, земельный участок №112</t>
  </si>
  <si>
    <t>Уведомление о государственной регистрации права</t>
  </si>
  <si>
    <t>22:72:010618:3-22/117/2021-3</t>
  </si>
  <si>
    <t>1.1.0333.К</t>
  </si>
  <si>
    <t xml:space="preserve">ГУ УПФР г. Славгорода Алтайского края (межрайонное) </t>
  </si>
  <si>
    <t>постоянное (бессрочное) пользование, 1159/2854 от общей площади 2854</t>
  </si>
  <si>
    <t>04.06.2012;  29.12.2018; 26.07.2021</t>
  </si>
  <si>
    <t>522; 1336; 561</t>
  </si>
  <si>
    <t>22-22-29/015/2012-615</t>
  </si>
  <si>
    <t>1.1.0334</t>
  </si>
  <si>
    <t>22:72:090203:18</t>
  </si>
  <si>
    <t>Для обслуживания спорткомплекса "Химик" (стадиона,хоккейного корта, спортивного зала)</t>
  </si>
  <si>
    <t>Российская Федерация, Алтайский край, г. Яровое, ул. Гагарина, дом 1</t>
  </si>
  <si>
    <t>22:72:090203:18-22/123/2021-1</t>
  </si>
  <si>
    <t>1.1.0336.К</t>
  </si>
  <si>
    <t>22:72:010219:21</t>
  </si>
  <si>
    <t>Российская Федерация, Алтайский край, городской округ город Яровое, город Яровое,  территория СНТ "Химик-1", улица Целинная, земельный участок № 67</t>
  </si>
  <si>
    <t>22:72:010219:21-22/140/2020-4</t>
  </si>
  <si>
    <t>1.1.0337.К</t>
  </si>
  <si>
    <t>22:72:060302:1315</t>
  </si>
  <si>
    <t>Размещение зданий и сооружений, обеспечивающих поставку воды, тепла, электричества, газа, отводканализационных стоков, очисткуи уборку объектов недвижимости (котельных, водозаборов, очистных сооружений, насосных станций, водопроводов, линий электропередач, трансформаторных подстанций, газопроводов, линий связи телефонных станций канализаций, стоянок, гаражей и мастерских для обслуживания уборочной и аварийной техники, сооружений, необходимых для сбора и плавки снега)</t>
  </si>
  <si>
    <t>Российская Федерация, Алтайский край, городской округ город Яровое, город Яровое,   квартал "А", земельный участок №36/КНС1</t>
  </si>
  <si>
    <t>29.04.2022; 18.04.2022</t>
  </si>
  <si>
    <t>329; 12</t>
  </si>
  <si>
    <t>22:72:060302:1315-22/132/2022-1</t>
  </si>
  <si>
    <t>1.1.0338.К</t>
  </si>
  <si>
    <t>22:72:080102:224</t>
  </si>
  <si>
    <t>Российская Федерация, Алтайский край, городской округ город Яровое, город Яровое,   ул. Кулундинская, №1/КНС2</t>
  </si>
  <si>
    <t>22:72:080102:224-22/115/2022-1</t>
  </si>
  <si>
    <t>1.1.0339.К</t>
  </si>
  <si>
    <t>22:72:080202:313</t>
  </si>
  <si>
    <t>Российская Федерация, Алтайский край, городской округ город Яровое, город Яровое,   ул. Гагарина, земельный участок №1/КНС3</t>
  </si>
  <si>
    <t>22:72:080202:313-22/115/2022-1</t>
  </si>
  <si>
    <t>1.1.0340.К</t>
  </si>
  <si>
    <t>22:72:090106:254</t>
  </si>
  <si>
    <t>Российская Федерация, Алтайский край, городской округ город Яровое, город Яровое,   ул. Гагарина, 9/КНС4</t>
  </si>
  <si>
    <t>22:72:090106:254-22/140/2021-1</t>
  </si>
  <si>
    <t>1.1.0341.К</t>
  </si>
  <si>
    <t>22:72:090106:255</t>
  </si>
  <si>
    <t>Российская Федерация, Алтайский край, городской округ город Яровое, город Яровое,   ул. Гагарина, земельный участок №11/КНС5</t>
  </si>
  <si>
    <t>22:72:090106:255-22/115/2022-1</t>
  </si>
  <si>
    <t>1.1.0342</t>
  </si>
  <si>
    <t>22:72:060403:1743</t>
  </si>
  <si>
    <t xml:space="preserve">Для размещения объектов 
дошкольного, начального, общего и среднего (полного) общего образования
</t>
  </si>
  <si>
    <t xml:space="preserve">Российская Федерация, Алтайский край, городской округ город Яровое, город Яровое, квартал «Б», земельный участок № 31а </t>
  </si>
  <si>
    <t>24.05.2022; 02.11.2022</t>
  </si>
  <si>
    <t>375; 982</t>
  </si>
  <si>
    <t xml:space="preserve">Выписка из ЕГРН </t>
  </si>
  <si>
    <t>22:72:060403:1743-22/140/2020-2</t>
  </si>
  <si>
    <t>1.1.0343.К</t>
  </si>
  <si>
    <t>22:72:020101:91</t>
  </si>
  <si>
    <t>Земли промышленности, энергетики, транспорта, связи, телевидения, информатики, земли для обеспечения космической деятельности, земли обороны, безопасности и земли иного специального назначения</t>
  </si>
  <si>
    <t>Для размещения скотомогильника</t>
  </si>
  <si>
    <t>Российская Федерация, Алтайский край, г. Яровое, в 2379 м на северо-восток от дома № 2 по ул. Чапаева</t>
  </si>
  <si>
    <t>Договор аренды; постановление; соглашение о расторжении договора аренды ЗУ; постаноление</t>
  </si>
  <si>
    <t>28.03.2017; 24.05.2022; 26.05.2022; 05.08.2022</t>
  </si>
  <si>
    <t>27; 379; б/н; 606</t>
  </si>
  <si>
    <t>22:72:020101:91-22/115/2022-3</t>
  </si>
  <si>
    <t>Раздел 1</t>
  </si>
  <si>
    <t>Подраздел 1.2 "Административные, общественные, производственные и иные здания"</t>
  </si>
  <si>
    <t>Год постройки (ввод в эксплуатацию)</t>
  </si>
  <si>
    <t xml:space="preserve">Площадь, протяженность и (или) иные параметры </t>
  </si>
  <si>
    <t>Паспорт БТИ/ Кадастровый паспорт (дата)</t>
  </si>
  <si>
    <t>Регистрация права собственности</t>
  </si>
  <si>
    <t>Начисленная амортизация, руб.</t>
  </si>
  <si>
    <t xml:space="preserve">Общая кадастровая стоимость, руб. </t>
  </si>
  <si>
    <t>1.2.0009.К</t>
  </si>
  <si>
    <t>Склады холодные, бокс № 10</t>
  </si>
  <si>
    <t>инв.10102200. Материал стен: кирпич, этажность - 1</t>
  </si>
  <si>
    <t>г.Яровое, ул Гагарина. 1 в (бокс № 10)</t>
  </si>
  <si>
    <t>Садоводческое общество "Химик-1" г.Яровое</t>
  </si>
  <si>
    <t>06-09-74</t>
  </si>
  <si>
    <t>1.2.0031.К</t>
  </si>
  <si>
    <t xml:space="preserve">Контейнерное здание </t>
  </si>
  <si>
    <t>10-1990</t>
  </si>
  <si>
    <t>инв. № 01010002. Каркас металлический 5,58:2=11м2, перегородка из ДВП, этажность - 1</t>
  </si>
  <si>
    <t xml:space="preserve">г.Яровое, Парк культуры и отдыха </t>
  </si>
  <si>
    <t xml:space="preserve">договор аренды муниц.имущества </t>
  </si>
  <si>
    <t>14-10-15</t>
  </si>
  <si>
    <t>постановление ГСД</t>
  </si>
  <si>
    <t>01.11.2000</t>
  </si>
  <si>
    <t>1.2.0032</t>
  </si>
  <si>
    <t>22:72:060202:14</t>
  </si>
  <si>
    <t>Здание (Центральная библиотека)</t>
  </si>
  <si>
    <t>12-1982</t>
  </si>
  <si>
    <t>инв № 01010003. Часть помещений нежилого отдельно стоящего здания городской библиотеки. Нежилое. Материал стен: кирпич, этажность - 2. Сдано в аренду ИП Собко Л.А. 10,75кв.м</t>
  </si>
  <si>
    <t>г.Яровое, ул. Кулундинская, 54</t>
  </si>
  <si>
    <t>МБУК "Городская Библиотека" г.Яровое</t>
  </si>
  <si>
    <t>постановление; распоряжение; постановление</t>
  </si>
  <si>
    <t>09.11.2011; 13.08.2010; 20.03.2020</t>
  </si>
  <si>
    <t>1121; 165-р; 260</t>
  </si>
  <si>
    <t>09.08.1983</t>
  </si>
  <si>
    <t>св-во 22 АГ 471284 от 31.05.2013</t>
  </si>
  <si>
    <t>1.2.0032.К</t>
  </si>
  <si>
    <t>Часть помещений нежилого отдельно стоящего здания городской библиотеки</t>
  </si>
  <si>
    <t>инв № 01010003. Часть помещений нежилого отдельно стоящего здания городской библиотеки. Нежилое. Материал стен: кирпич, этажность - 2</t>
  </si>
  <si>
    <t xml:space="preserve">МБУ "Информационный центр г. Яровое"  </t>
  </si>
  <si>
    <t xml:space="preserve">постановление; договор ссуды </t>
  </si>
  <si>
    <t>09.11.2011; 09.11.2011</t>
  </si>
  <si>
    <t>1122; 11-11-12</t>
  </si>
  <si>
    <t>1.2.0033.К</t>
  </si>
  <si>
    <t xml:space="preserve">Здание туалета </t>
  </si>
  <si>
    <t>3-1996</t>
  </si>
  <si>
    <t>инв. № 01010006. Фундамент бетонный, перекрытия ж/б, стены кирпичные, этажность - 1</t>
  </si>
  <si>
    <t>14.02.1996</t>
  </si>
  <si>
    <t>1.2.0035</t>
  </si>
  <si>
    <t>22:72:060302:36</t>
  </si>
  <si>
    <t>Здание (Административное)</t>
  </si>
  <si>
    <t xml:space="preserve">инв. № 01010027. Нежилое. Отдельно стоящее здание, этажность - 2 </t>
  </si>
  <si>
    <t>г.Яровое, квартал А, д.19</t>
  </si>
  <si>
    <t>04.10.2010; 21.05.2015; 20.03.2020</t>
  </si>
  <si>
    <t>558; 41; 260</t>
  </si>
  <si>
    <t>16.10.2012; 01.09.2010</t>
  </si>
  <si>
    <t>св-во 22 АГ 471291 от 31.05.13</t>
  </si>
  <si>
    <t>1.2.0036</t>
  </si>
  <si>
    <t>22:72:070501:103</t>
  </si>
  <si>
    <t xml:space="preserve">Нежилое здание </t>
  </si>
  <si>
    <t>12-1993</t>
  </si>
  <si>
    <t>инв.№  01010005. Нежилое. Материал стен: кирпичные. Этажность - 2</t>
  </si>
  <si>
    <t>г.Яровое, ул. 40 лет Октября, 1д</t>
  </si>
  <si>
    <t>27.08.2015; 20.03.2020</t>
  </si>
  <si>
    <t>725; 260</t>
  </si>
  <si>
    <t xml:space="preserve">св-во 22 АГ 643913   от 05.10.2013 </t>
  </si>
  <si>
    <t>1.2.0037</t>
  </si>
  <si>
    <t>22:72:070604:3</t>
  </si>
  <si>
    <t>инв. № 01010004. Нежилое. Материал стен: кирпичные. Этажность - 2.</t>
  </si>
  <si>
    <t>г.Яровое, ул.Ленина, 9</t>
  </si>
  <si>
    <t>13.08.2010; 20.03.2020</t>
  </si>
  <si>
    <t>165-р; 260</t>
  </si>
  <si>
    <t>св-во 22 АГ 351613 от 12.03.2013</t>
  </si>
  <si>
    <t>1.2.0038</t>
  </si>
  <si>
    <t>22:72:060302:28</t>
  </si>
  <si>
    <t xml:space="preserve">Нежилое строение </t>
  </si>
  <si>
    <t>инв. № 01030026. Литер А. Нежилое. Материал стен: кирпичные, материал фундамента: бетонный ленточный, материал перекрытия: железобетонные; материал кровли: толь. Этажность - 2</t>
  </si>
  <si>
    <t>г.Яровое, кв-л А, д. 40</t>
  </si>
  <si>
    <t>29.06.2007; 20.03.2020</t>
  </si>
  <si>
    <t>457; 260</t>
  </si>
  <si>
    <t>постановление ВС РФ; постановление ГСД</t>
  </si>
  <si>
    <t>27.12.1991, 01.11.2000</t>
  </si>
  <si>
    <t>3020-1; 44</t>
  </si>
  <si>
    <t>св-во 22АВ № 368680 от 22.12.2010</t>
  </si>
  <si>
    <t>1.2.0039</t>
  </si>
  <si>
    <t>22:72:060403:50</t>
  </si>
  <si>
    <t>Здание</t>
  </si>
  <si>
    <t>инв. 1010002. Нежилое. Литер А. Литер Г -хозпостройка (68 м2). Стены кирпич. Этажность - 3</t>
  </si>
  <si>
    <t>Алтайский край, г.Яровое, кв-л Б, д. 31</t>
  </si>
  <si>
    <t xml:space="preserve">МБОУ СОШ № 12 </t>
  </si>
  <si>
    <t>07.06.2007; 18.02.2020</t>
  </si>
  <si>
    <t>423; 132</t>
  </si>
  <si>
    <t>св-во 22 ВЖ 677432 от 27.10.2004</t>
  </si>
  <si>
    <t>1.2.0040</t>
  </si>
  <si>
    <t>22:72:050205:3</t>
  </si>
  <si>
    <t>инв. 1010007. Нежилое.  Литер А. Литер Г - хозпостройка  (118,2м2). Стены-кирпич, этажность - 3</t>
  </si>
  <si>
    <t>кв-л А, д. 21</t>
  </si>
  <si>
    <t>МБОУ СОШ № 14</t>
  </si>
  <si>
    <t>26.11.2007; 18.02.2020</t>
  </si>
  <si>
    <t>825; 132</t>
  </si>
  <si>
    <t>свидетельство 22 ВЖ 677431 от 27.10.2004</t>
  </si>
  <si>
    <t>1.2.0042</t>
  </si>
  <si>
    <t>22:72:060201:1575</t>
  </si>
  <si>
    <t xml:space="preserve"> инв. № 1010011. Нежилое. Литер А. I, II, III, IV этажи S = 7470,2 м2 (в т.ч. бассейн реестр.1.4.0046) , подвал S = 1939 м2. Общая S= 9878,7 м2, стены-кирпич, этажность - 4</t>
  </si>
  <si>
    <t>кв-л В, д. 19</t>
  </si>
  <si>
    <t>св-во 22 ВЖ 677430 от 27.10.2004</t>
  </si>
  <si>
    <t>1.2.0043</t>
  </si>
  <si>
    <t>инв. № 1010012. Нежилое. Литер Б. Часть помещений мастерской школы № 19. Стены-кирпич, этажность - 1</t>
  </si>
  <si>
    <t>Комитет  администрации г.Яровое по образованию</t>
  </si>
  <si>
    <t>1.2.0043.К</t>
  </si>
  <si>
    <t>Литер Б. Нежилое. Часть помещений мастерской школы № 19. Стены-кирпич, этажность - 1</t>
  </si>
  <si>
    <t>г.Яровое, кв-л В, д. 19</t>
  </si>
  <si>
    <t>27.03.2012; 18.02.2020</t>
  </si>
  <si>
    <t>310; 132</t>
  </si>
  <si>
    <t>1.2.0044</t>
  </si>
  <si>
    <t>инв. № 1010013. Нежилое.  Литер Г. Отдельно стоящее строение теплицы школы № 19. Стены: кирпич, каркас металлический, этажность - 1</t>
  </si>
  <si>
    <t>1.2.0045</t>
  </si>
  <si>
    <t>инв. № 1010014. Литер В. Склад школы № 19. Каркас металлический. Стены-кирпич, этажность - 1</t>
  </si>
  <si>
    <t>1.2.0046</t>
  </si>
  <si>
    <t>инв. № 1010015. Нежилое. Литер А. Бассейн S = 142,8 м2 (встроенное в здание школы № 19), стены-кирпич, этажность - 1</t>
  </si>
  <si>
    <t>1.2.0047</t>
  </si>
  <si>
    <t>22:72:060302:31</t>
  </si>
  <si>
    <t xml:space="preserve"> инв. № 1010027. Нежилое. Литер Б. Отдельно стоящее здание хоз.корпуса. Фундамент ленточный бетонный, стены бетонные, крупно-блочные толщина 400мм, перекрытия ж/б, полы-бетонные, этажность - 1</t>
  </si>
  <si>
    <t>кв-л А, д. 40</t>
  </si>
  <si>
    <t>03.04.2013; 26.11.2007; 18.02.2020</t>
  </si>
  <si>
    <t>317; 825; 132</t>
  </si>
  <si>
    <t>св-во 22 АВ 368682 от 24.12.2010</t>
  </si>
  <si>
    <t>Литер Б1. Отдельно стоящее здание хоз.корпуса. Фундамент ленточный бетонный, стены бетонные, крупно-блочные толщина 400мм, перекрытия ж/б, полы-бетонные, этажность - 1</t>
  </si>
  <si>
    <t>03.04.2013; 20.03.2020</t>
  </si>
  <si>
    <t>317; 260</t>
  </si>
  <si>
    <t>1.2.0048</t>
  </si>
  <si>
    <t>22:72:060302:642</t>
  </si>
  <si>
    <t>Здание дет.сада №28</t>
  </si>
  <si>
    <t>инв. № 1010028. Нежилое. Литер А. Этажность - 2</t>
  </si>
  <si>
    <t>Алтайский край, г.Яровое, кв-л А, д. 42</t>
  </si>
  <si>
    <t>св-во 22 АГ 470703 от 07.05.2013</t>
  </si>
  <si>
    <t>1.2.0049</t>
  </si>
  <si>
    <t>22:72:050203:45</t>
  </si>
  <si>
    <t>Детский сад</t>
  </si>
  <si>
    <t xml:space="preserve"> инв. № 1010031. Литер А. Нежилое. Общая площадь -2305,5 м2. Стены - кирпич.  Этажность - 2</t>
  </si>
  <si>
    <t>Алтайский край, г.Яровое, кв-л А, д. 13</t>
  </si>
  <si>
    <t>св-во 22 АГ 468756 от 29.03.2013</t>
  </si>
  <si>
    <t>1.2.0050</t>
  </si>
  <si>
    <t xml:space="preserve"> инв. № 1010032. Литер А1. Прачечная S = 172,4 м2. </t>
  </si>
  <si>
    <t>1.2.0051</t>
  </si>
  <si>
    <t>инв. № 1010033. 1 этаж - бассейн S = 59,4 м2 (помещение 85).</t>
  </si>
  <si>
    <t>1.2.0052</t>
  </si>
  <si>
    <t>22:72:060201:1513</t>
  </si>
  <si>
    <t xml:space="preserve"> инв. № 1010034. Нежилое. Литеры А,А1,Б,Г,З,И,Л,М,Н,К,П,О.   Стены-кирпич. Этажность - 2 </t>
  </si>
  <si>
    <t>Алтайский край, г.Яровое, кв-л В, д. 32</t>
  </si>
  <si>
    <t>св-во 22 АГ 469979 от 29.04.2013</t>
  </si>
  <si>
    <t>1.2.0053</t>
  </si>
  <si>
    <t xml:space="preserve"> инв. № 1010035. Подсобный корпус S=80,3 м2, стены - кирпич.</t>
  </si>
  <si>
    <t>1.2.0054</t>
  </si>
  <si>
    <t>инв. № 1010036. Литер  А (1 эт.) - пом.1 бассейна S=59,2 м2; стены-кирпич.</t>
  </si>
  <si>
    <t>1.2.0055</t>
  </si>
  <si>
    <t>22:72:060403:860</t>
  </si>
  <si>
    <t>Нежилое здание</t>
  </si>
  <si>
    <t>инв. № 1010024. Нежилое. Литер А. Стены кирпич, крыша - шифер. Этажность - 2</t>
  </si>
  <si>
    <t>г.Яровое, кв-л Б, д. 37</t>
  </si>
  <si>
    <t>св-во 22 АГ 468757 от 29.03.2013</t>
  </si>
  <si>
    <t>1.2.0056</t>
  </si>
  <si>
    <t>инв. № 01100092. Литер А. Склад S = 55,0 м2.</t>
  </si>
  <si>
    <t>кв-л Б, д. 37</t>
  </si>
  <si>
    <t>1.2.0064</t>
  </si>
  <si>
    <t>22:72:080202:52</t>
  </si>
  <si>
    <t>Спорткорпус</t>
  </si>
  <si>
    <t>06-1971</t>
  </si>
  <si>
    <t xml:space="preserve"> инв. № 01010001.  Этажность - 4,  в т.ч. 1 подземный</t>
  </si>
  <si>
    <t>Российская Федерация, Алтайский край, г.Яровое, ул. Гагарина, д.1</t>
  </si>
  <si>
    <t>МБУ СП  "Спортивная школа" г.Яровое</t>
  </si>
  <si>
    <t>14.11.2007; 20.03.2020</t>
  </si>
  <si>
    <t>807; 260</t>
  </si>
  <si>
    <t xml:space="preserve">решение МС СНД </t>
  </si>
  <si>
    <t>Выписка ЕГРН от 22.11.2019 № 22:72:080202:52-22/024/2019-1; от 23.12.2019 № 22:72:080202:52-22/024/2019-2</t>
  </si>
  <si>
    <t>1.2.0065</t>
  </si>
  <si>
    <t>Бытовое помещение спорткорпуса "Химик"</t>
  </si>
  <si>
    <t>12-1965</t>
  </si>
  <si>
    <t>инв. № 01010002.  Этажность - 1</t>
  </si>
  <si>
    <t>ул. Гагарина, 1</t>
  </si>
  <si>
    <t>1.2.0066</t>
  </si>
  <si>
    <t>инв. № 01010003. (перестроено в гараж) спорткомплекса "Химик". Этажность - 1</t>
  </si>
  <si>
    <t>1.2.0067</t>
  </si>
  <si>
    <t xml:space="preserve">Кассы продажи билетов с входными воротами стадиона </t>
  </si>
  <si>
    <t xml:space="preserve">инв. № 01010004, 01010006. количество объектов - 2; этажность - 1. Ремонт 09-2016: усиление и ремонт входных ворот, ремонт ограждения стадиона </t>
  </si>
  <si>
    <t>14.11.2007; 30.12.2016</t>
  </si>
  <si>
    <t>807; 1399</t>
  </si>
  <si>
    <t xml:space="preserve">решение МС СНД; контракт на выполнение работ </t>
  </si>
  <si>
    <t>06.08.1993; 22.09.2016</t>
  </si>
  <si>
    <t>41; 6120160008</t>
  </si>
  <si>
    <t>1.2.0070</t>
  </si>
  <si>
    <t>22:72:090202:20</t>
  </si>
  <si>
    <t>Административное здание</t>
  </si>
  <si>
    <t xml:space="preserve">Нежилое. Стены-кирпич; этажность - 4.                                                             Аренда: МУП "ЯТЭК" - 28,29 кв.м.; Сибирский филиал ППК "Роскадастр" - 14,18 кв.м. Безвозмездное пользование: Администрация г.Яровое (ВУС) - 23,5 кв.м (каб.№410); Комитет по финансам, налоговой и кредитной политике - 77,9 кв.м (каб.№№ 62,63,64,65, МОП); Алтайкрайстат - 27,23 кв.м (пом.70, МОП); Комитет по культуре, спорту и молодежной политике - 130,0 кв.м (каб.№№ 94,98,100- 103, 108, МОП); МКУ Контрольно-счетная палата города Яровое АК - 23,5 кв.м (каб.№305а); Комитет по образованию - 282,91 кв.м (каб.№№ 104, 105, 106, 99, 76, 77, 78, 79, 80, 81, 82, 83, 84, 86, МОП ); Избирательная комиссия АК - 21,0 кв.м (каб.7); </t>
  </si>
  <si>
    <t>Алтайский край г.Яровое, ул.Гагарина,7</t>
  </si>
  <si>
    <t xml:space="preserve">Администрация города Яровое </t>
  </si>
  <si>
    <t>оперативное управление/ безвозмездное пользование</t>
  </si>
  <si>
    <t>26.11.2007; 14.03.2016; 11.02.2020</t>
  </si>
  <si>
    <t>827; 229; 121</t>
  </si>
  <si>
    <t>21.06.2002 (здание)</t>
  </si>
  <si>
    <t xml:space="preserve">св-во 22 АБ 176101  от 19.10.2007   </t>
  </si>
  <si>
    <t>22:72:090202:19</t>
  </si>
  <si>
    <t xml:space="preserve">Гаражный бокс </t>
  </si>
  <si>
    <t>Этажность - 1.                              Аренда: Рег.управление № 81 ФМБА России (бокс №2)- 20,3 м.кв.                     Безвозмездное пользование: МБУ "Инфоцентр г.Яровое" нежилое пом.№ 10 - 20,3 кв.м; Комитет администрации г.Яровое по образованию бокс № 12 - 25,10 кв.м, бокс №7 - 20 кв.м, бокс № 9 - 20,35 кв.м; КГБУ "Яровской цетр помощи детям, оставшимся без попечения родителей" бокс № 9 площ. 20,35, № 12 площ. 25,10 кв.м</t>
  </si>
  <si>
    <t>Алтайский край г.Яровое, ул.Гагарина,7 (гараж № 7)</t>
  </si>
  <si>
    <t>26.11.2007; 11.02.2020</t>
  </si>
  <si>
    <t>827; 121</t>
  </si>
  <si>
    <t>09.02.2004     (гараж);</t>
  </si>
  <si>
    <t xml:space="preserve">св-во 22 АА 058791 от 28.02.2005 </t>
  </si>
  <si>
    <t>1.2.0074</t>
  </si>
  <si>
    <t>22:72:070502:152</t>
  </si>
  <si>
    <t>Гараж</t>
  </si>
  <si>
    <t>12 - 1973</t>
  </si>
  <si>
    <t>инв.10102207. Литер Б, Б1. Фундамент бетонный, стены кирпичные,перекрытия ж/б, крыша рулонная, этажность - 1</t>
  </si>
  <si>
    <t>ул. Алтайская, 39</t>
  </si>
  <si>
    <t>11.04.2014; 27.03.2020; 02.05.2017</t>
  </si>
  <si>
    <t>331; 280;     37-юр</t>
  </si>
  <si>
    <t xml:space="preserve">постановление ГСД </t>
  </si>
  <si>
    <t>22/13-791023 от 19.12.2013</t>
  </si>
  <si>
    <t>Выписка из ЕГРН от 19.05.2014 № 22-22-29/006/2014-624 (Муниципальная собственность)</t>
  </si>
  <si>
    <t>1.2.0075.К</t>
  </si>
  <si>
    <t>22:72:070502:168</t>
  </si>
  <si>
    <t>Здание конторы</t>
  </si>
  <si>
    <t>инв.10102208. Литер А. Фундамент бетонный ленточный, перекрытия ж/б, стены кирпичные, крыша шиферная, этажность - 1</t>
  </si>
  <si>
    <t>г.Яровое, ул. Алтайская, 39</t>
  </si>
  <si>
    <t xml:space="preserve">договор аренды, д/с </t>
  </si>
  <si>
    <t xml:space="preserve">12.08.2013; 11.06.2021; </t>
  </si>
  <si>
    <t xml:space="preserve">13-08-18; 21-06-05с; </t>
  </si>
  <si>
    <t>22/13-791135 от 19.12.2013</t>
  </si>
  <si>
    <t>Выписка из ЕГРН от 21.03.2014 № 22-22-29/007/2014-189 (Муниципальная собственность)</t>
  </si>
  <si>
    <t>1.2.0075</t>
  </si>
  <si>
    <t>Литер А. Фундамент бетонный ленточный, перекрытия ж/б, стены кирпичные, крыша шиферная, этажность - 1</t>
  </si>
  <si>
    <t>11.04.2014; 29.04.2016; 27.03.2020</t>
  </si>
  <si>
    <t>331; 383; 280</t>
  </si>
  <si>
    <t>22/13-791135 от 19.12.2013; св-во 22АГ 815782 от 21.03.2014</t>
  </si>
  <si>
    <t xml:space="preserve">Литер А. Фундамент бетонный ленточный, перекрытия ж/б, стены кирпичные, крыша шиферная, этажность - 1 (общая пл. 294,6 кв.м, балансовая ст.-ть 93 786,15 руб., ост. ст.-ть 81803,84 руб.) </t>
  </si>
  <si>
    <t>1.2.0077</t>
  </si>
  <si>
    <t>22:72:080201:35</t>
  </si>
  <si>
    <t>инв. № 89422446. Фундамент-ж/б плиты,стены-кирпич,  крыша-толевая на битумной основе, этажность -2</t>
  </si>
  <si>
    <t>ул.Заводская, 10</t>
  </si>
  <si>
    <t xml:space="preserve">1073,4  в т.ч. </t>
  </si>
  <si>
    <t>1 734 370,15 в т.ч.</t>
  </si>
  <si>
    <t>796 461,95 в т.ч.</t>
  </si>
  <si>
    <t>937 908,20 в т.ч.</t>
  </si>
  <si>
    <t>технический паспорт</t>
  </si>
  <si>
    <t>Выписка из ЕГРН от 01.06.2020 № 22:72:080201:35-22/024/2020-1 (Муниципальная собственность)</t>
  </si>
  <si>
    <t xml:space="preserve">1.2.0077.К   </t>
  </si>
  <si>
    <t xml:space="preserve"> инв. № 89422446. Фундамент-ж/б плиты,стены-кирпич,  крыша-толевая на битумной основе, этажность -2</t>
  </si>
  <si>
    <t>10-11-28</t>
  </si>
  <si>
    <t>договор аренды; доп.соглашение; постановление</t>
  </si>
  <si>
    <t>29.11.2010; 29.08.2022; 17.10.2022</t>
  </si>
  <si>
    <t>10-11-30; 22-08-07с; 879</t>
  </si>
  <si>
    <t xml:space="preserve">договор аренды; доп.соглашение </t>
  </si>
  <si>
    <t>29.11.2010; 01.08.2019; 26.05.2021</t>
  </si>
  <si>
    <t>10-11-32; 19-08-07с; 21-05-04с</t>
  </si>
  <si>
    <t xml:space="preserve">1.2.0077  </t>
  </si>
  <si>
    <t>26.06.2014; 04.02.2015; 01.04.2020; 29.11.2022</t>
  </si>
  <si>
    <t>597; 153; 300; 1089</t>
  </si>
  <si>
    <t>26.06.2014; 27.03.2020</t>
  </si>
  <si>
    <t>598; 280</t>
  </si>
  <si>
    <t>30.12.2014; 27.03.2020</t>
  </si>
  <si>
    <t xml:space="preserve">договор аренды; </t>
  </si>
  <si>
    <t xml:space="preserve">12.08.2013; </t>
  </si>
  <si>
    <t xml:space="preserve">13-08-18; </t>
  </si>
  <si>
    <t>Сибирское управление федеральной службы по экологическому технологическому и атомному надзору - аренда пом.№ 6 - 16,9 кв.м, пом.№ 11 - 22,8 кв.м и МОП пропорционально занимаемой площади в кабинетах 7,31 кв.м</t>
  </si>
  <si>
    <t xml:space="preserve">01.03.2019; 03.03.2020; 26.02.2021; 02.02.2022;  </t>
  </si>
  <si>
    <t xml:space="preserve">19-03-02; 20-03-04; 21-02-02; 22-02-02; </t>
  </si>
  <si>
    <t>ООО "Техосмотр"</t>
  </si>
  <si>
    <t>22-05-04</t>
  </si>
  <si>
    <t>1.2.0078</t>
  </si>
  <si>
    <t>Здание мастерских</t>
  </si>
  <si>
    <t>инв.№ 89005001. Фундамент-буто-бетон,стены-кирпич,  крыша-рулонная по ж/б плитам, этажность - 1</t>
  </si>
  <si>
    <t>600</t>
  </si>
  <si>
    <t>851,4  в т.ч.</t>
  </si>
  <si>
    <t>610369,58 в т.ч.</t>
  </si>
  <si>
    <t>597</t>
  </si>
  <si>
    <t>1.2.0079</t>
  </si>
  <si>
    <t>Здание склада</t>
  </si>
  <si>
    <t>12 - 1976</t>
  </si>
  <si>
    <t>инв.№ 89005601. Фундамент- бетон ленточный, перекрытия ж/б, стены- кирпич, крыша-толь, пол-бетон, этажность -1</t>
  </si>
  <si>
    <t>678,2  в т.ч.</t>
  </si>
  <si>
    <t>337285,07 в т.ч.</t>
  </si>
  <si>
    <t>290506,01 в т.ч.</t>
  </si>
  <si>
    <t>46779,06 в т.ч.</t>
  </si>
  <si>
    <t>инв. № 89005601. Фундамент- бетон ленточный, перекрытия ж/б, стены- кирпич, крыша-толь, пол-бетон, этажность -1</t>
  </si>
  <si>
    <t xml:space="preserve">22.09.2010; 24.12.2012; 20.06.2013; 26.06.2014 </t>
  </si>
  <si>
    <t>529; 1237; 585; 597</t>
  </si>
  <si>
    <t>1.2.0085</t>
  </si>
  <si>
    <t>22:72:090106:19</t>
  </si>
  <si>
    <t>Бассейн</t>
  </si>
  <si>
    <t>инв. № 01010010. Литер А, А1. Стены - кирпич; стеклоблоки; высота 3м, V-13277 куб.м, этажность - 3</t>
  </si>
  <si>
    <t>ул. Гагарина, 9</t>
  </si>
  <si>
    <t>08.06.2010; 20.03.2020</t>
  </si>
  <si>
    <t>126-р; 260</t>
  </si>
  <si>
    <t>постановление ГСД; Выписка из ЕГРН об объекте недвижимости</t>
  </si>
  <si>
    <t>01.11.2000; 31.03.2022</t>
  </si>
  <si>
    <t>44; 22:72090106:19-22/111/2022-1</t>
  </si>
  <si>
    <t>Выписка из ЕГРН 22-22 29/002/2013-675 от 19.06.2013</t>
  </si>
  <si>
    <t>1.2.0111</t>
  </si>
  <si>
    <t>22:72:040606:213</t>
  </si>
  <si>
    <t>Артезианская скважина № 3601 (25) со зданием</t>
  </si>
  <si>
    <t>10.08.1965</t>
  </si>
  <si>
    <t>инв. № 89017901. Фундамент -бетон, стены-кирпич, кровля-рулон, перекрыт-ж/б, V-103 м3, глубина - 307 м, V-78 м3/час</t>
  </si>
  <si>
    <t>Российская Федерация, Алтайский край, город-ской округ город Яровое, город Яровое, улица Се-верная, дом 2, сооружение 25ск</t>
  </si>
  <si>
    <t>30.12.2014; 23.06.2022</t>
  </si>
  <si>
    <t>1239; 475</t>
  </si>
  <si>
    <t>22:72:040606:213-22/111/2022-1</t>
  </si>
  <si>
    <t>1.2.0112</t>
  </si>
  <si>
    <t>22:72:080201:367</t>
  </si>
  <si>
    <t>Артезианская скважина № 4352 (6) с павильоном</t>
  </si>
  <si>
    <t>09-1972</t>
  </si>
  <si>
    <t>инв. № 89017701. Железный павильон, фунд-бетон, стены-кирпич,  кровля-рулон,  перекрыт-ж/б, пол-цемент, глубина 150 м, щит управления насосом</t>
  </si>
  <si>
    <t>Российская Федерация, Алтайский край, город-ской округ город Яровое, город Яровое, ул. Заводская, сооружение № 6ск</t>
  </si>
  <si>
    <t>22:72:080201:367-22/115/2022-1</t>
  </si>
  <si>
    <t>1.2.0114</t>
  </si>
  <si>
    <t>22:72:080201:366</t>
  </si>
  <si>
    <t>Артезианская скважина № 1106 (9) со зданием</t>
  </si>
  <si>
    <t>1962</t>
  </si>
  <si>
    <t>инв. № 89018001. фунд-бетон, стены-кирпич, кровля-рулон, пол-цемент, перекр-ж/б, глубина -300 м</t>
  </si>
  <si>
    <t>Российская Федерация, Алтайский край, городской округ город Яровое, г.Яровое, ул. Заводская, сооружение 9ск</t>
  </si>
  <si>
    <t>30.12.2014; 12.05.2022</t>
  </si>
  <si>
    <t>1239; 344</t>
  </si>
  <si>
    <t>22:72:080201:366-22/115/2022-1</t>
  </si>
  <si>
    <t>1.2.0115</t>
  </si>
  <si>
    <t>22:72:040606:216</t>
  </si>
  <si>
    <t>Артезианская скважина № Би-215 (32з) с павильоном</t>
  </si>
  <si>
    <t>12-1989</t>
  </si>
  <si>
    <t>инв. № 89018401. Деревянный павильон, V-30куб/час, глубина 154 м.</t>
  </si>
  <si>
    <t>Российская Федерация, Алтайский край, город-ской округ город Яровое, город Яровое, улица Северная, дом 2, сооружение № 32ск</t>
  </si>
  <si>
    <t>30.12.2014; 08.07.2022</t>
  </si>
  <si>
    <t>1239; 523</t>
  </si>
  <si>
    <t>22:72:040606:216-22/115/2022-1</t>
  </si>
  <si>
    <t>1.2.0117</t>
  </si>
  <si>
    <t>22:72:040606:214</t>
  </si>
  <si>
    <t>Артезианская скважина № 4735 (30) с павильоном</t>
  </si>
  <si>
    <t>04-1976</t>
  </si>
  <si>
    <t>инв. № 89018201. Глубина -740 м, V-25 м3/час, самоизлевная</t>
  </si>
  <si>
    <t>Российская Федерация, Алтайский край, город-ской округ город Яровое, город Яровое, улица Се-верная, дом 2, сооружение № 30ск</t>
  </si>
  <si>
    <t>22:72:040606:214-22/111/2022-1</t>
  </si>
  <si>
    <t>1.2.0118</t>
  </si>
  <si>
    <t>22:72:020202:576</t>
  </si>
  <si>
    <t>Скважина № 35</t>
  </si>
  <si>
    <t>08.06.1973</t>
  </si>
  <si>
    <t>инв. № 89018101. Глубина - 302 м, V-78 м3/час</t>
  </si>
  <si>
    <t>Российская Федерация, Алтайский край, г.Яровое, Северная магистраль</t>
  </si>
  <si>
    <t>1239; 280</t>
  </si>
  <si>
    <t>Выиска ЕГРН</t>
  </si>
  <si>
    <t>22-22-29/002/2013-693</t>
  </si>
  <si>
    <t>свидетельство 22 АГ 471916 от 20.06.2013</t>
  </si>
  <si>
    <t>Выписка из ЕГРН 20.06.2013 № 22-22-29/002/2013-693 (Муниципальная собственность)</t>
  </si>
  <si>
    <t>1.2.0119</t>
  </si>
  <si>
    <t>22:72:070108:251</t>
  </si>
  <si>
    <t>Артезианская скважина № 4732 (38) с павильоном</t>
  </si>
  <si>
    <t>инв. № 89018501. Глубина - 307 м, V-70 м3/час</t>
  </si>
  <si>
    <t>Российская Федерация, Алтайский край, городской округ город Яровое, город Яровое, улица Северная, сооружение № 38ск</t>
  </si>
  <si>
    <t>30.12.2014; 05.08.2022</t>
  </si>
  <si>
    <t>1239; 599</t>
  </si>
  <si>
    <t>22:72:070108:251-22/123/2022-1</t>
  </si>
  <si>
    <t>Выиска из ЕГРН от 18.07.2022 № 22:72:070108:251-22/123/2022-1</t>
  </si>
  <si>
    <t>1.2.0122</t>
  </si>
  <si>
    <t>22:72:090106:23</t>
  </si>
  <si>
    <t>инв. № 01010008. Фундамент -бетонный, стены- кирпич, кровля - толевая. Склад, хранилище - 45,4 м2; мастерская - 26,6 м2; гараж - 40,8 м2; мастерская - 41,7 м2; гараж - 26,1 м2</t>
  </si>
  <si>
    <t>ул. Гагарина, 9а</t>
  </si>
  <si>
    <t>26.01.2011; 20.03.2020</t>
  </si>
  <si>
    <t>56; 260</t>
  </si>
  <si>
    <t>13.10.2004; 06.10.2004</t>
  </si>
  <si>
    <t>800; 772</t>
  </si>
  <si>
    <t>св-во 22 ВИ 752937 от 20.01.2005; Выписка из ЕГРН 22-01/40-5/2005-18 от 20.01.2005; 22:72:090106:23-22/115/2022-1 от 20.04.2022</t>
  </si>
  <si>
    <t>1.2.0131</t>
  </si>
  <si>
    <t>Здание гаража</t>
  </si>
  <si>
    <t>02-1988</t>
  </si>
  <si>
    <t>Фундамент- бетон ленточный, перекрытия ж/б, стены- кирпич, крыша-толь, пол-бетон, этажность -1</t>
  </si>
  <si>
    <t>2186,5 в т.ч.</t>
  </si>
  <si>
    <t>1030000, в т.ч.</t>
  </si>
  <si>
    <t>647324,16 в т.ч.</t>
  </si>
  <si>
    <t>1.2.0139</t>
  </si>
  <si>
    <t>22:72:060401:22</t>
  </si>
  <si>
    <t xml:space="preserve">Здание </t>
  </si>
  <si>
    <t>Литер А. Фундамент - бетонные блоки, стены кирпичные, перекрытия ж/б, кровля-рулонная, этажность - 2</t>
  </si>
  <si>
    <t>г.Яровое, кв-л Б, д. 35</t>
  </si>
  <si>
    <t>07.02.2011; 18.02.2020</t>
  </si>
  <si>
    <t>77; 132</t>
  </si>
  <si>
    <t>решение МС Яровского поселкового совета; распоряжение</t>
  </si>
  <si>
    <t>31.03.1992  30.09.2009</t>
  </si>
  <si>
    <t>7; 158-р</t>
  </si>
  <si>
    <t>св-во 22 АВ 065975 от 21.12.2009</t>
  </si>
  <si>
    <t>1.2.0140</t>
  </si>
  <si>
    <t>22:72:060401:23</t>
  </si>
  <si>
    <t>Литер Б. Фундамент - бетонные блоки, стены кирпичные, перекрытия ж/б, кровля-рулонная, этажность - 2</t>
  </si>
  <si>
    <t>св-во 22 АВ 065976 от 21.12.2009</t>
  </si>
  <si>
    <t>1.2.0143</t>
  </si>
  <si>
    <t>Трансформаторная подстанция №291</t>
  </si>
  <si>
    <t>1971</t>
  </si>
  <si>
    <t>с распред.устройством 0,4кВ, 4 плиты 6,3*1,2,  фундамент ленточный бетонный, стены кирпичные, перекрытие ж/б плиты, покрытие рубероид, высота до плиты с краю 3,6м, высота до плиты в центре 3,8м, аппаратура для включения наружного освещения с прибором учета</t>
  </si>
  <si>
    <t>ул.Гагарина,14</t>
  </si>
  <si>
    <t xml:space="preserve">распоряжение Администрации Алтайского края; акт приема-передачи; постановление ГСД </t>
  </si>
  <si>
    <t>24.09.2005; 29.06.2006; 16.12.2004</t>
  </si>
  <si>
    <t>668-р; 72</t>
  </si>
  <si>
    <t>1.2.0150</t>
  </si>
  <si>
    <t>22:72:070202:33</t>
  </si>
  <si>
    <t xml:space="preserve">Артезианская 
скважина №2 с павильоном
</t>
  </si>
  <si>
    <t>инв. № 89422459. Стены - кирпич, перекрытие плитами ж/б, глубина  - 154м. Оценка 2012г. (лит. С/В, С/15 (водозабор))</t>
  </si>
  <si>
    <t xml:space="preserve">Российская Федерация, Алтайский край,                     городской округ город Яровое, город Яровое, улица Северная, дом 2, сооружение 2ск </t>
  </si>
  <si>
    <t>хозяйственное ведение (уставный фонд)</t>
  </si>
  <si>
    <t>30.12.2014; 23.08.2017; 06.12.2022</t>
  </si>
  <si>
    <t>1239; 787; 1123</t>
  </si>
  <si>
    <t>св-во 22 АГ 408997 от 14.06.2012</t>
  </si>
  <si>
    <t xml:space="preserve">Выписка из ЕГРН от 14.06.2012 № 22-22-29/003/2012-419 (Муниципальная собственность); от 01.12.2022 № КУВИ -001/2022-212858758(присв.адреса)
</t>
  </si>
  <si>
    <t>1.2.0151</t>
  </si>
  <si>
    <t>22:72:070203:15</t>
  </si>
  <si>
    <t xml:space="preserve">Артезианская 
скважина №1 с павильоном
</t>
  </si>
  <si>
    <t>Инв. № 89422460. Стены - кирпич, перекрытие плитами ж/б, глубина 298м. Оценка 2012г. (лит. С/Б, С/14 (водозабор))</t>
  </si>
  <si>
    <t xml:space="preserve">Российская Федерация, Алтайский край,                         городской округ город Яровое, г Яровое, ул Северная, д.  2, соор. 1ск </t>
  </si>
  <si>
    <t>30.12.2014; 23.08.2017; 27.03.2020; 06.12.2022</t>
  </si>
  <si>
    <t>1239; 787; 280; 1123</t>
  </si>
  <si>
    <t>20.03.2012; св-во 22 АГ 408996 от 14.06.2012</t>
  </si>
  <si>
    <t>Выписка из ЕГРН от 14.06.2012 № 22-22-29/002/2012-418 (Муниципальная собственность); от 01.12.2022 № КУВИ -001/2022-212858206 (присв.адреса)</t>
  </si>
  <si>
    <t>1.2.0170</t>
  </si>
  <si>
    <t>22:72:090106:256</t>
  </si>
  <si>
    <t>Канализационная насосная станция КНС-4</t>
  </si>
  <si>
    <t>строение надземное-подземное, фундамент-сборный ж/б, стены -кирпич, перекрытие-плиты ж/б, кровля мягкая, ёмкость V-18 м3; протяженность 21</t>
  </si>
  <si>
    <t>Российская Федерация, Алтайский край, городской округ город Яровое, город Яровое, ул. Гагарина, сооружение 9/КНС4 (на территории бассейна "Нептун")</t>
  </si>
  <si>
    <t>30.12.2014; 20.10.2021</t>
  </si>
  <si>
    <t>1239; 769</t>
  </si>
  <si>
    <t>Выписка из ЕГРН от 10.09.2021 № 22:72:090106:256-22/135/2021-1 (Муниципальная собственность)</t>
  </si>
  <si>
    <t>1.2.0171</t>
  </si>
  <si>
    <t>Наблюдательная скважина №4432/36</t>
  </si>
  <si>
    <t>1973</t>
  </si>
  <si>
    <t>глубина 152 м</t>
  </si>
  <si>
    <t>западнее водозабора по ул.Северная</t>
  </si>
  <si>
    <t>1.2.0172</t>
  </si>
  <si>
    <t>22:72:090203:359</t>
  </si>
  <si>
    <t>Наблюдательная скважина   №3813/28</t>
  </si>
  <si>
    <t>1966</t>
  </si>
  <si>
    <t>глубина 66 м</t>
  </si>
  <si>
    <t>Российская Федерация, Алтайский край, городской округ город Яровое, город Яровое, улица Гагарина, строение 5а, сооружение №28ск</t>
  </si>
  <si>
    <t>30.12.2014; 16.11.2022</t>
  </si>
  <si>
    <t>1239; 1041</t>
  </si>
  <si>
    <t>постановление; выписка ЕГРН</t>
  </si>
  <si>
    <t xml:space="preserve">22.05.2013; 01.11.2022 </t>
  </si>
  <si>
    <t>466; 22:72:090203:359-22/140/2022-1</t>
  </si>
  <si>
    <t>1.2.0173</t>
  </si>
  <si>
    <t>22:72:070501:108</t>
  </si>
  <si>
    <t>Помещение</t>
  </si>
  <si>
    <t>Литер А. 28/49 доли в  праве  общей долевой собственности на нежилое помещение в здании,28/49 доли от общей площадью 342,6 кв.м. Этажность - 2 (1 этаж). Здание и перегородки - кирпич, перекрытия ж/б, отопление, водопровод, канализация -централизованная, фундамент -бетон</t>
  </si>
  <si>
    <t>г.Яровое, ул. Пушкина, д.2а</t>
  </si>
  <si>
    <t>19.09.2018; 27.03.2020; 24.05.2022</t>
  </si>
  <si>
    <t>898; 280; 380</t>
  </si>
  <si>
    <t>постановление ГСД; распоряжение</t>
  </si>
  <si>
    <t>01.11.2000, 26.06.2009</t>
  </si>
  <si>
    <t>44; 104-р</t>
  </si>
  <si>
    <t>св-во 22АГ 643611 от 30.09.2013</t>
  </si>
  <si>
    <t>Выписка из ЕГРН от 30.09.2013 № 22:72:29/031/2013-18 (Муниципальная собственность)</t>
  </si>
  <si>
    <t>1.2.0175</t>
  </si>
  <si>
    <t>22:72:060302:1316</t>
  </si>
  <si>
    <t>Канализационная насосная станция КНС-1</t>
  </si>
  <si>
    <t>12-1980</t>
  </si>
  <si>
    <t>инв. № 89057702 (оценка 2011). Строение надземное - подземное, фундамент - сборный ж/б, стены -камень силикатный, перекрытие-плиты ж/б, кровля мягкая, ёмкость V-25 м3, V здания - 803 м3, S здания - 95,5 м2, протяженность 25м.</t>
  </si>
  <si>
    <t>Российская Федерация, Алтайский край, городской округ город Яровое, г Яровое, кв-л А, соор. 36/КНС1</t>
  </si>
  <si>
    <t xml:space="preserve">30.12.2014; 10.03.2022 </t>
  </si>
  <si>
    <t>1239; 177</t>
  </si>
  <si>
    <t>Выписка из ЕГРН от 02.03.2022 № 22:72:060302:1316-22/132/2022-1 (Муниципальная собственность)</t>
  </si>
  <si>
    <t>1.2.0176</t>
  </si>
  <si>
    <t>22:72:080102:225</t>
  </si>
  <si>
    <t>Канализационная насосная станция КНС-2 со встроенной  ТП-214</t>
  </si>
  <si>
    <t>инв. № 89057602 (оценка 2011). Строение надземное -подземное, фундамент - сборный ж/б, стены -камень силикатный, перекрытие-плиты ж/б, кровля мягкая, ёмкость V-90 м3, V здания-10624 м3, S здания - 169 м2</t>
  </si>
  <si>
    <t>Российская Федерация, Алтайский край, городской округ город Яровое, город Яровое, ул. Кулундинская, сооружение1/КНС2</t>
  </si>
  <si>
    <t>30.12.2014; 11.02.2022</t>
  </si>
  <si>
    <t>1239; 108</t>
  </si>
  <si>
    <t>Выписка из ЕГРН от 10.01.2022 № 22:72:080102:25-22/136/2022-1(Муниципальная собственность)</t>
  </si>
  <si>
    <t>1.2.0177</t>
  </si>
  <si>
    <t>22:72:080202:314</t>
  </si>
  <si>
    <t>Канализационная насосная станция КНС-3</t>
  </si>
  <si>
    <t>05-1968</t>
  </si>
  <si>
    <t>инв. № 89057502 (оценка 2011). Строение надземное -подземное, фундамент - ленточный, стены -кирпич керамический, перекрытие - плиты ж/б, кровля мягкая, ёмкость V-16 м3, V здания -232 м3, протяженность 9м</t>
  </si>
  <si>
    <t>Российская Федерация, Алтайский край, городской округ город Яровое, город Яровое, улица Гагарина, сооружение 1/КНС3 (территория бывшего ОРСа)</t>
  </si>
  <si>
    <t>30.12.2014; 30.11.2021</t>
  </si>
  <si>
    <t>1239; 873</t>
  </si>
  <si>
    <t>Выписка из ЕГРН от 30.11.2021 № 22:72:080202:314-22/123/2021-11 (Муниципальная собственность)</t>
  </si>
  <si>
    <t>1.2.0178</t>
  </si>
  <si>
    <t>22:72:090106:257</t>
  </si>
  <si>
    <t>Канализационная насосная станция КНС-5</t>
  </si>
  <si>
    <t>инв. № 89017601 (оценка 2011). Строение надземное - подземное, фундамент - ленточный, стены - кирпич керамический, перекрытие-плиты ж/б, кровля мягкая, ёмкость V - 12м3, V здания - 190 м3, протяженность 10 м</t>
  </si>
  <si>
    <t>Российская Федерация, Алтайский край, городской округ город Яровое, город Яровое, улица Гагарина, сооружение11/КНС5 (территория МСЧ-128)</t>
  </si>
  <si>
    <t>Выписка из ЕГРН от 22.11.2021 № 22:72:090106:257-22/115/2021-1 (Муниципальная собственность)</t>
  </si>
  <si>
    <t>1.2.0183</t>
  </si>
  <si>
    <t>22:72:020202:350</t>
  </si>
  <si>
    <t>Здание - корпус 10</t>
  </si>
  <si>
    <t>г. Яровое, пл.Предзаводская,2</t>
  </si>
  <si>
    <t>26.02.2015; 27.03.2020</t>
  </si>
  <si>
    <t>14.11.2014; 11.12.2014</t>
  </si>
  <si>
    <t>свидетельство 22АД 672637 от 28.10.2015</t>
  </si>
  <si>
    <t>Выписка из ЕГРН от 28.10.2015 № 22-22/029-22/029/001/2015-6360/2 (Муниципальная собственность) Выписка из ЕГРН от 21.01.2019 № 22:72:020202:350-22/024/2019-1 (хоз.ведение МУП ЯТЭК)</t>
  </si>
  <si>
    <t>1.2.0193</t>
  </si>
  <si>
    <t>Трансформаторная подстанция КТП 6/04 (47006807)</t>
  </si>
  <si>
    <t xml:space="preserve">инв.10000388. Металлическое, кустарного производства. Размеры 2000х2000х2000 </t>
  </si>
  <si>
    <t xml:space="preserve">пл.Предзаводская, 2 (КТПН-111) к.10 </t>
  </si>
  <si>
    <t>1.2.0194</t>
  </si>
  <si>
    <t>Подстанция КТП 400 (47015307)</t>
  </si>
  <si>
    <t>1977</t>
  </si>
  <si>
    <t>инв.10000418. Металлический корпус киоскового типа, размеры 2430х2470х2500мм, фундамент ж/б плиты (2 шт.)</t>
  </si>
  <si>
    <t>Учхоз (КТПН-295)</t>
  </si>
  <si>
    <t>1.2.0196</t>
  </si>
  <si>
    <t>Трансформаторная подстанция КТП 630-6/0,4 ТП 3 (47068407)</t>
  </si>
  <si>
    <t>инв.10000653. Комплектная, без трансформатора</t>
  </si>
  <si>
    <t>пл.Предзаводская, 2 (ТП-3 встроенная в ЦРП-7)</t>
  </si>
  <si>
    <t>1.2.0197</t>
  </si>
  <si>
    <t>Подстанция КТПН72-212   (47059507)</t>
  </si>
  <si>
    <t>инв.10000521. Металлический корпус киоскового типа, размеры 2430х2470х2500мм, фундамент ж/б плиты (2 шт.)</t>
  </si>
  <si>
    <t>ул. Заводская, 10, КТПН-212</t>
  </si>
  <si>
    <t>1.2.0198</t>
  </si>
  <si>
    <t>Подстанция КТПН72-288 (47039607)</t>
  </si>
  <si>
    <t>инв.10000522. Металлический корпус киоскового типа, размеры 2430х2470х2500мм, фундамент ж/б плиты (2 шт.)</t>
  </si>
  <si>
    <t>ул. Пушкина, 74</t>
  </si>
  <si>
    <t>1.2.0199</t>
  </si>
  <si>
    <t>Трансформаторная подстанция КТПН-630 ТП-101 (47044507)</t>
  </si>
  <si>
    <t>1979</t>
  </si>
  <si>
    <t>инв.10000535. Металлический корпус киоскового типа, размеры 2430х2470х2500мм, фундамент ж/б плиты (2 шт.)</t>
  </si>
  <si>
    <t>ул.Заводская, дачи</t>
  </si>
  <si>
    <t>1.2.0200</t>
  </si>
  <si>
    <t>Трансформаторная подстанция КТПН-400, ТП-290 (47067407)</t>
  </si>
  <si>
    <t>инв.10000644. Металлический корпус киоскового типа, размеры 2430х2470х2500мм, фундамент ж/б плиты (2 шт.)</t>
  </si>
  <si>
    <t>ул.40 лет Октября, ТП-290</t>
  </si>
  <si>
    <t>1.2.0201</t>
  </si>
  <si>
    <t>Трансформаторная подстанция КТПН-248 (47035907)</t>
  </si>
  <si>
    <t>инв.10000501. Металлический корпус киоскового типа, размеры 2430х2470х2500мм, фундамент ж/б плиты (2 шт.)</t>
  </si>
  <si>
    <t xml:space="preserve"> ул.Солнечная</t>
  </si>
  <si>
    <t>1.2.0202</t>
  </si>
  <si>
    <t>Трансформаторная подстанция КТПН-115 дачи (47036007)</t>
  </si>
  <si>
    <t>инв.10000502. Металлический корпус киоскового типа, размеры 2430х2470х2500мм, фундамент ж/б плиты (2 шт.)</t>
  </si>
  <si>
    <t>р-он СНТ "Химик", КТПН 115</t>
  </si>
  <si>
    <t>1.2.0203</t>
  </si>
  <si>
    <t>Трансформаторная подстанция КТПН-106 дачи (47036207)</t>
  </si>
  <si>
    <t>инв.10000504. Металлический корпус киоскового типа, размеры 2430х2470х2500мм, фундамент ж/б плиты (2 шт.)</t>
  </si>
  <si>
    <t>р-он СНТ "Химик", КТПН 106</t>
  </si>
  <si>
    <t>1.2.0204</t>
  </si>
  <si>
    <t>Трансформаторная подстанция КТПН72м-104 дачи (47036407)</t>
  </si>
  <si>
    <t>инв.10000505. Металлический корпус киоскового типа, размеры 2430х2470х2500мм, фундамент ж/б плиты (2 шт.)</t>
  </si>
  <si>
    <t>р-он СНТ "Химик", КТПН-104</t>
  </si>
  <si>
    <t>1.2.0205</t>
  </si>
  <si>
    <t>Трансформаторная подстанция КТПН72м-203 (47036507)</t>
  </si>
  <si>
    <t>инв.10000506. Металлический корпус киоскового типа, размеры 2430х2470х2500мм, фундамент ж/б плиты (2 шт.)</t>
  </si>
  <si>
    <t>ул. Чапаева,  КТПН-203</t>
  </si>
  <si>
    <t>1.2.0206</t>
  </si>
  <si>
    <t>Трансформаторная подстанция КТПН72м-202 (47036607)</t>
  </si>
  <si>
    <t>инв.10000507. Металлический корпус киоскового типа, размеры 2430х2470х2500мм, фундамент ж/б плиты (2 шт.)</t>
  </si>
  <si>
    <t>ул. Чапаева, 2-КТПН-202</t>
  </si>
  <si>
    <t>1.2.0207</t>
  </si>
  <si>
    <t>Трансформаторная подстанция КТПН72м-213 (47036707)</t>
  </si>
  <si>
    <t>инв.10000508. Металлический корпус киоскового типа, размеры 2430х2470х2500мм, фундамент ж/б плиты (2 шт.)</t>
  </si>
  <si>
    <t>ул. Ленина, 19, КТПН-213</t>
  </si>
  <si>
    <t>1.2.0208</t>
  </si>
  <si>
    <t>Трансформаторная подстанция КТПН72м-208 (47036807)</t>
  </si>
  <si>
    <t>инв.10000509. Металлический корпус киоскового типа, размеры 2430х2470х2500мм, фундамент ж/б плиты (2 шт.)</t>
  </si>
  <si>
    <t>ул. Гагарина, 9,   КТПН-208</t>
  </si>
  <si>
    <t>1.2.0209</t>
  </si>
  <si>
    <t xml:space="preserve">22:72:020202:669 </t>
  </si>
  <si>
    <t>Корпус 263 БОС - насосная</t>
  </si>
  <si>
    <t xml:space="preserve">Литера М,М1,М2. Этажность - 1. Общая площадь - 1040,2 кв.м (произв.- 530,9 кв.м; бытовое - 14,0 кв.м; коридор - 137,4 кв.м; насосная - 276,9 кв.м; трансформаторная - 81,0 кв.м). Износ -15 %. </t>
  </si>
  <si>
    <t>пл.Предзаводская, д.2</t>
  </si>
  <si>
    <t>01.10.2018; 27.03.2020</t>
  </si>
  <si>
    <t>926; 280</t>
  </si>
  <si>
    <t>свидетельство 22АД 670328 от 25.09.2015</t>
  </si>
  <si>
    <t>Выписка из ЕГРН от 25.09.2015 № 22-22/029-22/029/001/2015-5660/3 (Муниципальная собственность) Выписка из ЕГРН от 12.08.2020 № 22:72:020202:669-22/024/2020-2 (хоз.ведение МУП ЯТЭК)</t>
  </si>
  <si>
    <t>1.2.0210.К</t>
  </si>
  <si>
    <t xml:space="preserve">22:72:020202:638 </t>
  </si>
  <si>
    <t>Корпус 245</t>
  </si>
  <si>
    <t>1965</t>
  </si>
  <si>
    <t xml:space="preserve">Литер Д,Д1,Д2,Д3. Площадь: Литер Д - 1345,0 кв.м; Д1 - 131,0 кв.м; Д2 - 778,10 кв.м; Д3 - 126,30 кв.м. Износ - 50% </t>
  </si>
  <si>
    <t>г.Яровое, пл.Предзаводская, д.2</t>
  </si>
  <si>
    <t>07.07.2015; 15.04.2020</t>
  </si>
  <si>
    <t>592; 320</t>
  </si>
  <si>
    <t>свидетельство 22АД 671673 от 21.09.2015</t>
  </si>
  <si>
    <t>1.2.0211</t>
  </si>
  <si>
    <t xml:space="preserve">22:71:020202:643 </t>
  </si>
  <si>
    <t>Корпус 251</t>
  </si>
  <si>
    <t>Литер А. Этажность - 2 (1 эт. - 703,4 кв.м; 2 эт. - 745,2 кв.м). Износ - 42 %</t>
  </si>
  <si>
    <t>свидетельство 22АД 671674 от 21.09.2015</t>
  </si>
  <si>
    <t>Выписка из ЕГРН от 21.09.2015 № 22-22/029-22/029/001/2015-5710/3 (Муниципальная собственность) Выписка из ЕГРН от 28.09.2020 № 22:72:020202:643-22/140/2020-1 (хоз.ведение МУП ЯТЭК)</t>
  </si>
  <si>
    <t>1.2.0212</t>
  </si>
  <si>
    <t xml:space="preserve">22:72:020202:653 </t>
  </si>
  <si>
    <t>Корпус 133. Станция перекачки дренажных стоков</t>
  </si>
  <si>
    <t>Литер Е. Износ - 40 %</t>
  </si>
  <si>
    <t xml:space="preserve">Выписка из ЕГРН от 21.09.2015 № 22-22/029-22/029/001/2015-5655/3 (Муниципальная собственность) 
Выписка из ЕГРН от 29.09.2020 № 22:72:020202:653-22/140/2020-1 (хоз.ведение МУП ЯТЭК)
</t>
  </si>
  <si>
    <t>1.2.0213</t>
  </si>
  <si>
    <t xml:space="preserve">22:72:020202:652 </t>
  </si>
  <si>
    <t>Корпус 121. Станция насосно - воздуховодная</t>
  </si>
  <si>
    <t>Литера З, З1, З2. Износ: Литер З - 45 %, З1 - 41 %, З2 - 44 %</t>
  </si>
  <si>
    <t>свидетельство 22АД 671696 от 25.09.2015</t>
  </si>
  <si>
    <t>Выписка из ЕГРН от 21.09.2015 № 22-22/029-22/029/001/2015-5653/3 (Муниципальная собственность) Выписка из ЕГРН от 30.09.2020 № 22:72:020202:652-22/140/2020-1 (хоз.ведение МУП ЯТЭК)</t>
  </si>
  <si>
    <t>1.2.0214</t>
  </si>
  <si>
    <t xml:space="preserve">22:72:020202:712 </t>
  </si>
  <si>
    <t>Корпус 120. Станция нейтрализации канализационных стоков</t>
  </si>
  <si>
    <t>Литера В, В1. Износ - 39 %</t>
  </si>
  <si>
    <t>свидетельство 22АД 671699 от 25.09.2015</t>
  </si>
  <si>
    <t>Выписка из ЕГРН от 21.09.2015 № 22-22/029-22/029/001/2015-5656/3 (Муниципальная собственность) Выписка из ЕГРН от 30.09.2020 № 22:72:020202:712-22/140/2020-1 (хоз.ведение МУП ЯТЭК)</t>
  </si>
  <si>
    <t>1.2.0215.К</t>
  </si>
  <si>
    <t xml:space="preserve">22:72:020202:651 </t>
  </si>
  <si>
    <t>Корпус 121-А. Бытовые помещения</t>
  </si>
  <si>
    <t>Литер Б. Износ - 44 %</t>
  </si>
  <si>
    <t>С.И.Шетов</t>
  </si>
  <si>
    <t>постановление; договор аренды нежилого помещения; постановление</t>
  </si>
  <si>
    <t>07.07.2015; 26.10.2018; 20.04.2020</t>
  </si>
  <si>
    <t>592; 18-10-10; 330</t>
  </si>
  <si>
    <t>свидетельство 22АД 671695 от 25.09.2015</t>
  </si>
  <si>
    <t>1.2.0216</t>
  </si>
  <si>
    <t xml:space="preserve">22:72:020202:671 </t>
  </si>
  <si>
    <t>Корпус 134. Иловые площадки</t>
  </si>
  <si>
    <t>Литер 4. Износ - 50 %</t>
  </si>
  <si>
    <t>свидетельство 22АД 671694 от 21.09.2015</t>
  </si>
  <si>
    <t>1.2.0217.К</t>
  </si>
  <si>
    <t xml:space="preserve">22:72:020202:650 </t>
  </si>
  <si>
    <t>Корпус 125. Горизонтальные песколовки</t>
  </si>
  <si>
    <t>Литер 3. Износ - 60%</t>
  </si>
  <si>
    <t>07.07.2015; 20.04.2020</t>
  </si>
  <si>
    <t>592; 330</t>
  </si>
  <si>
    <t>свидетельство 22АД 671700 от 25.09.2015</t>
  </si>
  <si>
    <t>1.2.0218</t>
  </si>
  <si>
    <t xml:space="preserve">22:72:020202:649 </t>
  </si>
  <si>
    <t>Корпус 243. Насосная</t>
  </si>
  <si>
    <t>Литер 18.  Износ - 50 %</t>
  </si>
  <si>
    <t>свидетельство 22АД 671697 от 25.09.2015</t>
  </si>
  <si>
    <t>Выписка из ЕГРН от 21.09.2015 № 22-22/029-22/029/001/2015-5654/3
 (Муниципальная собственность) Выписка из ЕГРН от 15.10.2020 № 22:72:020202:649-22/140/2020-1
 (хоз.ведение МУП ЯТЭК)</t>
  </si>
  <si>
    <t>1.2.0219</t>
  </si>
  <si>
    <t xml:space="preserve">22:72:020202:672 </t>
  </si>
  <si>
    <t>Корпус 96. Станция перекачки</t>
  </si>
  <si>
    <t xml:space="preserve">Литер Л. Износ - 60 % </t>
  </si>
  <si>
    <t>свидетельство 22АД 671692 от 21.09.2015</t>
  </si>
  <si>
    <t>Выписка из ЕГРН от 21.09.2015 № 22-22/029-22/029/001/2015-5671/3
 (Муниципальная собственность) Выписка из ЕГРН от 12.08.2020 № 22:72:020202:672-22/024/2020-2
 (хоз.ведение МУП ЯТЭК)</t>
  </si>
  <si>
    <t>1.2.0220</t>
  </si>
  <si>
    <t xml:space="preserve">22:72:020202:354 </t>
  </si>
  <si>
    <t>Корпус 16 (бытовой)</t>
  </si>
  <si>
    <t>Литер X. Этажность 3. Износ - 41 %</t>
  </si>
  <si>
    <t>свидетельство 22АД 671672 от 21.09.2015</t>
  </si>
  <si>
    <t xml:space="preserve">Выписка из ЕГРН от 21.09.2015 № 22-22/029-22/029/001/2015-5688/3
21.09.2015
 (Муниципальная собственность) </t>
  </si>
  <si>
    <t>1.2.0221</t>
  </si>
  <si>
    <t xml:space="preserve">22:72:020202:345 </t>
  </si>
  <si>
    <t>Склад арочный АС-10 корпус 66</t>
  </si>
  <si>
    <t>Литер У. Этажность - 1. Износ  - 43 %</t>
  </si>
  <si>
    <t>свидетельство 22АД 671714 от 21.09.2015</t>
  </si>
  <si>
    <t xml:space="preserve">Выписка из ЕГРН от 21.09.2015 № 22-22/029-22/029/001/2015-5720/4
 (Муниципальная собственность) </t>
  </si>
  <si>
    <t>1.2.0223</t>
  </si>
  <si>
    <t>22:72:050208:9</t>
  </si>
  <si>
    <t>Здание (спортивный корпус)</t>
  </si>
  <si>
    <t>1981/ 28.04.1982</t>
  </si>
  <si>
    <t>S=1722,20м2; V=9857 м3. Кирпичное, 2-х этажное.</t>
  </si>
  <si>
    <t>Алтайский край, г.Яровое, квартал "А", д.43а</t>
  </si>
  <si>
    <t>20.07.2017; 20.03.2020</t>
  </si>
  <si>
    <t>677; 260</t>
  </si>
  <si>
    <t xml:space="preserve">распоряжение (край); акт приемки-передачи; Выписка ЕГРН </t>
  </si>
  <si>
    <t>20.06.2017; 14.07.2017; 28.03.2022</t>
  </si>
  <si>
    <t>225-р; б/н; 22:72:05020869-22/145/2022-3</t>
  </si>
  <si>
    <t>Выписка из ЕГРН 22:72:050208:9-22/024/2017-2 от 10.07.2017</t>
  </si>
  <si>
    <t>1.2.0224</t>
  </si>
  <si>
    <t>22:72:070502:321</t>
  </si>
  <si>
    <t xml:space="preserve">Помещение </t>
  </si>
  <si>
    <t>11- 1992</t>
  </si>
  <si>
    <t>Нежилое. Этаж № 1.</t>
  </si>
  <si>
    <t>г.Яровое, ул. Алтайская, д.39, пом 1</t>
  </si>
  <si>
    <t>11.04.2014; 08.05.2018; 27.03.2020</t>
  </si>
  <si>
    <t>331; 399; 280</t>
  </si>
  <si>
    <t>22/13-791079 от 19.12.2013</t>
  </si>
  <si>
    <t xml:space="preserve">Выписка из ЕГРН от 16.05.2018 № 22:72:070502:321-22/024/2018-1 (Муниципальная собственность) 
</t>
  </si>
  <si>
    <t>1.2.0225</t>
  </si>
  <si>
    <t>22:72:070502:322</t>
  </si>
  <si>
    <t>г.Яровое, ул. Алтайская, д.39, пом 2</t>
  </si>
  <si>
    <t xml:space="preserve">Выписка из ЕГРН от 16.05.2018 № 22:72:070502:322-22/024/2018-1 (Муниципальная собственность) 
</t>
  </si>
  <si>
    <t>1.2.0226</t>
  </si>
  <si>
    <t>22:72:070502:323</t>
  </si>
  <si>
    <t>г.Яровое, ул. Алтайская, д.39, пом 3</t>
  </si>
  <si>
    <t xml:space="preserve">Выписка из ЕГРН от 17.05.2018 № 22:72:070502:323-22/024/2018-1
(Муниципальная собственность) Выписка из ЕГРН от 25.06.2018 № 22:72:070502:323-22/024/2018-2
 (хоз.ведение МУП ЯТЭК) 
</t>
  </si>
  <si>
    <t>1.2.0227</t>
  </si>
  <si>
    <t>22:72:070502:327</t>
  </si>
  <si>
    <t>г.Яровое, ул. Алтайская, д.39, пом 4</t>
  </si>
  <si>
    <t xml:space="preserve">Выписка из ЕГРН от 23.04.2018 № 22/ИСХ/18-213724; Выписка из ЕГРН от 17.05.2018 № 22:72:070502:327-22/024/2018-1
(Муниципальная собственность) 
</t>
  </si>
  <si>
    <t>1.2.0228</t>
  </si>
  <si>
    <t>22:72:070502:325</t>
  </si>
  <si>
    <t>г.Яровое, ул. Алтайская, д.39, пом 5</t>
  </si>
  <si>
    <r>
      <t xml:space="preserve">Выписка из ЕГРН от 23.04.2018 № 22/ИСХ/18-213725; Выписка из ЕГРН от 17.05.2018 </t>
    </r>
    <r>
      <rPr>
        <i/>
        <sz val="9"/>
        <rFont val="Times New Roman"/>
        <family val="1"/>
        <charset val="204"/>
      </rPr>
      <t xml:space="preserve">№ </t>
    </r>
    <r>
      <rPr>
        <sz val="9"/>
        <rFont val="Times New Roman"/>
        <family val="1"/>
        <charset val="204"/>
      </rPr>
      <t xml:space="preserve">22:72:070502:325-22/024/2018-1 (Муниципальная собственность)
</t>
    </r>
  </si>
  <si>
    <t>1.2.0229</t>
  </si>
  <si>
    <t>22:72:070502:326</t>
  </si>
  <si>
    <t>г.Яровое, ул. Алтайская, д.39, пом 6</t>
  </si>
  <si>
    <t>Выписка из ЕГРП от 23.04.2018 № 22/ИСХ/18-213726; Выписка из ЕГРП от 17.05.2018 № 22:72:070502:326-22/024/2018-1
 (Муниципальная собственность)</t>
  </si>
  <si>
    <t>1.2.0230</t>
  </si>
  <si>
    <t>22:72:070502:324</t>
  </si>
  <si>
    <t>г.Яровое, ул. Алтайская, д.39, пом 7</t>
  </si>
  <si>
    <t>Выписка из ЕГРП от 29.06.2018 № 22/ИСХ/18-213727; Выписка из ЕГРП от 17.05.2018 № 22:72:070502:324-22/024/2018-1 (Муниципальная собственность)</t>
  </si>
  <si>
    <t>1.2.0231</t>
  </si>
  <si>
    <t>22:72:070501:125</t>
  </si>
  <si>
    <t>Нежилое помещение</t>
  </si>
  <si>
    <t>этажность -1,2</t>
  </si>
  <si>
    <t>г.Яровое, ул.Пушкина, д.2а/1</t>
  </si>
  <si>
    <t>распоряжение (край); акт приемки-передачи</t>
  </si>
  <si>
    <t>Выпмска из ЕГРП от 29.06.2018 № 22:72:070501:125-22/024/2018-3; Выписка из ЕГРП от 29.06.2018 № 22:72:070501:125-22/024/2018-3 (Муниципальная собственность)</t>
  </si>
  <si>
    <t>1.2.0233</t>
  </si>
  <si>
    <t>22:72:000000:32</t>
  </si>
  <si>
    <t xml:space="preserve">Главный корпус ТЭЦ (промышленно-отопительная), 
Литер А2
</t>
  </si>
  <si>
    <t>1968</t>
  </si>
  <si>
    <t xml:space="preserve">инв. 10001277. Фундамент – бетонный, 
стены – кирпич, перекрытия -  ЖБИ, 
кровля – мягкая, коммуникации – все.
</t>
  </si>
  <si>
    <t>г. Яровое, Предзаводская пл, 2/19   ТЭЦ</t>
  </si>
  <si>
    <t xml:space="preserve">отчет об оценке рыночной стоимости имущества </t>
  </si>
  <si>
    <t xml:space="preserve"> Выписка из ЕГРН от 07.08.2020 № 22:72:000000:32-22/024/2020-8 (Муниципальная собственность); Выписка из ЕГРН от 07.08.2020 № 222:72:000000:32-22/024/2020-9  (хоз.ведение МУП ЯТЭК)
</t>
  </si>
  <si>
    <t>1.2.0234</t>
  </si>
  <si>
    <t>Главный корпус ТЭЦ 1-я очередь к. 19 (Складское помещение, тепловая электростанция, ТЭЦ, гаражное отделение), Литер А, А1, А6-А10</t>
  </si>
  <si>
    <t>1944</t>
  </si>
  <si>
    <t xml:space="preserve">инв.10001276. Фундамент – бетонный, 
стены – кирпич, перекрытия -  ЖБИ, 
кровля – мягкая, коммуникации – все.
</t>
  </si>
  <si>
    <t>1.2.0235</t>
  </si>
  <si>
    <t xml:space="preserve">Корпус ТЭЦ 3-я очередь щитовая КИП,
Литер А3
</t>
  </si>
  <si>
    <t>1970</t>
  </si>
  <si>
    <t xml:space="preserve">инв.10001279. Фундамент – бетонный, 
стены – кирпич, перекрытия -  ЖБИ, 
кровля – мягкая, коммуникации – все.
</t>
  </si>
  <si>
    <t>1.2.0236</t>
  </si>
  <si>
    <t>Корпус ТЭЦ – лаборатория, Литер 4</t>
  </si>
  <si>
    <t xml:space="preserve">инв.10001280. Фундамент – бетонный, 
стены – кирпич, перекрытия -  ЖБИ, 
кровля – мягкая, коммуникации – все.
</t>
  </si>
  <si>
    <t>1.2.0237</t>
  </si>
  <si>
    <t>Здание механических мастерских к. 19 (корпус обеспылевания), Литер В</t>
  </si>
  <si>
    <t xml:space="preserve">инв.10001284. Фундамент – бетонный, 
стены – кирпич, перекрытия -  ЖБИ, 
кровля – мягкая, коммуникации – все.
</t>
  </si>
  <si>
    <t>1.2.0238</t>
  </si>
  <si>
    <t>Здание химводоочистки к. 7, Литер Г-Г1</t>
  </si>
  <si>
    <t xml:space="preserve">инв. 10001285. Фундамент – бетонный, 
стены – кирпич, перекрытия -  ЖБИ, 
кровля – мягкая, коммуникации – все.
</t>
  </si>
  <si>
    <t xml:space="preserve">г. Яровое, Предзаводская пл, 2/19   </t>
  </si>
  <si>
    <t>1.2.0239</t>
  </si>
  <si>
    <t>Дробильный корпус ТЭЦ 2-я очередь (машинное отделение), литер Д</t>
  </si>
  <si>
    <t>1963</t>
  </si>
  <si>
    <t xml:space="preserve">инв.10001286. Фундамент – бетонный, 
стены – кирпич, перекрытия -  ЖБИ, 
кровля – мягкая, коммуникации – все.
</t>
  </si>
  <si>
    <t>1.2.0240</t>
  </si>
  <si>
    <t>Главный корпус ТЭЦ 2-я очередь к. 19 (бытовой корпус, переходная галерея), Литер Е-Е2</t>
  </si>
  <si>
    <t>1978</t>
  </si>
  <si>
    <t xml:space="preserve">инв.10001287. Фундамент – бетонный, 
стены – кирпич, перекрытия -  ЖБИ, 
кровля – мягкая, коммуникации – все.
</t>
  </si>
  <si>
    <t>1.2.0241</t>
  </si>
  <si>
    <t>Дробильный корпус ТЭЦ 3-я очередь углепо-дача (дробиль-ное отделение), Литер Ж</t>
  </si>
  <si>
    <t xml:space="preserve">инв.10001288. Фундамент – бетонный, 
стены – кирпич, перекрытия -  ЖБИ, 
кровля – мягкая, коммуникации – все.
</t>
  </si>
  <si>
    <t>1.2.0242</t>
  </si>
  <si>
    <t>Часть нежилого строения корпус 41 приемное устройство (тепляк для угля и мазута), Литер И, И1, И2, И3</t>
  </si>
  <si>
    <t xml:space="preserve">инв.13601353. Фундамент – бетонный, стены – кирпич, перекрытия -  ЖБИ, кровля – мягкая, коммуникации – все.
</t>
  </si>
  <si>
    <t>1.2.0243</t>
  </si>
  <si>
    <t xml:space="preserve">Здание мазутного хозяйства к. 85 (мазутное отделение), Литер К, К1
</t>
  </si>
  <si>
    <t xml:space="preserve">инв.10001292. Фундамент – бетонный, 
стены – кирпич, перекрытия -  ЖБИ, 
кровля – мягкая, коммуникации – все.
 подвал 98,6 м2
стены – кирпич, перекрытия -  ЖБИ, 
кровля – мягкая, коммуникации – все.
</t>
  </si>
  <si>
    <t>1.2.0244</t>
  </si>
  <si>
    <t>22:72:090203:28</t>
  </si>
  <si>
    <t>Стадион, раздевалка</t>
  </si>
  <si>
    <t>1964</t>
  </si>
  <si>
    <t>1 этаж,</t>
  </si>
  <si>
    <t>Алтайский край, г.Яровое, ул. Гагарина, д.1</t>
  </si>
  <si>
    <t>02.02.2022; 21.02.2022</t>
  </si>
  <si>
    <t>86; 128</t>
  </si>
  <si>
    <t xml:space="preserve">Выписка из ЕГРН об основных характеристиках и зарегистрированных правах на объект недвижимости </t>
  </si>
  <si>
    <t>22:72:090203:28-22/111/2022-2</t>
  </si>
  <si>
    <t>1.2.0245</t>
  </si>
  <si>
    <t xml:space="preserve">Здание складское </t>
  </si>
  <si>
    <t>1969</t>
  </si>
  <si>
    <t>1 этаж, Литер Г, нежилое здание 1969 года постройки, стены и наружная отделка – железобетонные, перекрытия – ж/бетонные, фундамент бетонный, полы – бетонные, крыша – рулонная</t>
  </si>
  <si>
    <t>Алтайский край, г.Яровое, ул. Заводская, 10</t>
  </si>
  <si>
    <t>18.05.2022; 07.07.2022; 23.12.2022</t>
  </si>
  <si>
    <t>358; 519; 1208</t>
  </si>
  <si>
    <t xml:space="preserve">Акт инвентаризации (копия в Пульс про) </t>
  </si>
  <si>
    <t>1.2.0246</t>
  </si>
  <si>
    <t>1 этаж, Литер Д, нежилое здание 1969 года постройки, стены и наружная отделка – кирпичные, перекрытия – ж/бетонные, фундамент бетонный, полы – бетонные, крыша – рулонная</t>
  </si>
  <si>
    <t>1.2.0247</t>
  </si>
  <si>
    <t>1 этаж, Литер В, нежилое здание 1968 года постройки, стены и наружная отделка – шлакобетонные, перекрытия – деревянные, фундамент бетонный, полы – бетонные, крыша – шиферная</t>
  </si>
  <si>
    <t>1.2.0248</t>
  </si>
  <si>
    <t>Нежилое здания (гараж)</t>
  </si>
  <si>
    <t>1 этаж, стены и наружная отделка – кирпичные, имеет гаражные ворота</t>
  </si>
  <si>
    <t>18.05.2022; 23.06.2022</t>
  </si>
  <si>
    <t>358; 473</t>
  </si>
  <si>
    <t>1.2.0249</t>
  </si>
  <si>
    <t>1 этаж, стены и наружная отделка – кирпичные (оштукатуренные), дверь железная</t>
  </si>
  <si>
    <t>Подраздел 1.3 "Жилищный фонд"</t>
  </si>
  <si>
    <t>Пользователь</t>
  </si>
  <si>
    <t>Жилая S муниципальных квартир</t>
  </si>
  <si>
    <t>Стоимость муниципальных квартир, руб.</t>
  </si>
  <si>
    <t>Балансовая стоимость дома</t>
  </si>
  <si>
    <t>Расчеты программиста</t>
  </si>
  <si>
    <t>1.3.0001.К</t>
  </si>
  <si>
    <t xml:space="preserve">22:72:070501:48 </t>
  </si>
  <si>
    <t xml:space="preserve">Здание (Многоквартирный дом, Жилой дом) </t>
  </si>
  <si>
    <t>12-1960</t>
  </si>
  <si>
    <t>кирпич, этажность - 2, кол-во комнат 33</t>
  </si>
  <si>
    <t xml:space="preserve">Алтайский край, г Яровое, ул 40 лет Октября, д 6 </t>
  </si>
  <si>
    <t xml:space="preserve">муниципальная казна </t>
  </si>
  <si>
    <t>Социальный найм</t>
  </si>
  <si>
    <t xml:space="preserve">Свидетельство о государственной регистрации права; Решение МС СНД </t>
  </si>
  <si>
    <t>23.05.2016; 06.08.1993</t>
  </si>
  <si>
    <t>22-22/029-22/029/001/ 2016-6339/1; 41</t>
  </si>
  <si>
    <t>постановление от 22.04.2009 № 255 "Об отнесении жилых помещений к жилым помещениям в общежитии"</t>
  </si>
  <si>
    <t>1.3.0008.К</t>
  </si>
  <si>
    <t>22:72:060303:354</t>
  </si>
  <si>
    <t xml:space="preserve">Квартира, Жилое помещение </t>
  </si>
  <si>
    <t>09-1979</t>
  </si>
  <si>
    <t>кирпич, этажность - 5</t>
  </si>
  <si>
    <t xml:space="preserve">  Алтайский край, г Яровое, кв-л А, д 8, кв 55 </t>
  </si>
  <si>
    <t>1.3.0010.К</t>
  </si>
  <si>
    <t>22:72:060303:47</t>
  </si>
  <si>
    <t>5-1977</t>
  </si>
  <si>
    <t xml:space="preserve">Алтайский край, г Яровое, кв-л А, д 10, кв 49 </t>
  </si>
  <si>
    <t>22:72:060303:68</t>
  </si>
  <si>
    <t xml:space="preserve">Алтайский край, г Яровое, кв-л А, д 10, кв 57 </t>
  </si>
  <si>
    <t>1.3.0020.К</t>
  </si>
  <si>
    <t>22:72:060301:515</t>
  </si>
  <si>
    <t>07-1977</t>
  </si>
  <si>
    <t>ж/б панели, этажность - 5</t>
  </si>
  <si>
    <t xml:space="preserve">Российская Федерация, Алтайский край, г. Яровое, кв-л. А, д. 24, кв. 39 </t>
  </si>
  <si>
    <t>1.3.0035.К</t>
  </si>
  <si>
    <t>22:72:060401:154</t>
  </si>
  <si>
    <t>12-1973</t>
  </si>
  <si>
    <t xml:space="preserve">Алтайский край, г Яровое, кв-л Б, д 1, кв 17 </t>
  </si>
  <si>
    <t>1.3.0037.К</t>
  </si>
  <si>
    <t>22:72:060401:73</t>
  </si>
  <si>
    <t>11-1976</t>
  </si>
  <si>
    <t xml:space="preserve">Алтайский край, г Яровое, кв-л Б, д 3, кв 53 </t>
  </si>
  <si>
    <t>22:72:060401:107</t>
  </si>
  <si>
    <t xml:space="preserve">Российская Федерация, Алтайский край, г. Яровое, кв-л. Б, д. 3, кв. 67 </t>
  </si>
  <si>
    <t>1.3.0040.К</t>
  </si>
  <si>
    <t>22:72:060403:673</t>
  </si>
  <si>
    <t>12-1963</t>
  </si>
  <si>
    <t>кирпич, этажность - 4</t>
  </si>
  <si>
    <t xml:space="preserve">Алтайский край, г Яровое, кв-л Б, д 13, кв 54 </t>
  </si>
  <si>
    <t>1.3.0042.К</t>
  </si>
  <si>
    <t>22:72:060403:287</t>
  </si>
  <si>
    <t>01-1970</t>
  </si>
  <si>
    <t xml:space="preserve">Алтайский край, г Яровое, кв-л Б, д 16, кв 9 </t>
  </si>
  <si>
    <t>1.3.0044.К</t>
  </si>
  <si>
    <t>22:72:060404:563</t>
  </si>
  <si>
    <t xml:space="preserve">Алтайский край, г Яровое, кв-л Б, д 18, кв 43
</t>
  </si>
  <si>
    <t>1.3.0045.К</t>
  </si>
  <si>
    <t>22:72:060404:414</t>
  </si>
  <si>
    <t>06-1965</t>
  </si>
  <si>
    <t xml:space="preserve">Алтайский край, г Яровое, кв-л Б, д 19, кв 79 </t>
  </si>
  <si>
    <t>1.3.0046.К</t>
  </si>
  <si>
    <t>22:72:060404:467</t>
  </si>
  <si>
    <t>01-1967</t>
  </si>
  <si>
    <t xml:space="preserve">Российская Федерация, Алтайский край, г. Яровое, кв-л. Б, д. 20, кв. 16 </t>
  </si>
  <si>
    <t>1.3.0048.К</t>
  </si>
  <si>
    <t xml:space="preserve">22:72:060404:164 </t>
  </si>
  <si>
    <t>11-1968</t>
  </si>
  <si>
    <t xml:space="preserve">Российская Федерация, Алтайский край, г. Яровое, кв-л. Б, д. 22, кв. 34 </t>
  </si>
  <si>
    <t>постановление от 05.02.2013 № 150 (с изменениями) " Об отнесении квартир к спец.жилому фонду- служебному жилью"</t>
  </si>
  <si>
    <t xml:space="preserve">22:72:060404:111 </t>
  </si>
  <si>
    <t xml:space="preserve">Алтайский край, г Яровое, кв-л Б, д 22, пом 3, кв 71 </t>
  </si>
  <si>
    <t xml:space="preserve">Акт приема передачи здания/Свидетельство о государственной регистрации права/регистрационная запись </t>
  </si>
  <si>
    <t>02.03.2011/31.01.2013/22.02.2011</t>
  </si>
  <si>
    <t>1, 22 АГ 349807/22-22-29/0112/2011-73</t>
  </si>
  <si>
    <t>Распоряжение росимущества, Акт приема-передачи здания</t>
  </si>
  <si>
    <t>03.09.2010, 02.03.2011</t>
  </si>
  <si>
    <t>596, 1</t>
  </si>
  <si>
    <t>Алтайский край, г Яровое, кв-л Б, д 22, пом 3, кв 73</t>
  </si>
  <si>
    <t>22:72:060404:111</t>
  </si>
  <si>
    <t xml:space="preserve">Алтайский край, г Яровое, кв-л Б, д 22, пом 3, кв 74 </t>
  </si>
  <si>
    <t xml:space="preserve">Алтайский край, г Яровое, кв-л Б, д 22, пом 3, кв 75 </t>
  </si>
  <si>
    <t xml:space="preserve">Алтайский край, г Яровое, кв-л Б, д 22, пом 3, кв 76 </t>
  </si>
  <si>
    <t xml:space="preserve">Алтайский край, г Яровое, кв-л Б, д 22, пом 3, кв 77 </t>
  </si>
  <si>
    <t xml:space="preserve">Алтайский край, г Яровое, кв-л Б, д 22, пом 3, кв 79 </t>
  </si>
  <si>
    <t>Алтайский край, г Яровое, кв-л Б, д 22, пом 3, кв 80</t>
  </si>
  <si>
    <t>Распоряжение росимущества,Акт приема-передачи здания</t>
  </si>
  <si>
    <t>1.3.0056.К</t>
  </si>
  <si>
    <t>22:72:060201:1133</t>
  </si>
  <si>
    <t>09-1986</t>
  </si>
  <si>
    <t xml:space="preserve">Алтайский край, г Яровое, кв-л В, д 3, кв 23
</t>
  </si>
  <si>
    <t>1.3.0064.К</t>
  </si>
  <si>
    <t>11-1988</t>
  </si>
  <si>
    <t xml:space="preserve">Алтайский край, г Яровое, кв-л В, д 12, кв 57
</t>
  </si>
  <si>
    <t>1.3.0065.К</t>
  </si>
  <si>
    <t>22:72:060201:1446</t>
  </si>
  <si>
    <t xml:space="preserve">Алтайский край, г Яровое, кв-л В, д 14, кв 69 </t>
  </si>
  <si>
    <t>1.3.0068.К</t>
  </si>
  <si>
    <t>22:72:060201:918</t>
  </si>
  <si>
    <t>12-1992</t>
  </si>
  <si>
    <t>кирпич, этажность - 8</t>
  </si>
  <si>
    <t>Алтайский край, г Яровое, кв-л В, д 17, кв 113</t>
  </si>
  <si>
    <t>22:72:060201:919</t>
  </si>
  <si>
    <t>Алтайский край, г Яровое, кв-л В, д 17, кв 117</t>
  </si>
  <si>
    <t>1.3.0069.К</t>
  </si>
  <si>
    <t>22:72:060201:310</t>
  </si>
  <si>
    <t>12-1990</t>
  </si>
  <si>
    <t xml:space="preserve">Алтайский край, г Яровое, кв-л В, д 21, кв 78 </t>
  </si>
  <si>
    <t>1.3.0075.К</t>
  </si>
  <si>
    <t>22:72:070307:143</t>
  </si>
  <si>
    <t>09-1963</t>
  </si>
  <si>
    <t>кирпич, этажность - 3</t>
  </si>
  <si>
    <t xml:space="preserve">Алтайский край, г Яровое, ул 40 лет Октября, д 2, кв 32 </t>
  </si>
  <si>
    <t>1.3.0076.К</t>
  </si>
  <si>
    <t>22:72:070307:233</t>
  </si>
  <si>
    <t>05-1964</t>
  </si>
  <si>
    <t xml:space="preserve">Алтайский край, г Яровое, ул 40 лет Октября, д 3, кв 38 </t>
  </si>
  <si>
    <t>1.3.0078.К</t>
  </si>
  <si>
    <t>12-1970</t>
  </si>
  <si>
    <t xml:space="preserve">Алтайский край, г Яровое, ул 40 лет Октября, д 5, кв 57 </t>
  </si>
  <si>
    <t>1.3.0080.К</t>
  </si>
  <si>
    <t>22:72:060402:542</t>
  </si>
  <si>
    <t>05-1969</t>
  </si>
  <si>
    <t xml:space="preserve">Российская Федерация, Алтайский край, г. Яровое, ул. 40 лет Октября, д. 7, кв. 91
</t>
  </si>
  <si>
    <t>1.3.0081.К</t>
  </si>
  <si>
    <t>22:72:060402:428</t>
  </si>
  <si>
    <t>09-1967</t>
  </si>
  <si>
    <t xml:space="preserve">Алтайский край, г. Яровое, ул. 40 лет Октября, д. 8, кв. 79 </t>
  </si>
  <si>
    <t>1.3.0100.К</t>
  </si>
  <si>
    <t xml:space="preserve">  22:72:070602:79</t>
  </si>
  <si>
    <t>10-1954</t>
  </si>
  <si>
    <t>кирпич, этажность - 2</t>
  </si>
  <si>
    <t xml:space="preserve">Алтайский край, г Яровое, ул Ленина, д 6, кв 5 </t>
  </si>
  <si>
    <t xml:space="preserve">Муниципальная казна </t>
  </si>
  <si>
    <t xml:space="preserve">Постановление Администрации г. Яровое </t>
  </si>
  <si>
    <t>1.3.0148.К</t>
  </si>
  <si>
    <t>кирпич, этажность - 5 (инв.стоимость 3956,97*132,6=524694,22)</t>
  </si>
  <si>
    <t xml:space="preserve">Алтайский край, г Яровое, кв-л Б, д 15, кв 1а, общая площ.145,6 кв.м  (ком. №3, 13 кв.м приватизирована 22:72:060402:825) </t>
  </si>
  <si>
    <t xml:space="preserve">Распоряжение КУГИ Алтайского края  </t>
  </si>
  <si>
    <t>17.02.1994</t>
  </si>
  <si>
    <t>22:72:060402:141</t>
  </si>
  <si>
    <t xml:space="preserve">Комната, Жилое помещение </t>
  </si>
  <si>
    <t xml:space="preserve">кирпич, этажность - 5 </t>
  </si>
  <si>
    <t xml:space="preserve">Российская Федерация, Алтайский край, г Яровое, кв-л Б, д 15,с. 7, к 214 </t>
  </si>
  <si>
    <t>22:72:060402:142</t>
  </si>
  <si>
    <t xml:space="preserve">  Алтайский край, г Яровое, кв-л Б, д 15, к 7с/214а 
</t>
  </si>
  <si>
    <t>22:72:060402:140</t>
  </si>
  <si>
    <t xml:space="preserve">Алтайский край, г Яровое, кв-л Б, д 15, секция 7, к 216 
</t>
  </si>
  <si>
    <t>22:72:060402:139</t>
  </si>
  <si>
    <t xml:space="preserve">Алтайский край, г Яровое, кв-л Б, д 15, к 7с/218 
</t>
  </si>
  <si>
    <t>22:72:060402:129</t>
  </si>
  <si>
    <t xml:space="preserve">Российская Федерация, Алтайский край, г. Яровое, кв-л Б, д. 15, к. 225, секция 7 
</t>
  </si>
  <si>
    <t>22:72:060402:135</t>
  </si>
  <si>
    <t xml:space="preserve">Российская Федерация, Алтайский край, г. Яровое, кв-л Б, д. 15, к. 226, секция 7 
</t>
  </si>
  <si>
    <t>22:72:060402:132</t>
  </si>
  <si>
    <t xml:space="preserve">  Алтайский край, г Яровое, кв-л Б, д 15, к 7с/231 
</t>
  </si>
  <si>
    <t xml:space="preserve">  22:72:060402:133</t>
  </si>
  <si>
    <t xml:space="preserve">Российская Федерация, Алтайский край, г. Яровое, кв-л. Б, д. 15, к. 7с/233 
</t>
  </si>
  <si>
    <t>22:72:060402:172</t>
  </si>
  <si>
    <t xml:space="preserve">Российская Федерация, Алтайский край, г Яровое, кв-л Б, д 15, секция 3, к 309   
</t>
  </si>
  <si>
    <t xml:space="preserve">  22:72:060402:123</t>
  </si>
  <si>
    <t xml:space="preserve">  Алтайский край, г Яровое, кв-л Б, д 15, к 8с/318 
</t>
  </si>
  <si>
    <t>22:72:060402:112</t>
  </si>
  <si>
    <t xml:space="preserve">Алтайский край, г Яровое, кв-л Б, д 15, к 8с/323  
</t>
  </si>
  <si>
    <t xml:space="preserve">  22:72:060402:116</t>
  </si>
  <si>
    <t xml:space="preserve">  Алтайский край, г Яровое, кв-л Б, д 15, к 8с/331 
</t>
  </si>
  <si>
    <t xml:space="preserve">  22:72:060402:159</t>
  </si>
  <si>
    <t xml:space="preserve">Российская Федерация, Алтайский край, г Яровое, кв-л Б, д 15, с 4, к 409
</t>
  </si>
  <si>
    <t>22:72:060402:163</t>
  </si>
  <si>
    <t xml:space="preserve">Алтайский край, г Яровое, кв-л Б, д 15, к 4с/417 
</t>
  </si>
  <si>
    <t>22:72:060402:101</t>
  </si>
  <si>
    <t xml:space="preserve">Алтайский край, г Яровое, кв-л Б, д 15, к 9с/427 </t>
  </si>
  <si>
    <t>22:72:060402:155</t>
  </si>
  <si>
    <t xml:space="preserve">Российская Федерация, Алтайский край, г. Яровое, кв-л Б, д. 15, секция 5, ком. 500
</t>
  </si>
  <si>
    <t>22:72:060402:207</t>
  </si>
  <si>
    <t xml:space="preserve">Алтайский край, г Яровое, кв-л Б, д 15, к 5с/501 
</t>
  </si>
  <si>
    <t>22:72:060402:152</t>
  </si>
  <si>
    <t xml:space="preserve">Алтайский край, г Яровое, кв-л Б, д 15, к 5с/506 
</t>
  </si>
  <si>
    <t xml:space="preserve">Распоряжение КУГИ Алтайского края; Выписка из ЕГРН  </t>
  </si>
  <si>
    <t>17.02.1994; 16.08.2022</t>
  </si>
  <si>
    <t>170; 22:72:060402:152-22/111/2022-1</t>
  </si>
  <si>
    <t>22:72:060402:146</t>
  </si>
  <si>
    <t xml:space="preserve">Алтайский край, г Яровое, кв-л Б, д 15, к 5с/511 
</t>
  </si>
  <si>
    <t>22:72:060402:96</t>
  </si>
  <si>
    <t xml:space="preserve">Квартира, Жилое помещение, Комната </t>
  </si>
  <si>
    <t xml:space="preserve">Российская Федерация, Алтайский край, г. Яровое, кв-л Б, д 15, секция 10, к 514 
</t>
  </si>
  <si>
    <t>22:72:060402:95</t>
  </si>
  <si>
    <t xml:space="preserve">  Алтайский край, г Яровое, кв-л Б, д 15, кв 10с/516 
</t>
  </si>
  <si>
    <t>22:72:060402:81</t>
  </si>
  <si>
    <t xml:space="preserve">Российская Федерация, Алтайский край, г. Яровое, кв-л. Б, д. 15, к. 10с/519 
</t>
  </si>
  <si>
    <t xml:space="preserve">  22:72:060402:92</t>
  </si>
  <si>
    <t xml:space="preserve">  Алтайский край, г Яровое, кв-л Б, д 15, к 10с/522 
</t>
  </si>
  <si>
    <t>1.3.0149.К</t>
  </si>
  <si>
    <t>03-1963</t>
  </si>
  <si>
    <t>бывшее общежитие № 2 (2,3 этаж), кирпич, этажность - 3</t>
  </si>
  <si>
    <t xml:space="preserve">Алтайский край, г. Яровое, ул. 40 лет Октября, д. 13, кв. 4  </t>
  </si>
  <si>
    <t>Распоряжение КУГИ Алтайского края; Постановление Администрации г.Яровое</t>
  </si>
  <si>
    <t>17.02.1994; 28.11.1996</t>
  </si>
  <si>
    <t>1.3.0150.К</t>
  </si>
  <si>
    <t>22:72:060403:702</t>
  </si>
  <si>
    <t xml:space="preserve">Алтайский край, г Яровое, кв-л Б, д 32, к 15 </t>
  </si>
  <si>
    <t>Постановление ВС РФ; Постановление Главы Администрации г.Яровое</t>
  </si>
  <si>
    <t>3020-10;  1312</t>
  </si>
  <si>
    <t>22:72:060403:704</t>
  </si>
  <si>
    <t xml:space="preserve">Алтайский край, г Яровое, кв-л Б, д 32, к 17 </t>
  </si>
  <si>
    <t>22:72:060403:710</t>
  </si>
  <si>
    <t xml:space="preserve">Алтайский край, г Яровое, кв-л Б, д 32, к 23
</t>
  </si>
  <si>
    <t>22:72:060403:722</t>
  </si>
  <si>
    <t xml:space="preserve">Алтайский край, г Яровое, кв-л Б, д 32, к 34 </t>
  </si>
  <si>
    <t>22:72:060403:727</t>
  </si>
  <si>
    <t xml:space="preserve">Алтайский край, г Яровое, кв-л Б, д 32, к 39
</t>
  </si>
  <si>
    <t>22:72:060403:729</t>
  </si>
  <si>
    <t xml:space="preserve">Алтайский край, г Яровое, кв-л Б, д 32, к 41
</t>
  </si>
  <si>
    <t>22:72:060403:732</t>
  </si>
  <si>
    <t xml:space="preserve">  Алтайский край, г Яровое, кв-л Б, д 32, к 44 </t>
  </si>
  <si>
    <t>22:72:060403:734</t>
  </si>
  <si>
    <t xml:space="preserve">  Алтайский край, г Яровое, кв-л Б, д 32, к 46 </t>
  </si>
  <si>
    <t>22:72:060403:736</t>
  </si>
  <si>
    <t xml:space="preserve">  Алтайский край, г Яровое, кв-л Б, д 32, к 48 </t>
  </si>
  <si>
    <t>22:72:060403:748</t>
  </si>
  <si>
    <t xml:space="preserve">Алтайский край, г Яровое, кв-л Б, д 32, к 59 </t>
  </si>
  <si>
    <t>22:72:060403:760</t>
  </si>
  <si>
    <t>Алтайский край, г Яровое, кв-л Б, д 32, к 71</t>
  </si>
  <si>
    <t xml:space="preserve">  22:72:060403:774</t>
  </si>
  <si>
    <t>Алтайский край, г Яровое, кв-л Б, д 32, к 84</t>
  </si>
  <si>
    <t>22:72:060403:779</t>
  </si>
  <si>
    <t>Алтайский край, г Яровое, кв-л Б, д 32, к 89</t>
  </si>
  <si>
    <t>22:72:060403:782</t>
  </si>
  <si>
    <t>Алтайский край, г Яровое, кв-л Б, д 32, к 92</t>
  </si>
  <si>
    <t>22:72:060403:783</t>
  </si>
  <si>
    <t>Алтайский край, г Яровое, кв-л Б, д 32, к 93</t>
  </si>
  <si>
    <t>22:72:060403:766</t>
  </si>
  <si>
    <t xml:space="preserve">Российская Федерация, Алтайский край, г. Яровое, кв-л. Б, д. 32, к. 103 </t>
  </si>
  <si>
    <t>1.3.0151.К</t>
  </si>
  <si>
    <t>12-1975</t>
  </si>
  <si>
    <t>(быв. общеж. № 33). Кирпич, этажность - 5</t>
  </si>
  <si>
    <t>Алтайский край, г Яровое, кв-л Б, д 33, кв 40</t>
  </si>
  <si>
    <t>27.12.1991 28.11.1996</t>
  </si>
  <si>
    <t>Алтайский край, г Яровое, кв-л Б, д 33, кв 42</t>
  </si>
  <si>
    <t>Алтайский край, г Яровое, кв-л Б, д 33, кв 76</t>
  </si>
  <si>
    <t xml:space="preserve">  22:72:060403:870</t>
  </si>
  <si>
    <t>Алтайский край, г Яровое, кв-л Б, д 33, кв 113</t>
  </si>
  <si>
    <t>Алтайский край, г Яровое, кв-л Б, д 33, кв 118</t>
  </si>
  <si>
    <t>Алтайский край, г Яровое, кв-л Б, д 33, кв 123</t>
  </si>
  <si>
    <t>Алтайский край, г Яровое, кв-л Б, д 33, кв 127</t>
  </si>
  <si>
    <t>22:72:060403:410</t>
  </si>
  <si>
    <t xml:space="preserve">Алтайский край, г Яровое, кв-л Б, д 33, кв 128 </t>
  </si>
  <si>
    <t>Подраздел 1.4 "Нежилые помещения"</t>
  </si>
  <si>
    <t xml:space="preserve">Кадастровая, руб. </t>
  </si>
  <si>
    <t>1.4.0026.К</t>
  </si>
  <si>
    <t>Нежилое помещение, встроенное на 1 этаже жилого дома</t>
  </si>
  <si>
    <t>10-1968</t>
  </si>
  <si>
    <t>инв.10102236. Материал стен: кирпич, этажность - 1(5)</t>
  </si>
  <si>
    <t>кв "Б" д. 22/2</t>
  </si>
  <si>
    <t>ФЛ Стулов П.Н.</t>
  </si>
  <si>
    <t xml:space="preserve">постановление администрации; договор аренды </t>
  </si>
  <si>
    <t>29.12.2007; 26.06.2008</t>
  </si>
  <si>
    <t>943; 08-06-62</t>
  </si>
  <si>
    <t>03.11.1975</t>
  </si>
  <si>
    <t>1.4.0126.К</t>
  </si>
  <si>
    <t>инв. № 10102229к. Фундамент - сборные бетонные блоки, стены кирпичные, перекрытия ж/б, кровля мягкая на битумной мастике, этажность - 1(4)</t>
  </si>
  <si>
    <t>кв-л Б, д. 15</t>
  </si>
  <si>
    <t>договор аренды; дополнительное соглашение; дополнительное соглашение; соглашение о расторжении дог.; постановление</t>
  </si>
  <si>
    <t>15.10.2007; 21.03.2008; 31.12.2014; 15.11.2022; 14.12.2022</t>
  </si>
  <si>
    <t>07-10-98;       08-03-33с; 14-12-20с; 22-11-01; 1165</t>
  </si>
  <si>
    <t xml:space="preserve"> 30.11.2006   </t>
  </si>
  <si>
    <t>1.4.0169.К</t>
  </si>
  <si>
    <t>22:72:060403:1243</t>
  </si>
  <si>
    <t xml:space="preserve">Нежилое помещение </t>
  </si>
  <si>
    <t>обслуживающее, фундамент бетон, стены-кирпич, перекрытия-ж/б, кровля- рубероид</t>
  </si>
  <si>
    <t>г.Яровое, кв. Б, д.32/6</t>
  </si>
  <si>
    <t>20.08.2012; 15.04.2020</t>
  </si>
  <si>
    <t>764; 320</t>
  </si>
  <si>
    <t>св-во 22АГ 255193 от 14.09.2012</t>
  </si>
  <si>
    <t>Подраздел 1.5 "Сооружения"</t>
  </si>
  <si>
    <t>№  п/п</t>
  </si>
  <si>
    <t>Адрес местоположения</t>
  </si>
  <si>
    <t>Площадь, протяженность и (или) иные параметры</t>
  </si>
  <si>
    <t>Кол-во единиц</t>
  </si>
  <si>
    <t>Стоимость, руб</t>
  </si>
  <si>
    <t>Первоначальная</t>
  </si>
  <si>
    <t>Начисленная амортизация</t>
  </si>
  <si>
    <t>1.5.0003.К</t>
  </si>
  <si>
    <t>Козырек у парка</t>
  </si>
  <si>
    <t>инв.01100012. Фундамент V - 3,5 мЗ, колонны металлич, покрытие ж/б</t>
  </si>
  <si>
    <t>Парк культуры и отдыха</t>
  </si>
  <si>
    <t>1.5.0004</t>
  </si>
  <si>
    <t xml:space="preserve">Подъезды, тротуары </t>
  </si>
  <si>
    <t>инв.01100055. Асфальт</t>
  </si>
  <si>
    <t xml:space="preserve">кв. "А" д. 40 </t>
  </si>
  <si>
    <t>153-р</t>
  </si>
  <si>
    <t>1.5.0005</t>
  </si>
  <si>
    <t>22:72:070606:63</t>
  </si>
  <si>
    <t>Обелиск "Славы"</t>
  </si>
  <si>
    <t>св-во 22 АГ 643546 от 26.09.2013. св-во 22 АГ 470705 от 07.05.13, . инв. 01100302. входит в реестр объектов культурного наследия народов РФ пост.АКСНД от 02.04.2001 № 94. Скульптура была изготовлена на Павлодарском заводе ЖБИ.   Автор-скульптор Ершов Р.П. (В пулс про информация имеется)</t>
  </si>
  <si>
    <t>г.Яровое, установлен по ул. Гагарина, 3в</t>
  </si>
  <si>
    <t xml:space="preserve">постановление; свидетельство  </t>
  </si>
  <si>
    <t>30.05.2001; 26.09.2013</t>
  </si>
  <si>
    <t>699; 22АГ 643546</t>
  </si>
  <si>
    <t>1.5.0013</t>
  </si>
  <si>
    <t xml:space="preserve">Забор </t>
  </si>
  <si>
    <t>11-1981</t>
  </si>
  <si>
    <t xml:space="preserve">инв.01100068. Железный 400 м.     </t>
  </si>
  <si>
    <t>кв. "А" д. 40</t>
  </si>
  <si>
    <t>1.5.0014</t>
  </si>
  <si>
    <t xml:space="preserve">Теневые навесы     </t>
  </si>
  <si>
    <t>11-1983</t>
  </si>
  <si>
    <t>инв. 1100004-1100015. 12 шт., стены - кирпич, кровля - шифер</t>
  </si>
  <si>
    <t xml:space="preserve">кв. "А" д. 42     </t>
  </si>
  <si>
    <t>1.5.0015</t>
  </si>
  <si>
    <t xml:space="preserve">Проезды, тротуары </t>
  </si>
  <si>
    <t>инв.1100019. Покрытие - асфальт, S= 1090 м2</t>
  </si>
  <si>
    <t>868</t>
  </si>
  <si>
    <t>1.5.0016</t>
  </si>
  <si>
    <t>инв.1100020. Железный, черного цвета, 551 м</t>
  </si>
  <si>
    <t xml:space="preserve">кв. "А" д. 42    </t>
  </si>
  <si>
    <t>1.5.0017</t>
  </si>
  <si>
    <t>Теневые навесы</t>
  </si>
  <si>
    <t>инв. № 1100021-1100032. 12 шт. стены кирпич, крыша - шифер</t>
  </si>
  <si>
    <t xml:space="preserve">кв. "А" д. 13 </t>
  </si>
  <si>
    <t>1.5.0018</t>
  </si>
  <si>
    <t>инв.10102204к. Покрытие - асфальт, S=1760 м2</t>
  </si>
  <si>
    <t xml:space="preserve">кв. "А" д. 13   </t>
  </si>
  <si>
    <t>1.5.0019</t>
  </si>
  <si>
    <t>инв.01100034-01100046. 13 шт. стены кирпич, крыша - шифер</t>
  </si>
  <si>
    <t xml:space="preserve">кв. "В" д. 32 </t>
  </si>
  <si>
    <t>1.5.0020</t>
  </si>
  <si>
    <t>инв.01100047. Покрытие - асфальт, S=3210 м2</t>
  </si>
  <si>
    <t>1.5.0021</t>
  </si>
  <si>
    <t>инв.01100033. Забор металлический, 420м</t>
  </si>
  <si>
    <t xml:space="preserve">кв. "В" д. 32  </t>
  </si>
  <si>
    <t>1.5.0024</t>
  </si>
  <si>
    <t xml:space="preserve">Дворовые дорожки </t>
  </si>
  <si>
    <t>инв.01100051. Покрытие асфальт, S= 1540 м2</t>
  </si>
  <si>
    <t xml:space="preserve">кв. "Б" д. 37  </t>
  </si>
  <si>
    <t>1.5.0026.К</t>
  </si>
  <si>
    <t>инв.10103147к. Металлический</t>
  </si>
  <si>
    <t xml:space="preserve">кв. "А" д. 41 </t>
  </si>
  <si>
    <t>КГОУ "Детский дом"</t>
  </si>
  <si>
    <t>договор безвозмездного пользования недвижимым имуществом</t>
  </si>
  <si>
    <t>1.5.0027.К</t>
  </si>
  <si>
    <t>инв.10103148к. Бетонный</t>
  </si>
  <si>
    <t xml:space="preserve">кв. "А" д. 41  </t>
  </si>
  <si>
    <t>1.5.0028.К</t>
  </si>
  <si>
    <t>инв.10103149к. S = 2105 м2, подъезды - бетонные</t>
  </si>
  <si>
    <t>1.5.0029.К</t>
  </si>
  <si>
    <t xml:space="preserve">Теневые навесы </t>
  </si>
  <si>
    <t>инв.10103150к. 3 шт, стены - кирпич, кровля - шифер</t>
  </si>
  <si>
    <t>1.5.0051</t>
  </si>
  <si>
    <t>Подъезды, тротуары</t>
  </si>
  <si>
    <t>инв.01110001. Асфальт</t>
  </si>
  <si>
    <t>1.5.0054</t>
  </si>
  <si>
    <t>Футбольное поле с искусственным покрытием</t>
  </si>
  <si>
    <t>12-1965/ 2016</t>
  </si>
  <si>
    <t>инв.00009. 7560 м2. Капитальный ремонт поля с наложением искусственного покрытия и беговой дорожкой</t>
  </si>
  <si>
    <t>21.03.2007; 22.12.2016</t>
  </si>
  <si>
    <t>206; 1335</t>
  </si>
  <si>
    <t>1.5.0055</t>
  </si>
  <si>
    <t>Ограждение спортсооружений</t>
  </si>
  <si>
    <t>инв.00010. 678 м, ж/б, дерево</t>
  </si>
  <si>
    <t>1.5.0056</t>
  </si>
  <si>
    <t>инв.00011. 2000 м2 (400х5)</t>
  </si>
  <si>
    <t>1.5.0058</t>
  </si>
  <si>
    <t xml:space="preserve">Подъезды </t>
  </si>
  <si>
    <t>10-1976</t>
  </si>
  <si>
    <t>инв.01110007. 278 м, асфальт</t>
  </si>
  <si>
    <t>1.5.0063.К</t>
  </si>
  <si>
    <t xml:space="preserve">Подъездные пути    </t>
  </si>
  <si>
    <t>асфальт</t>
  </si>
  <si>
    <t xml:space="preserve">ул. Гагарина (база)        </t>
  </si>
  <si>
    <t>1.5.0064.К</t>
  </si>
  <si>
    <t>Стелла-указатель г. Яровое</t>
  </si>
  <si>
    <t>ж/б</t>
  </si>
  <si>
    <t>на пересечении ул. Алтайская - трасса Яровое - Славгород</t>
  </si>
  <si>
    <t>1.5.0065</t>
  </si>
  <si>
    <t>Памятник В.И. Ленину</t>
  </si>
  <si>
    <t>инв.01100305. Ж/б, металлический</t>
  </si>
  <si>
    <t>пл. им. Ленина</t>
  </si>
  <si>
    <t>1.5.0066</t>
  </si>
  <si>
    <t>Забор на кладбище</t>
  </si>
  <si>
    <t>Металлический. Протяженность -западная сторона -353 п.м., южная - 381 п.м., северная - 329 п.м., восточная - 317 п.м.</t>
  </si>
  <si>
    <t>городское кладбище</t>
  </si>
  <si>
    <t>1.5.0069</t>
  </si>
  <si>
    <t>Площадки</t>
  </si>
  <si>
    <t>V-1983</t>
  </si>
  <si>
    <t>инв.48056134</t>
  </si>
  <si>
    <t>г.Яровое, ул. Гагарина, д.9</t>
  </si>
  <si>
    <t>1.5.0071</t>
  </si>
  <si>
    <t>Автоплощадки, подъезды к водозабору</t>
  </si>
  <si>
    <t>Х-1973</t>
  </si>
  <si>
    <t>инв. 89055702. Дорога бортов.камень 395 м2, разработка грунта - 558 м3</t>
  </si>
  <si>
    <t>ул.Северная 2, водозабор</t>
  </si>
  <si>
    <t>1.5.0072.К</t>
  </si>
  <si>
    <t>Автоплощадки, тротуары</t>
  </si>
  <si>
    <t>XI-1982</t>
  </si>
  <si>
    <t>инв.89055602. S=676 м2, асфальт</t>
  </si>
  <si>
    <t>КНС-1</t>
  </si>
  <si>
    <t>1.5.0100</t>
  </si>
  <si>
    <t>XII-1978</t>
  </si>
  <si>
    <t>инв.89061602. S=2030 м2, асфальт</t>
  </si>
  <si>
    <t>кв. "А" д. 39</t>
  </si>
  <si>
    <t>1.5.0108.К</t>
  </si>
  <si>
    <t>Детская площадка</t>
  </si>
  <si>
    <t>XII-1982</t>
  </si>
  <si>
    <t>инв.89061902. S=514 м2</t>
  </si>
  <si>
    <t>кв. "А" д. 38</t>
  </si>
  <si>
    <t>01.07.10г.</t>
  </si>
  <si>
    <t>1.5.0109.К</t>
  </si>
  <si>
    <t>Хоккейная площадка</t>
  </si>
  <si>
    <t>XII-1979</t>
  </si>
  <si>
    <t>инв.89061802. S=560 м2</t>
  </si>
  <si>
    <t>кв. "А"</t>
  </si>
  <si>
    <t>1.5.0110</t>
  </si>
  <si>
    <t>Ж/бетонное ограждение водозабора 1-оч.</t>
  </si>
  <si>
    <t>инв. 89058002. Ж/б элементы, ворота метал-3,75 м</t>
  </si>
  <si>
    <t>1.5.0111.К</t>
  </si>
  <si>
    <t>Забор металлический</t>
  </si>
  <si>
    <t>XII-1980</t>
  </si>
  <si>
    <t>инв.89051202. Металлический</t>
  </si>
  <si>
    <t>г.Яровое, Парк культуры и отдыха</t>
  </si>
  <si>
    <t>24.03.2015; 19.06.2018</t>
  </si>
  <si>
    <t>292; 572</t>
  </si>
  <si>
    <t>1.5.0112</t>
  </si>
  <si>
    <t>XII- 1980</t>
  </si>
  <si>
    <t>инв.89062402. Металлический, высота 1,2м, со сложным ажурным узором</t>
  </si>
  <si>
    <t>г.Яровое, ул.Алтайская от Заводской  до 40 лет Октября - 756 м.п., ул.Заводская от Алтайской  до Гагарина-404 м.п, ул.Первомайская от Алтайская до столбов - 305 м.п, по ул.Верещагина  от Алтайская до Ленина -288 м.п.</t>
  </si>
  <si>
    <t>1.5.0113.К</t>
  </si>
  <si>
    <t>Ограждение газонов г.Яровое</t>
  </si>
  <si>
    <t>XII- 1976</t>
  </si>
  <si>
    <t>г.Яровое</t>
  </si>
  <si>
    <t>1.5.0380</t>
  </si>
  <si>
    <t>Ограждения</t>
  </si>
  <si>
    <t>инв.480060734</t>
  </si>
  <si>
    <t>1.5.0381</t>
  </si>
  <si>
    <t>Памятник Афганцам</t>
  </si>
  <si>
    <t>инв.01010008</t>
  </si>
  <si>
    <t>г.Яровое, ул.Гагарина</t>
  </si>
  <si>
    <t>1.5.0383</t>
  </si>
  <si>
    <t>Памятник  Афганцам (Гранитная нижняя плита)</t>
  </si>
  <si>
    <t>инв.01010009</t>
  </si>
  <si>
    <t>1.5.0384</t>
  </si>
  <si>
    <t>Благоустройство МОУ шк. № 19</t>
  </si>
  <si>
    <t>04-1991</t>
  </si>
  <si>
    <t>инв.01100001. Покрытие - асфальт, устройство основания, установка бордюр по ребрике</t>
  </si>
  <si>
    <t>кв. "В" д.19</t>
  </si>
  <si>
    <t>1.5.0390</t>
  </si>
  <si>
    <t>12-1979</t>
  </si>
  <si>
    <t xml:space="preserve"> инв.01100058. Фундамент ж/б, стены кирпич, перекр деревянные</t>
  </si>
  <si>
    <t>1.5.0405.К</t>
  </si>
  <si>
    <t>Тротуар (пешеходное сооружение)</t>
  </si>
  <si>
    <t>протяж.105 м шир.1,2 м, ж/б плиты на песчаной основе, обвалован грунтом</t>
  </si>
  <si>
    <t>между шк.19 и кв."В" д.8</t>
  </si>
  <si>
    <t>распоряжение; актприема-передачи</t>
  </si>
  <si>
    <t>205-р; 98</t>
  </si>
  <si>
    <t>1.5.0644.К</t>
  </si>
  <si>
    <t>Пешеходный тротуар</t>
  </si>
  <si>
    <t>щебеночное основание- толщина 10см.-242м.кв., асфальтобетонное покрытие- толщина 5см.- 242м.кв.</t>
  </si>
  <si>
    <t>по ул.Мира (от ул.Шукшина до ул. Комсомольской)</t>
  </si>
  <si>
    <t>1.5.0645.К</t>
  </si>
  <si>
    <t>щебеночное основание- толщина 10см.-466м.кв., асфальтобетонное покрытие- толщина 5см.- 466м.кв.</t>
  </si>
  <si>
    <t>по ул. 40 лет Октября (от ул. Северная магистраль)</t>
  </si>
  <si>
    <t>1.5.0770</t>
  </si>
  <si>
    <t>317,1метр ограждений с южной и западной стороны кладбища</t>
  </si>
  <si>
    <t>1.5.0771</t>
  </si>
  <si>
    <t>Дорога</t>
  </si>
  <si>
    <t xml:space="preserve">360 кв.м. с гравийно-щебеночным покрытием </t>
  </si>
  <si>
    <t>1.5.0772</t>
  </si>
  <si>
    <t xml:space="preserve">22:72:020202:464 </t>
  </si>
  <si>
    <t>Автодорога от 5 поста до 263 км БОС</t>
  </si>
  <si>
    <t>Литер 6.</t>
  </si>
  <si>
    <t xml:space="preserve">г Яровое, мкр Промзона </t>
  </si>
  <si>
    <t>распоряжение (край); акт приема-передачи; решение ГСД; свидетельство</t>
  </si>
  <si>
    <t>18.05.2015;  11.06.2015; 25.08.2015; 25.09.2015</t>
  </si>
  <si>
    <t>241; 35; 22АД 670320</t>
  </si>
  <si>
    <t>1.5.0773</t>
  </si>
  <si>
    <t xml:space="preserve">22:72:020202:199 </t>
  </si>
  <si>
    <t>Корпус 238 БОС (песколовки - 2 шт.)</t>
  </si>
  <si>
    <t>Литер 1. Объем - 25,2 куб.м, износ на 20.12.2010 - 15 %</t>
  </si>
  <si>
    <t xml:space="preserve"> г Яровое, мкр Промзона</t>
  </si>
  <si>
    <t>241; 35; 22АД 670337</t>
  </si>
  <si>
    <t>1.5.0774</t>
  </si>
  <si>
    <t xml:space="preserve">22:72:020202:524 </t>
  </si>
  <si>
    <t>Корпус 239 БОС (отстойники первичные - 4 шт.)</t>
  </si>
  <si>
    <t>Литер 2. Объем - 2035 куб.м, износ на 20.12.2010 - 15 %</t>
  </si>
  <si>
    <t>г.Яровое, Промзона</t>
  </si>
  <si>
    <t>241; 35; 22АД 670334</t>
  </si>
  <si>
    <t>1.5.0775</t>
  </si>
  <si>
    <t xml:space="preserve">22:72:020202:233 </t>
  </si>
  <si>
    <t>Корпус 240 БОС (аэротенк)</t>
  </si>
  <si>
    <t>Литер 1. Общая площадь - 1728 кв.м</t>
  </si>
  <si>
    <t>241; 35; 22АД 670335</t>
  </si>
  <si>
    <t>1.5.0776</t>
  </si>
  <si>
    <t>22:72:020202:229</t>
  </si>
  <si>
    <t>Корпус 241 БОС (отстойник вторичный)</t>
  </si>
  <si>
    <t>Литер 4. Общая площадь - 280,1 кв.м</t>
  </si>
  <si>
    <t>241; 35; 22АД 670336</t>
  </si>
  <si>
    <t>1.5.0777</t>
  </si>
  <si>
    <t xml:space="preserve">22:72:020202:230 </t>
  </si>
  <si>
    <t>Литер 3. Общая площадь - 280,1 кв.м</t>
  </si>
  <si>
    <t>241; 35; 22АД 670338</t>
  </si>
  <si>
    <t>1.5.0778</t>
  </si>
  <si>
    <t xml:space="preserve">22:72:020202:228 </t>
  </si>
  <si>
    <t>Литер 2. Общая площадь - 280,1 кв.м</t>
  </si>
  <si>
    <t>18.05.2015;  11.06.2015; 25.08.2015; 21.09.2015</t>
  </si>
  <si>
    <t xml:space="preserve">241; 35; 22АД 671711 </t>
  </si>
  <si>
    <t>1.5.0779</t>
  </si>
  <si>
    <t>22:72:020202:232</t>
  </si>
  <si>
    <t>Сооружение 249 (иловые площадки)</t>
  </si>
  <si>
    <t>Литер 5. Общая площадь - 6400,4 кв.м</t>
  </si>
  <si>
    <t xml:space="preserve">241; 35; 22АД 671710 </t>
  </si>
  <si>
    <t>1.5.0780</t>
  </si>
  <si>
    <t xml:space="preserve">22:72:020202:461 </t>
  </si>
  <si>
    <t>Наливной водоем (пруд)</t>
  </si>
  <si>
    <t>Литер 10. Общая площадь - 461518,0 кв.м</t>
  </si>
  <si>
    <t>г.Яровое, мкр.Промзона</t>
  </si>
  <si>
    <t xml:space="preserve">241; 35; 22АД 671707 </t>
  </si>
  <si>
    <t>1.5.0781</t>
  </si>
  <si>
    <t xml:space="preserve">22:72:020202:463 </t>
  </si>
  <si>
    <t>Литер 7. Общая площадь - 163451,0 кв.м</t>
  </si>
  <si>
    <t xml:space="preserve">241; 35; 22АД 671706 </t>
  </si>
  <si>
    <t>1.5.0782</t>
  </si>
  <si>
    <t xml:space="preserve">22:72:020202:460 </t>
  </si>
  <si>
    <t>Литер 9. Общая площадь - 61421,0 кв.м</t>
  </si>
  <si>
    <t xml:space="preserve">241; 35; 22АД 671708 </t>
  </si>
  <si>
    <t>1.5.0783.К</t>
  </si>
  <si>
    <t xml:space="preserve">22:72:020202:584 </t>
  </si>
  <si>
    <t>Контактный резервуар с обвязкой подводящих и отводящих трубопроводов</t>
  </si>
  <si>
    <t>Литер С/189, С/1. Резервуар объем - 50 куб.м (износ 50 %), трубопровод - 1,30 м (износ 40 %)</t>
  </si>
  <si>
    <t xml:space="preserve">г.Яровое, пл.Предзаводская, д.2 </t>
  </si>
  <si>
    <t xml:space="preserve">241; 35; 22АД 671705 </t>
  </si>
  <si>
    <t>1.5.0784.К</t>
  </si>
  <si>
    <t xml:space="preserve">22:72:020202:594 </t>
  </si>
  <si>
    <t>Резервуар шестисекционный хранения соли</t>
  </si>
  <si>
    <t>Литер 190. Объем -29,0 куб.м (износ 40 %)</t>
  </si>
  <si>
    <t xml:space="preserve">241; 35; 22АД 670330 </t>
  </si>
  <si>
    <t>1.5.0785</t>
  </si>
  <si>
    <t>22:72:020202:231</t>
  </si>
  <si>
    <t>Сопрягающее сооружение</t>
  </si>
  <si>
    <t>Литер 8. Общая площадь - 26,4 кв.м</t>
  </si>
  <si>
    <t>241; 35;  22АД 670329</t>
  </si>
  <si>
    <t>1.5.0786</t>
  </si>
  <si>
    <t xml:space="preserve">22:72:020202:659 </t>
  </si>
  <si>
    <t>Трубопроводы технологические</t>
  </si>
  <si>
    <t>Литер 23. Коллекторы из стальных труб (безнапорная) - 3303,15 пог.м; из асбестоцементных труб (безнапорная) - 626,75 пог.м. Общая протяженность - 3929,9 пог.м</t>
  </si>
  <si>
    <t>241; 35;  22АД 670325</t>
  </si>
  <si>
    <t>1.5.0787.К</t>
  </si>
  <si>
    <t>22:72:020202:635</t>
  </si>
  <si>
    <t>Трубопровод известкового молока</t>
  </si>
  <si>
    <t>Литер 32. Асбестоцемент д.300мм (условный)</t>
  </si>
  <si>
    <t>241; 35; 22АД 670322</t>
  </si>
  <si>
    <t>1.5.0789</t>
  </si>
  <si>
    <t xml:space="preserve">22:72:020202:664 </t>
  </si>
  <si>
    <t>Дороги, подъезды, тротуары</t>
  </si>
  <si>
    <t>Литер 1.</t>
  </si>
  <si>
    <t>241; 35; 22АД 671681</t>
  </si>
  <si>
    <t>1.5.0791</t>
  </si>
  <si>
    <t>22:72:020202:662</t>
  </si>
  <si>
    <t>Водоводы от БОС до пруда доочистки</t>
  </si>
  <si>
    <t>Литер 28. Водоводы сталь. д.600 мм. Износ - 60 %</t>
  </si>
  <si>
    <t>241; 35; 22АД 671680</t>
  </si>
  <si>
    <t>1.5.0792.К</t>
  </si>
  <si>
    <t xml:space="preserve">22:72:020202:637 </t>
  </si>
  <si>
    <t>Корпус 130. Аэротенки БОС 1</t>
  </si>
  <si>
    <t>Литер 15.Объем - 9253 куб.м. Износ - 57 %</t>
  </si>
  <si>
    <t>241; 35; 22АД 671676</t>
  </si>
  <si>
    <t>1.5.0793.К</t>
  </si>
  <si>
    <t xml:space="preserve">22:72:020202:642 </t>
  </si>
  <si>
    <t>Корпус 128 "б". Первичный отстойник хозяйственных стоков БОС 1</t>
  </si>
  <si>
    <t>Литер 7. Объем - 382 куб.м. Износ - 50 %</t>
  </si>
  <si>
    <t>241; 35; 22АД 671678</t>
  </si>
  <si>
    <t>1.5.0794.К</t>
  </si>
  <si>
    <t xml:space="preserve">22:72:020202:641 </t>
  </si>
  <si>
    <t>Корпус 128 "а". Первичный отстойник хозяйственных стоков БОС 1</t>
  </si>
  <si>
    <t>Литер 6. Объем - 382 куб.м. Износ - 50 %</t>
  </si>
  <si>
    <t>241; 35;  22АД 671677</t>
  </si>
  <si>
    <t>1.5.0795</t>
  </si>
  <si>
    <t xml:space="preserve">22:72:020202:657 </t>
  </si>
  <si>
    <t>Пескопровод</t>
  </si>
  <si>
    <t>Литер 25. Сталь.трубы д.150 мм. Износ - 40 %</t>
  </si>
  <si>
    <t>241; 35; 22АД 670333</t>
  </si>
  <si>
    <t>1.5.0796</t>
  </si>
  <si>
    <t xml:space="preserve">22:72:020202:658 </t>
  </si>
  <si>
    <t>Корпус 242. Железобетонная емкость</t>
  </si>
  <si>
    <t xml:space="preserve">Литер 17. Объем - 65 куб.м. Износ - 50 %. </t>
  </si>
  <si>
    <t>241; 35; 22АД 670332</t>
  </si>
  <si>
    <t>1.5.0797</t>
  </si>
  <si>
    <t xml:space="preserve">22:72:020202:656 </t>
  </si>
  <si>
    <t>Воздухопровод</t>
  </si>
  <si>
    <t>Литер 26. Сталь. д.600 мм. Износ - 40 %</t>
  </si>
  <si>
    <t>241; 35; 22АД 671693</t>
  </si>
  <si>
    <t>1.5.0798.К</t>
  </si>
  <si>
    <t>22:72:020202:655</t>
  </si>
  <si>
    <t>Корпус 128 "г". Первичный отстойник хозяйственных стоков БОС 1</t>
  </si>
  <si>
    <t>Литер 9. Износ - 50 %</t>
  </si>
  <si>
    <t>18.05.2015;  11.06.2015; 25.09.2015</t>
  </si>
  <si>
    <t xml:space="preserve">241; 35; 22АД 671702 </t>
  </si>
  <si>
    <t>1.5.0799.К</t>
  </si>
  <si>
    <t xml:space="preserve">22:72:020202:654 </t>
  </si>
  <si>
    <t>Корпус 128 "в". Первичный отстойник хозяйственных стоков БОС 1</t>
  </si>
  <si>
    <t>Литер 8. Износ - 50 %</t>
  </si>
  <si>
    <t>241; 35; 22АД 671701</t>
  </si>
  <si>
    <t>1.5.0800.К</t>
  </si>
  <si>
    <t xml:space="preserve">22:72:020202:648 </t>
  </si>
  <si>
    <t>Корпус 126 "а". Первичный отстойник промышленных стоков (недействует)</t>
  </si>
  <si>
    <t>Литер 11. Объем - 382 куб.м. Износ - 58 %</t>
  </si>
  <si>
    <t>18.05.2015;  11.06.2015; 21.09.2015</t>
  </si>
  <si>
    <t>241; 35; 22АД 671691</t>
  </si>
  <si>
    <t>1.5.0801.К</t>
  </si>
  <si>
    <t>22:72:020202:647</t>
  </si>
  <si>
    <t>Корпус 126 "б". Первичный отстойник промышленных стоков (недейсвует)</t>
  </si>
  <si>
    <t>Литер 10. Объем - 382 куб.м. Износ - 58 %</t>
  </si>
  <si>
    <t xml:space="preserve">241; 35; 22АД 671688 </t>
  </si>
  <si>
    <t>1.5.0802.К</t>
  </si>
  <si>
    <t xml:space="preserve">22:72:020202:646 </t>
  </si>
  <si>
    <t>Корпус 131. Вторичные отстойники БОС 1</t>
  </si>
  <si>
    <t xml:space="preserve">Литер 2. Объем - 2826 куб.м. </t>
  </si>
  <si>
    <t>241; 35; 22АД 671687</t>
  </si>
  <si>
    <t>1.5.0803.К</t>
  </si>
  <si>
    <t xml:space="preserve">22:72:020202:645 </t>
  </si>
  <si>
    <t>Корпус 122. Канализационная насосная станция (неэксплуатируется)</t>
  </si>
  <si>
    <t>Литер 50. Объем - 170 куб.м. Износ - 50 %</t>
  </si>
  <si>
    <t>241; 35; 22АД 671685</t>
  </si>
  <si>
    <t>1.5.0804.К</t>
  </si>
  <si>
    <t>22:72:020202:644</t>
  </si>
  <si>
    <t>Корпус 123. Подземная насосная станция (неэксплуатируется)</t>
  </si>
  <si>
    <t>Литер 49. Объем - 170 куб.м. Износ - 50 %</t>
  </si>
  <si>
    <t>241; 35; 22АД 671686</t>
  </si>
  <si>
    <t>1.5.0805.К</t>
  </si>
  <si>
    <t xml:space="preserve">22:72:020202:640 </t>
  </si>
  <si>
    <t>Корпус 124. Подземная насосная станция (неэксплуатируется)</t>
  </si>
  <si>
    <t>Литер 49. Объем - 53 куб.м. Износ - 50 %</t>
  </si>
  <si>
    <t>241; 35; 22АД 671684</t>
  </si>
  <si>
    <t>1.5.0806</t>
  </si>
  <si>
    <t xml:space="preserve">22:72:070206:59 </t>
  </si>
  <si>
    <t>Артезианская скважина фильтровая № 1-103, куст 1</t>
  </si>
  <si>
    <t>Литер III. Глубина 750 м. Конструктивные элементы: метал.труба д.1 м</t>
  </si>
  <si>
    <t>г.Яровое, ул.Заводская, артезианская скважина фильтровая № 1-103, куст 1</t>
  </si>
  <si>
    <t>241; 35; 22АД 671690</t>
  </si>
  <si>
    <t>1.5.0807</t>
  </si>
  <si>
    <t xml:space="preserve">22:72:020101:78   </t>
  </si>
  <si>
    <t>Скважина № 4874, куст 10</t>
  </si>
  <si>
    <t>Литер XX. Глубина 750 м. Конструктивные элементы: метал.труба д.1 м</t>
  </si>
  <si>
    <t>ул.Гагарина, № 4874, куст 10</t>
  </si>
  <si>
    <t>241; 35; 22АД 671683</t>
  </si>
  <si>
    <t>1.5.0808</t>
  </si>
  <si>
    <t xml:space="preserve">22:72:020202:711   </t>
  </si>
  <si>
    <t>Скважина № 4050, куст 3</t>
  </si>
  <si>
    <t>Литер VII. Глубина 300 м. Конструктивные элементы: метал.труба д.1 м</t>
  </si>
  <si>
    <t>западнее Предзаводская пл., 2 скважина № 4050, куст 3</t>
  </si>
  <si>
    <t>241; 35; 22АД 671689</t>
  </si>
  <si>
    <t>1.5.0809</t>
  </si>
  <si>
    <t xml:space="preserve">22:72:020202:410 </t>
  </si>
  <si>
    <t>Корпус 94 (насосная станция)</t>
  </si>
  <si>
    <t>Литер 163. Износ - 41%</t>
  </si>
  <si>
    <t>241; 35; 22АД 671665</t>
  </si>
  <si>
    <t>1.5.0810</t>
  </si>
  <si>
    <t xml:space="preserve">22:72:020202:678  </t>
  </si>
  <si>
    <t xml:space="preserve">Трубопровод пара 11 атмосфер от ТЭЦ до корпуса 163 </t>
  </si>
  <si>
    <t>Литер 105. Сталь. д.273 мм. Износа - 40 %</t>
  </si>
  <si>
    <t>1.5.0811</t>
  </si>
  <si>
    <t xml:space="preserve">22:72:020202:317   </t>
  </si>
  <si>
    <t>Резервуар ж/б V-1000 м3, к.94/1</t>
  </si>
  <si>
    <t xml:space="preserve">Литер 87.  </t>
  </si>
  <si>
    <t>241; 35; 22АД 671661</t>
  </si>
  <si>
    <t>1.5.0812</t>
  </si>
  <si>
    <t xml:space="preserve">22:72:070206:58 </t>
  </si>
  <si>
    <t>Скважина артезианская БР 218</t>
  </si>
  <si>
    <t>Литер XIV. Глубина 300 м. Конструктивные элементы: метал.труба д.1 м. Износ - 60 %</t>
  </si>
  <si>
    <t>г.Яровое, ул.Заводская, артезианская скважина фильтровая БР 218, куст</t>
  </si>
  <si>
    <t xml:space="preserve">241; 35;  22АД 671656 </t>
  </si>
  <si>
    <t>1.5.0813</t>
  </si>
  <si>
    <t xml:space="preserve">22:72:020101:86   </t>
  </si>
  <si>
    <t>Скважина артезианская БР 225</t>
  </si>
  <si>
    <t>Литер XIII. Глубина 700 м. Конструктивные элементы: метал.труба д.1 м. Износ - 60 %</t>
  </si>
  <si>
    <t>г.Яровое, ул.Гагарина, артезианская скважина БР 225, куст</t>
  </si>
  <si>
    <t>241; 35; 22АД 671662</t>
  </si>
  <si>
    <t>1.5.0814</t>
  </si>
  <si>
    <t xml:space="preserve">22:72:010316:13  </t>
  </si>
  <si>
    <t>Скважина артезианская БР 213</t>
  </si>
  <si>
    <t>Литер IX. Глубина 700 м. Конструктивные элементы: метал.труба д.1 м. Износ - 60 %</t>
  </si>
  <si>
    <t>г.Яровое, район СНТ "Химик", артезианская скважина БР 213, куст</t>
  </si>
  <si>
    <t xml:space="preserve">241; 35;22АД 671653  </t>
  </si>
  <si>
    <t>1.5.0815</t>
  </si>
  <si>
    <t xml:space="preserve">22:72:020101:82   </t>
  </si>
  <si>
    <t>Скважина 4132 (300 м) куст</t>
  </si>
  <si>
    <t>Литер X. Глубина 300 м. Конструктивные элементы: метал.труба д.1 м. Износ - 60 %</t>
  </si>
  <si>
    <t xml:space="preserve">г.Яровое, восточная часть города, скважина 4132 (300 м), куст 6а </t>
  </si>
  <si>
    <t>241; 35; 22АД 671654</t>
  </si>
  <si>
    <t>1.5.0816</t>
  </si>
  <si>
    <t xml:space="preserve">22:72:080101:42 </t>
  </si>
  <si>
    <t>Скважина 4656 (300 м) куст</t>
  </si>
  <si>
    <t>Литер I. Глубина 300 м. Конструктивные элементы: метал.труба д.1 м. Износ - 60 %</t>
  </si>
  <si>
    <t xml:space="preserve">г.Яровое, ул.Заводская, скважина 4656 (300 м), куст 1а </t>
  </si>
  <si>
    <t>241; 35; 22АД 671655</t>
  </si>
  <si>
    <t>1.5.0817</t>
  </si>
  <si>
    <t xml:space="preserve">22:72:020202:324 </t>
  </si>
  <si>
    <t>Эстакада ТМП от ТЭЦ до к.102</t>
  </si>
  <si>
    <t>Литер 168.  Ж/бетон, двухстоечная, одноярусная. Износ -45 %</t>
  </si>
  <si>
    <t>241; 35; 22АД 671709</t>
  </si>
  <si>
    <t>1.5.0818</t>
  </si>
  <si>
    <t xml:space="preserve">22:72:020202:216 </t>
  </si>
  <si>
    <t>Эстакада от к.102 до к.105</t>
  </si>
  <si>
    <t>Литер 164. Ж/бетон, двухстоечная, одноярусная. Износ -45 %</t>
  </si>
  <si>
    <t>241; 35; 22АД 671712</t>
  </si>
  <si>
    <t>1.5.0819</t>
  </si>
  <si>
    <t xml:space="preserve">22:72:010316:5   </t>
  </si>
  <si>
    <t>Скважина артезианская БР 214 р-н дач</t>
  </si>
  <si>
    <t>Литер XII. Глубина 700 м. Конструктивные элементы: метал.труба д.1 м. Износ - 60 %</t>
  </si>
  <si>
    <t>г.Яровое, район СНТ "Химик", артезианская скважина БР 214</t>
  </si>
  <si>
    <t>241; 35; 22АД 671715</t>
  </si>
  <si>
    <t>1.5.0820.К</t>
  </si>
  <si>
    <t xml:space="preserve">22:72:020202:636 </t>
  </si>
  <si>
    <t>Корпус 120 "А". Усреднитель</t>
  </si>
  <si>
    <t xml:space="preserve">Литер 13. Объем - 251,0 куб.м. Износ - 59 %. </t>
  </si>
  <si>
    <t>241; 35; 22 АД 670327</t>
  </si>
  <si>
    <t>1.5.0821</t>
  </si>
  <si>
    <t>Въезд к зданию "Строитель"</t>
  </si>
  <si>
    <t>ул. 40 лет Октября, 1д</t>
  </si>
  <si>
    <t>ДК "Строитель"</t>
  </si>
  <si>
    <t>1.5.0824</t>
  </si>
  <si>
    <t>Б, д.35</t>
  </si>
  <si>
    <t>1.5.0825</t>
  </si>
  <si>
    <t>22:72:020101:90</t>
  </si>
  <si>
    <t>Полигон ТКО</t>
  </si>
  <si>
    <t>Состоит из: котлована для складирования ТКО, бытового здания шлагбаума ограничивающего бесконтрольное попадание на полигон, приемной металлической площадки для осмотра автомобилей, складируемый грунт для послойной пересыпки бытовых отходов</t>
  </si>
  <si>
    <t>РФ, Алтайский край, г.Яровое, Трасса Яровое-Славгород, сооружение 5</t>
  </si>
  <si>
    <t>24.01.2017; 01.04.2020</t>
  </si>
  <si>
    <t>40; 300</t>
  </si>
  <si>
    <t>акт о приемке законченного строительством объекта; выписка из ЕГРП об основ-ных харак-теристиках и зарегистрированных правах на объект недви-жимости</t>
  </si>
  <si>
    <t>20.03.1993; 16.01.2017</t>
  </si>
  <si>
    <t>1.5.0826</t>
  </si>
  <si>
    <t>Площадка для сбора мусора на городском кладбище</t>
  </si>
  <si>
    <t>инв.10113127.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</si>
  <si>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восточной стороны кладбища в 131 м на юг от автодороги на г.Яровое </t>
  </si>
  <si>
    <t>муниципальный контракт на выполнение работ; акт приемки в эксплуатацию</t>
  </si>
  <si>
    <t>25.07.2016; 07.10.2016</t>
  </si>
  <si>
    <t>ЭА-0120160096;б/н</t>
  </si>
  <si>
    <t>1.5.0827</t>
  </si>
  <si>
    <t>инв.10113128.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</si>
  <si>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восточной стороны кладбища в 166 м на юг от автодороги на г.Яровое </t>
  </si>
  <si>
    <t>1.5.0828</t>
  </si>
  <si>
    <t>инв.10113129.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</si>
  <si>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южной  стороны кладбища в 136 м от юго-восточного ограждения кладбища </t>
  </si>
  <si>
    <t>1.5.0829</t>
  </si>
  <si>
    <t xml:space="preserve">расположена с южной стороны кладбища в 251 м от юго-восточного угла ограждения кладбища </t>
  </si>
  <si>
    <t>1.5.0830</t>
  </si>
  <si>
    <t>инв.10113130. Размер 3х3м, покрытие асфальтовое, ограждение с 3х сторон из металлопрофиля (профлист), закрепленного на трубы стальные проямоугольные 40х30мм. По углам трубостойки стальные квадратные 60х60мм.</t>
  </si>
  <si>
    <t xml:space="preserve">расположена с западной стороны кладбища  </t>
  </si>
  <si>
    <t>1.5.0897</t>
  </si>
  <si>
    <t>22:72:020202:384</t>
  </si>
  <si>
    <t>Дороги и подъезды к к.157 РТП</t>
  </si>
  <si>
    <t>460кв.м</t>
  </si>
  <si>
    <t>Алтайский край, г.Яровое, пл.Предзаводская, д.2</t>
  </si>
  <si>
    <t>23.03.2018; 27.03.2020</t>
  </si>
  <si>
    <t>234; 280</t>
  </si>
  <si>
    <t>распоряжение ТУ Федерального агенства по управлению гос.имущество в Алтайском крае и Республике Алтай; выписка ЕГРП</t>
  </si>
  <si>
    <t>15.11.2017; 01.02.2018</t>
  </si>
  <si>
    <t>565; 22:72:020202:384-22/024/2018-2</t>
  </si>
  <si>
    <t>1.5.0898.К</t>
  </si>
  <si>
    <t>Забор</t>
  </si>
  <si>
    <t>Металлический, зеленого цвета</t>
  </si>
  <si>
    <t>г.Яровое, Парк аттракционов</t>
  </si>
  <si>
    <t>акт осмотра имущества</t>
  </si>
  <si>
    <t>1.5.0899.К</t>
  </si>
  <si>
    <t>22:72:070206:57</t>
  </si>
  <si>
    <t>Сооружение-павильон скважины № 4803 куст 2</t>
  </si>
  <si>
    <t>Российская Федерация, Алтайский край, г. Яровое, ул.Заводская, павильон скважины 4803</t>
  </si>
  <si>
    <t>08.05.2018; 20.04.2020</t>
  </si>
  <si>
    <t>398; 330</t>
  </si>
  <si>
    <t xml:space="preserve">  распоряжение Росимущества в Алтайском крае и Республике Алтай; Выписка ЕГРН</t>
  </si>
  <si>
    <t>25.04.2018;08.08.2019;16.08.2018</t>
  </si>
  <si>
    <t>261; 22:72:070206:57-22/024/2018-2; 22:72:070206:57-22/024/2018-2</t>
  </si>
  <si>
    <t>1.5.0900.К</t>
  </si>
  <si>
    <t>Ограждения в зоне пешеходных переходов по ул.Мира ( шк.№ 12, № 14)</t>
  </si>
  <si>
    <t>г.Яровое, ул.Мира (шк.№ 12, № 14)</t>
  </si>
  <si>
    <t>муниципальный контракт на выполнение работ; акт приема-передачи</t>
  </si>
  <si>
    <t>25.03.2019;  31.05.2019</t>
  </si>
  <si>
    <t>ЭА-0120190070</t>
  </si>
  <si>
    <t>1.5.0901.К</t>
  </si>
  <si>
    <t>Площадка для остановки школьного автобуса</t>
  </si>
  <si>
    <t>г.Яровое, между кв. "В", д.19 и проезжей частью ул.Мира</t>
  </si>
  <si>
    <t>25.06.2019; 30.09.2019</t>
  </si>
  <si>
    <t>ЭА-0120190069</t>
  </si>
  <si>
    <t>1.5.0902.К</t>
  </si>
  <si>
    <t xml:space="preserve">Ограждение металлическое с поручнями </t>
  </si>
  <si>
    <t xml:space="preserve">инв.110136000025. </t>
  </si>
  <si>
    <t xml:space="preserve">г.Яровое, с северной стороны д.12 кв.Б </t>
  </si>
  <si>
    <t>1.5.0903.К</t>
  </si>
  <si>
    <t>Проезды внутриквартальные квартал "Б"</t>
  </si>
  <si>
    <t>инв.110112000010. Асфальтобетонное покрытие, ширина проезда- 5,0 м</t>
  </si>
  <si>
    <t>г.Яровое, кв."Б", ограниченная ул.40 лет Октября, территория жилых МКД № 10,12,16,17,37</t>
  </si>
  <si>
    <t>1.5.0904.К</t>
  </si>
  <si>
    <t>Тротуарные дорожки квартал "Б"</t>
  </si>
  <si>
    <t>инв.11012000009. Покрытие - тротуарная плитка, ширина - 1,6 м</t>
  </si>
  <si>
    <t>1.5.0905.К</t>
  </si>
  <si>
    <t>Детская площадка квартал "Б"</t>
  </si>
  <si>
    <t>детский игровой комплекс, состоит из: 3 башен с полом и крышей; 2 горки с защитными бортиками, высотой 1м; лестница подъемная со ступеньками и поручнями; мостик-переход в виде «дуги»; лаз цепной; лаз трехплоскостной наклонный.-качели, состоящие из двух опорных стоек, перекладины и подвесов на металлической цепи с сиденьями–1шт.,-качалка-балансир, представляющая собой сборно-азборную конструкцию,состоящую из неподвижного каркаса и качающейся перекладины–1шт., качели на пружине, представляющие собой цельносварную конструкцию, состоящую из основания и каркаса с сиденьем–1шт.,-карусель, представляющие собой цельносварную конструкцию, состоящую из основания и вращающейся платформы с сиденьями на 6 посадочных мест–1шт.- скамья на металлическом каркасе–2шт.,-урна металлическая круглая–2шт.Дооборудовано: скамья 1шт.,ограждение (панели 2*0,5м)-147м, теневой навес - 1шт.</t>
  </si>
  <si>
    <t>г.Яровое, кв."Б", района магазина "Базис"</t>
  </si>
  <si>
    <t>08.07.2020, 30.09.2020</t>
  </si>
  <si>
    <t>602, 825</t>
  </si>
  <si>
    <t>муниципальный контракт на выполнение работ/ акт приема-передачи</t>
  </si>
  <si>
    <t>10.06.2019, 21.04.2020/  31.07.2020</t>
  </si>
  <si>
    <t>ЭА-0120190108,ЭА-0120200089</t>
  </si>
  <si>
    <t>1.5.0906.К</t>
  </si>
  <si>
    <t>Спортивная площадка квартал "Б"</t>
  </si>
  <si>
    <t xml:space="preserve">Спортивная площадка состоит из:
- ограждение из сварной сетки 3Д ячейка (50х200) с распашной калиткой, высотой 2м,  со столбами и крепежом  - 93 п.м.; 
- стойка баскетбольная (с сеткой) - 2шт.;
- стойка волейбольная (с сеткой) - 1комплект (2 шт.);
- ворота футбольные (с сеткой) -2шт.
- площадка для воркаута, состоящая из 2-х спортивных комплексов:
комплекс 1: тройной каскад турников для отжиманий - 1 шт.,
уличный тренажер "Брусья"– 1шт;
комплекс 2: 2 скамееки для качания пресса размерами: 1655 x 1815 высота 1106 – 1шт, 1600 x 1195 высота 450 – 1шт.,
- уличные тренажеры -7шт.;
- урна металлическая круглая -2шт.;
- скамейка на металлической каркасе  - 2шт.
Дооборудовано: скамья 9 шт., урна 5 шт, резиновое покрытие 850  кв.м
</t>
  </si>
  <si>
    <t>г.Яровое, квартал "Б", возле домов 16, 17</t>
  </si>
  <si>
    <t>ЭА-0120190108,  ЭА-0120200089</t>
  </si>
  <si>
    <t>1.5.0907</t>
  </si>
  <si>
    <t>Ограждение для мусорных контейнеров</t>
  </si>
  <si>
    <t>инв.10112022. Размеры - 2,8м*1,8м*2,10м. Изготовлена из профтрубы и профлиста.</t>
  </si>
  <si>
    <t>г.Яровое, квартал "А", д.42</t>
  </si>
  <si>
    <t>акт приемки имущества</t>
  </si>
  <si>
    <t>1.5.0908</t>
  </si>
  <si>
    <t>инв.10112005. Размеры - 2,8м*1,8м*2,05м. Изготовлена из профтрубы и профлиста.</t>
  </si>
  <si>
    <t>г.Яровое, квартал "Б", д.31</t>
  </si>
  <si>
    <t>1.5.0909</t>
  </si>
  <si>
    <t>инв.10112006. Размеры - 2,8м*1,8м*2,105м. Изготовлена из профтрубы и профлиста.</t>
  </si>
  <si>
    <t>г.Яровое, квартал "Б", д.35</t>
  </si>
  <si>
    <t>1.5.0910</t>
  </si>
  <si>
    <t>инв.10112016. Размеры - 2,77м*1,2м*2,05м. Изготовлена из профтрубы и профлиста.</t>
  </si>
  <si>
    <t>г.Яровое, квартал "В", д.19</t>
  </si>
  <si>
    <t>1.5.0911</t>
  </si>
  <si>
    <t>инв.10112016. Размеры - 2,8м*1,2м*2,05м. Изготовлена из профтрубы и профлиста.</t>
  </si>
  <si>
    <t>г.Яровое, квартал "В", д.32</t>
  </si>
  <si>
    <t>1.5.0912</t>
  </si>
  <si>
    <t>инв.10112007. Размеры - 2,8м*1,21м*2,20м. Изготовлена из профтрубы и профлиста.</t>
  </si>
  <si>
    <t>г.Яровое, квартал "Б", д.37</t>
  </si>
  <si>
    <t>1.5.0913</t>
  </si>
  <si>
    <t>инв. 10112034. Размеры - 2,8м*1,2м*2,05м. Изготовлена из профтрубы и профлиста.</t>
  </si>
  <si>
    <t>г.Яровое, квартал "А", д.13</t>
  </si>
  <si>
    <t>1.5.0914</t>
  </si>
  <si>
    <t>инв. 10112010. Размеры - 2,81м*1,21м*2,05м. Изготовлена из профтрубы и профлиста.</t>
  </si>
  <si>
    <t>г.Яровое, квартал "А", д.21</t>
  </si>
  <si>
    <t>1.5.0915.К</t>
  </si>
  <si>
    <t>Проезды квартала Б (парк семейного отдыха)</t>
  </si>
  <si>
    <t>инв.110112000012. Асфальтобетонное покрытие</t>
  </si>
  <si>
    <t>г.Яровое, квартал "Б" с восточной стороны ЦНТТУ вдоль ограждания</t>
  </si>
  <si>
    <t>21.04.2020/  31.07.2020</t>
  </si>
  <si>
    <t>ЭА-0120200089</t>
  </si>
  <si>
    <t>1.5.0916</t>
  </si>
  <si>
    <t>Ж/бетонный поддон для сбора розлива серной кислоты на сущест-х путях кислотного хоз-ва ТЭЦ</t>
  </si>
  <si>
    <t xml:space="preserve">инв.13601343. Длина -21,30 м, ширина - 5,40 м, объем приемного лотка - 17,6 м³, 
материал объекта - железобетон марки М200.
</t>
  </si>
  <si>
    <t>30/08-2020</t>
  </si>
  <si>
    <t>1.5.0917</t>
  </si>
  <si>
    <t>Ж/бетонный поддон для сбора розлива мазута на сущест-х путях мазутного хоз-ва ТЭЦ</t>
  </si>
  <si>
    <t xml:space="preserve">инв.13601344. Длина -13,20 м, ширина -4,30 м, объем приемного лотка - 11,35 м³ 
материал объекта - железобетон марки М200.
</t>
  </si>
  <si>
    <t>1.5.0918</t>
  </si>
  <si>
    <t>Поддон и фундаменты под оборудование</t>
  </si>
  <si>
    <t>инв.37001902. Поддон и фундаменты по емкости Е1 и Е2</t>
  </si>
  <si>
    <t>1.5.0919</t>
  </si>
  <si>
    <t>Ограждение металлическое из панелей 3D</t>
  </si>
  <si>
    <t xml:space="preserve">инв.110112000018. Состоит из секционных панелей Optima 3D, панель с полимерным покрытием диаметр прутка 5 мм - 360 п.м. Калитка из решетчатых панелей H-2000 мм - 4 шт.. Ворота 3000х2000 - 2 шт. </t>
  </si>
  <si>
    <t>г. Яровое ЦНТТУ</t>
  </si>
  <si>
    <t>30.10.2020; 03.03.2021</t>
  </si>
  <si>
    <t>905; 147</t>
  </si>
  <si>
    <t>1.5.0920.К</t>
  </si>
  <si>
    <t xml:space="preserve">Ролледром </t>
  </si>
  <si>
    <t>инв.110112000020. Территория кв. Б д.38, 34,35, ЦНТТУ. Имеет асфальтовое покрытие - 1331,2 кв.м, бортовой камень -660 п.м.</t>
  </si>
  <si>
    <t>1.5.0921.К</t>
  </si>
  <si>
    <t xml:space="preserve">Тротуары </t>
  </si>
  <si>
    <t>инв.110112000019. Территория кв. Б д.38, 34,35, ЦНТТУ. Расположены по границам северной и южной части здания Б-37 (ЦНТТУ), восточной стороны здания Б-38 (Русь), вдоль южной торцевой сторон домов  № 32,33, кв.Б. Плиточное мощение - 1159,2 кв.м, бортовой камень -1137 п.м.</t>
  </si>
  <si>
    <t>1.5.0922.К</t>
  </si>
  <si>
    <t>Проезды</t>
  </si>
  <si>
    <t>инв.110112000022. Территория кв. Б д.38, 34,35, ЦНТТУ. Расположены между задней стороной д.29 кв.Б (Базис), д.35 (д/с №29), уличным мино-рынком, д.38 кв.Б (Русь), д..37 (ЦНТТУ), д.16, д.12, кв.Б.</t>
  </si>
  <si>
    <t>1.5.0923.К</t>
  </si>
  <si>
    <t>Площадки парковочные</t>
  </si>
  <si>
    <t>инв.110112000021. Территория кв. Б д.38, 34,35, ЦНТТУ. Площадка парковочная: 1. кв.Б между д.34 д.32 (западная сторона) асфальтовое покрытие, бортовой камень, с  дорожными знаками: тип 6.4 "Место стоянки" - 1 шт., тип. 8.6.5 "Способ постановки на стоянку" - 1 шт.; 2. кв.Б между д.35 (д/с №29)и д.32,33 асфальтовое покрытие,  бортовой камень, с  дорожными знаками: тип 6.4 "Место стоянки" - 1 шт., тип. 8.6.5 "Способ постановки на стоянку" - 1 шт.; 3. кв.Б (восточная сторона)асфальтовое покрытие, бортовой камень, с  дорожными знаками: тип 6.4 "Место стоянки" - 1 шт., тип. 8.6.5 "Способ постановки на стоянку" - 1 шт.; 4. кв.Б д.37 возле мед.центра "Линия жизни" (южная сторона)  асфальтовое покрытие, бортовой камень, с  дорожными знаками: тип 6.4 "Место стоянки" - 1 шт., тип. 8.6.5 "Способ постановки на стоянку" - 1 шт.; 5. кв.Б (северная сторона от спортивной площадки и д.37 (ЦНТТУ) сфальтовое покрытие, бортовой камень, с  дорожными знаками: тип 6.4 "Место стоянки" - 1 шт., тип. 8.6.5 "Способ постановки на стоянку" - 1 шт. тимп 8.17 "Инвалиды" -1 шт.</t>
  </si>
  <si>
    <t>1.5.0924.К</t>
  </si>
  <si>
    <t>Тротуар из плитки на территории "Пешеходная зона" от ул. Кулундинская до ул. Барнаульская вдоль ул. Мира (восточная сторона)</t>
  </si>
  <si>
    <t>Тротуар из плитки на территории "Пешеходная зона" от ул. Кулундинская до ул. Барнаульская вдоль ул. Мира (восточная сторона). Пешеходный тротуар состоящий из двухцветной (серая и красная) тротуарной плитки общей площадью 678 кв.м и поребрика в количестве 550 шт.</t>
  </si>
  <si>
    <t>Муниципальный контракт, Акт приема передачи</t>
  </si>
  <si>
    <t xml:space="preserve">16.03.2021, 15.06.2021 </t>
  </si>
  <si>
    <t>ЭА-0120210061, б/н</t>
  </si>
  <si>
    <t>1.5.0925.К</t>
  </si>
  <si>
    <t>Площадки из тротуарной плитки в районе пешеходного перехода г.Яровое, ул. Мира</t>
  </si>
  <si>
    <t>Площадки из тротуарной плитки в районе пешеходного перехода г.Яровое, ул. Мира (возле МБОУ СОШ № 19). Из тротуарной плитки площадью 24 кв.м и бортового камня в количестве 13,8; из тротуарной плитки площадью 28,8 кв.м и бортового камня в количестве 16,6.</t>
  </si>
  <si>
    <t>25.08.2021; 17.11.2021</t>
  </si>
  <si>
    <t>615; 841</t>
  </si>
  <si>
    <t>08.02.2021, 26.07.2021</t>
  </si>
  <si>
    <t>ЕП4-0120210053, б/н</t>
  </si>
  <si>
    <t>1.5.0926.К</t>
  </si>
  <si>
    <t>Пешеходное ограждение ул. Мира, 19, (МБОУ СОШО № 19)</t>
  </si>
  <si>
    <t>Пешеходное металлическое ограждение в объеме 142 п.м.</t>
  </si>
  <si>
    <t>Территория прилегающая к автостоянке МБОУ СОШ                    № 19</t>
  </si>
  <si>
    <t>08.02.2021;31.08.2021</t>
  </si>
  <si>
    <t>ЕП4-0120210054; б/н</t>
  </si>
  <si>
    <t>1.5.0927.К</t>
  </si>
  <si>
    <t>Тротуар из плитки на территории "Сквер для прогулок и отдыха детей квартал В"</t>
  </si>
  <si>
    <t xml:space="preserve">инв. 110132000057 Тротуар из плитки 1129,73 кв.м. </t>
  </si>
  <si>
    <t>Сквер для прогулок и отдыха детей квартал В ограниченный территориями МБДОУ ЦРР д/с № 32 и жилыми домами №№ 8, 10, кв."В"</t>
  </si>
  <si>
    <t>1.5.0928.К</t>
  </si>
  <si>
    <t>Пешеходная зона (тротуар из плитки)</t>
  </si>
  <si>
    <r>
      <t xml:space="preserve">Часть территории между улицами Барнаульская и Шукшина. Промежуток мужду ул. Барнаульская и северо-западной границы здания №19-МБОУ "Средняя общеобразовательная школа </t>
    </r>
    <r>
      <rPr>
        <i/>
        <sz val="8"/>
        <rFont val="Times New Roman"/>
        <family val="1"/>
        <charset val="204"/>
      </rPr>
      <t xml:space="preserve"> </t>
    </r>
    <r>
      <rPr>
        <sz val="8"/>
        <rFont val="Times New Roman"/>
        <family val="1"/>
        <charset val="204"/>
      </rPr>
      <t>19", вдоль ул. Мира (восточная сторона), г.Яровое, Алтайский край". Плитка (брусчатка), форма кирпичик, толщ. 60мм.-907 кв.м. Бортовые камни бетонные сечением 100*200 мм-907 кв.м.</t>
    </r>
  </si>
  <si>
    <t>От ул. Барнаульская до ул. Шукшина</t>
  </si>
  <si>
    <t>21.02.2022; 16.06.2022</t>
  </si>
  <si>
    <t>ЭА-0120220054; б/н</t>
  </si>
  <si>
    <t>1.5.0929.К</t>
  </si>
  <si>
    <t>Часть территории между улицами Барнаульская и Шукшина. Промежуток от северо-западной границы здания №19-МБОУ "Средняя общеобразовательная школа 19"до ул. Шукшина, вдоль ул. Мира (восточная сторона), г.Яровое, Алтайский край. Плитка (брусчатка), форма кирпичик, толщ. - 592 кв.м. Бортовые камни -594 кв.м.</t>
  </si>
  <si>
    <t>1.5.0930.К</t>
  </si>
  <si>
    <t>Тротуар из плитки "Сквер для прогулок и отдыха детей", квартал "В" (север.сторона)</t>
  </si>
  <si>
    <t>Пешеходный тротуар из плитки с северной стороны площадью 895,81 м2</t>
  </si>
  <si>
    <t>Квартал "В", севеная сторона</t>
  </si>
  <si>
    <t>Муниципальный котракт; акт приема передачи</t>
  </si>
  <si>
    <t>ЭА-0120220053; б/н</t>
  </si>
  <si>
    <t>1.5.0931.К</t>
  </si>
  <si>
    <t>Автомобильная асфальтированная дорога с дорож. Знаками кв.В вдоль забора д/с 32</t>
  </si>
  <si>
    <t>Автомобильная асфальтированная дорога площадью 887,97 м2 со знаками дорожными тип 5.20 – 4 шт. и  искусственной дорожной неровностью площадью 3 м2</t>
  </si>
  <si>
    <t>Квартал "В"</t>
  </si>
  <si>
    <t>1.5.0932.К</t>
  </si>
  <si>
    <t>Пешеходное ограждение между зданием полит.техникума и выездом на террит. МСЧ 128</t>
  </si>
  <si>
    <t>Металлическое ограждение (с погружением опорных стоек в бетонное основание) из трубы квадратной размером - 40*40-2мм (274,06м); - 30*30*2мм (418, 19 м); - 60*60*4мм (112,5)</t>
  </si>
  <si>
    <t>ул. Гагарина, между зданием полит.техникума и выездом на террит. МСЧ 128</t>
  </si>
  <si>
    <t>25.04.2022; 19.08.2022</t>
  </si>
  <si>
    <t>ЭА-0120220093; б/н</t>
  </si>
  <si>
    <t>1.5.0933</t>
  </si>
  <si>
    <t>Хоккейный корт с ограждениями</t>
  </si>
  <si>
    <t xml:space="preserve"> инв. 3061506, площадь 56*26</t>
  </si>
  <si>
    <t>МБУ СП "СШ" г.Яровое</t>
  </si>
  <si>
    <t>Контракт на выполнение работ</t>
  </si>
  <si>
    <t>ЭА-6120220053</t>
  </si>
  <si>
    <t>Подраздел 1.6 "Сети электрические"</t>
  </si>
  <si>
    <t>1.6.0009</t>
  </si>
  <si>
    <t xml:space="preserve">Наружное освещение </t>
  </si>
  <si>
    <t>12.1980</t>
  </si>
  <si>
    <t>инв.01200016</t>
  </si>
  <si>
    <t>1.6.0036</t>
  </si>
  <si>
    <t>22:72:060301:1520</t>
  </si>
  <si>
    <t>Кабельная линия эл.передач 0,4 кВт</t>
  </si>
  <si>
    <t>инв.01200009. Ввод № 1, № 2. Кабель силовой АВВГ, трубы асбоцементные. Кап.ремонт 10-2018 от РУ-0,4 кВт ТП-255 до ВРУ 0,4 кВт д/сада № 31</t>
  </si>
  <si>
    <t xml:space="preserve"> Российская Федерация, Алтайский край, городской округ город Яровое, г. Яровое, кв-л А, сооружение 13/2кл  </t>
  </si>
  <si>
    <t xml:space="preserve">26.11.2018; 02.11.2022; </t>
  </si>
  <si>
    <t>1146; 979</t>
  </si>
  <si>
    <t>контракт на выполнение работ по кап.ремонту каб.линии; выписка из ЕГРН</t>
  </si>
  <si>
    <t>20.07.2018; 28.10.2022</t>
  </si>
  <si>
    <t>2820180171; 22:72:060301:1520-22/111/2022-1</t>
  </si>
  <si>
    <t>контракт №2820180171 на выполнение работ по кап.ремонту каб.линии,  от 20.07.2018</t>
  </si>
  <si>
    <t>1.6.0325</t>
  </si>
  <si>
    <t>Воздушная линия электропередач наружного освещения</t>
  </si>
  <si>
    <t>XII - 1977</t>
  </si>
  <si>
    <t xml:space="preserve">инв.10103035к. ВЛ-0,4 кВ (кабель) 3xА35                                                                         </t>
  </si>
  <si>
    <t>территория шк .№14  кв. А</t>
  </si>
  <si>
    <t>1.6.0362</t>
  </si>
  <si>
    <t>Данная линия является воздушной линией, что не является объектом капитального строительства и не может быть поставлено на кадастровый учет. Письмо от МУП ЯТЭК от 17.10.2022 № б/н (Пульс про)</t>
  </si>
  <si>
    <t>Кабельная линия (Воздушная линия)</t>
  </si>
  <si>
    <t>инв.01200001. ЛЭП-0,4 кВт</t>
  </si>
  <si>
    <t>кв. "В", 19</t>
  </si>
  <si>
    <t>1.6.0375</t>
  </si>
  <si>
    <t>Освещение внутреннее</t>
  </si>
  <si>
    <t>V / 1983г.</t>
  </si>
  <si>
    <t>инв.210104200028. ТИП ЛБ -40, лампы накаливания ДРЛ (кол-во 915 шт.)</t>
  </si>
  <si>
    <t>1.6.0674</t>
  </si>
  <si>
    <t>22:72:060202:314</t>
  </si>
  <si>
    <t>Кабельная линия</t>
  </si>
  <si>
    <t>ААБ 3*35</t>
  </si>
  <si>
    <t xml:space="preserve">Российская Федерация, Алтайский край, городской округ город Яровое, город Яровое, улица Кулундинская, сооружение 54/кл </t>
  </si>
  <si>
    <t>06.10.2011; 17.10.2022</t>
  </si>
  <si>
    <t>1017; 882</t>
  </si>
  <si>
    <t>Постановление; акт обследования; выписка из ЕГРН</t>
  </si>
  <si>
    <t>06.10.2011; 29.09.2011; 11.10.2022</t>
  </si>
  <si>
    <t>1017; б/н; 22:72:060202:314-22/111-2022-1</t>
  </si>
  <si>
    <t>1.6.0679</t>
  </si>
  <si>
    <t>22:72:000000:406</t>
  </si>
  <si>
    <t>ААБ 3*150</t>
  </si>
  <si>
    <t xml:space="preserve">Российская Федерация, Алтайский край, городской округ город Яровое, город Яровое, улица 40 лет Октября, сооружение 1д/кл </t>
  </si>
  <si>
    <t>27.08.2015; 27.10.2022</t>
  </si>
  <si>
    <t>725; 933</t>
  </si>
  <si>
    <t>постановление;    акт обследования</t>
  </si>
  <si>
    <t>06.10.2011; 29.09.2011; 25.10.2022</t>
  </si>
  <si>
    <t>1017; б/н; 22:72:000000:406-22/111/2022-1</t>
  </si>
  <si>
    <t>1.6.0684</t>
  </si>
  <si>
    <t>Данная линия по факту не существует. Письмо от МУП ЯТЭК от 17.10.2022 № б/н (Пульс про)</t>
  </si>
  <si>
    <t>1953</t>
  </si>
  <si>
    <t>ААБ 3*25</t>
  </si>
  <si>
    <t>ул.Ленина, 9</t>
  </si>
  <si>
    <t>06.10.2011; 29.09.2011</t>
  </si>
  <si>
    <t>1.6.0685</t>
  </si>
  <si>
    <t>22:72:000000:416</t>
  </si>
  <si>
    <t>ААБ 3*25+1*10</t>
  </si>
  <si>
    <t xml:space="preserve">Российская Федерация, Алтайский край, г. Яровое, ул. Ленина, сооружение 9/кл </t>
  </si>
  <si>
    <t>06.10.2011; 29.11.2022</t>
  </si>
  <si>
    <t>1017; 1091</t>
  </si>
  <si>
    <t>постановление;    акт обследования; Выписка ЕГРН</t>
  </si>
  <si>
    <t>06.10.2011; 29.09.2011; 23.11.2022</t>
  </si>
  <si>
    <t>1017; б/н; 22:72:000000:416-22/111/2022-1</t>
  </si>
  <si>
    <t>1.6.0691</t>
  </si>
  <si>
    <t>АВВГ 3*50+1*25</t>
  </si>
  <si>
    <t>квартал А, д.19</t>
  </si>
  <si>
    <t xml:space="preserve">МБУК"Музей истории" г.Яровое </t>
  </si>
  <si>
    <t>1.6.0696</t>
  </si>
  <si>
    <t xml:space="preserve">кв.Б д.37 </t>
  </si>
  <si>
    <t>1.6.0697</t>
  </si>
  <si>
    <t>ААБ 3*95+1*50</t>
  </si>
  <si>
    <t>кв.Б д.37</t>
  </si>
  <si>
    <t>1.6.0701</t>
  </si>
  <si>
    <t>ААБ 3*70</t>
  </si>
  <si>
    <t>кв.Б д.35</t>
  </si>
  <si>
    <t>1.6.0702</t>
  </si>
  <si>
    <t>АВВГ 3*95+1*50</t>
  </si>
  <si>
    <t>1.6.0703</t>
  </si>
  <si>
    <t>22:72:060201:2489</t>
  </si>
  <si>
    <t>Кабельная силовая линия</t>
  </si>
  <si>
    <t>0,4кВ, АВВГ 3*70+1*35</t>
  </si>
  <si>
    <t xml:space="preserve">Российская Федерация, Алтайский край, городской округ город Яровое, г. Яровое, кв-л В, соор. 32/2кл </t>
  </si>
  <si>
    <t>06.10.2011; 06.10.2022</t>
  </si>
  <si>
    <t>1017; 835</t>
  </si>
  <si>
    <t>06.10.2011; 29.09.2011; 30.09.2022</t>
  </si>
  <si>
    <t>1017; 22:72:060201:2489-22/111/2022-1</t>
  </si>
  <si>
    <t>1.6.0709</t>
  </si>
  <si>
    <t>22:72:060201:2490; письмо с МУП "ЯТЭК" от 31.08.2022 № 2131 (уточнение)</t>
  </si>
  <si>
    <t>инв.10113006. АВВГ 3*185+1*50</t>
  </si>
  <si>
    <t xml:space="preserve">Российская Федерация, Алтайский край, городской округ город Яровое, город Яровое, квртал "В", сооружение 19/3кл                </t>
  </si>
  <si>
    <t>06.10.2011; 06.10.2022; 31.10.2022</t>
  </si>
  <si>
    <t>1017; 835; 961</t>
  </si>
  <si>
    <t>1017; 22:72:060201:2490-22/115/2022-1</t>
  </si>
  <si>
    <t>1.6.0710</t>
  </si>
  <si>
    <t>22:72:060201:2488</t>
  </si>
  <si>
    <t>инв.10113008. АВВТ 3*50+1*25</t>
  </si>
  <si>
    <t xml:space="preserve">Российская Федерация, Алтайский край, городской округ город Яровое, город Яровое, квартал "В", сооружение 19/1кл </t>
  </si>
  <si>
    <t>06.10.2011; 04.10.2022</t>
  </si>
  <si>
    <t>1017; 816</t>
  </si>
  <si>
    <t>1017; б/н; 22:72:060201:2488-22/115/2022-1</t>
  </si>
  <si>
    <t>1.6.0711</t>
  </si>
  <si>
    <t>22:72:060201:2487</t>
  </si>
  <si>
    <t>инв.10113007. АВВТ 3*50+1*25</t>
  </si>
  <si>
    <t xml:space="preserve">Российская Федерация, Алтайский край, городской округ город Яровое, город Яровое, квартал "В", сооружение 19/2кл                                      </t>
  </si>
  <si>
    <t>1017; б/н; 22:72:060201:2487-22/111/2022-1</t>
  </si>
  <si>
    <t>1.6.0714</t>
  </si>
  <si>
    <t>кв."Б" д.31</t>
  </si>
  <si>
    <t>1.6.0715</t>
  </si>
  <si>
    <t>1.6.0716.К</t>
  </si>
  <si>
    <t>1976</t>
  </si>
  <si>
    <t>ААБ 3*50</t>
  </si>
  <si>
    <t>кв."А" д.41</t>
  </si>
  <si>
    <t>1.6.0717.К</t>
  </si>
  <si>
    <t>1.6.0718</t>
  </si>
  <si>
    <t>АВВГ 3*95+1*35</t>
  </si>
  <si>
    <t xml:space="preserve">кв. "А" д. 42   </t>
  </si>
  <si>
    <t>1.6.0723</t>
  </si>
  <si>
    <t>кв."А" д.21</t>
  </si>
  <si>
    <t>1.6.0724</t>
  </si>
  <si>
    <t>1.6.0727</t>
  </si>
  <si>
    <t>1967</t>
  </si>
  <si>
    <t>АВВГ 3*35+1*35</t>
  </si>
  <si>
    <t>ул.Гагарина,1</t>
  </si>
  <si>
    <t>1.6.0728</t>
  </si>
  <si>
    <t>1.6.0732</t>
  </si>
  <si>
    <t>инв.2101063000470.  4кВ, АВВГ 3*150+1*70</t>
  </si>
  <si>
    <t>ул.Гагарина,9</t>
  </si>
  <si>
    <t>1.6.0733</t>
  </si>
  <si>
    <t>0,4кВ, АВВГ 3*10+1*4</t>
  </si>
  <si>
    <t>1.6.0737</t>
  </si>
  <si>
    <t xml:space="preserve">Письмо МУП ЯТЭК от 24.02.2022 № 445 - О согласовании контракта ( эл.сеть не будет являтся объектом капитального строительства потому, что они явл.неотъемлемой частью здания (внутри объектовые сети ТЭЦ)) Скан в Пульс про    </t>
  </si>
  <si>
    <t>подземная, АБВГ 3*150+1*70</t>
  </si>
  <si>
    <t>ул.Гагарина,7</t>
  </si>
  <si>
    <t>1.6.0738</t>
  </si>
  <si>
    <t xml:space="preserve">Письмо МУП ЯТЭК от 24.02.2022 № 445 - О согласовании контракта ( эл.сеть не будет являтся объектом капитального строительства потому, что они явл.неотъемлемой частью здания (внутри объектовые сети ТЭЦ)) Скан в Пульс про     </t>
  </si>
  <si>
    <t>подземная, АВВГ 4*95</t>
  </si>
  <si>
    <t>1.6.0805</t>
  </si>
  <si>
    <t xml:space="preserve">22:72:020202:668 </t>
  </si>
  <si>
    <t>Кабельная силовая линия к корпусу 251</t>
  </si>
  <si>
    <t>Литер 21. Подземная, 380В, ААБГ 3*70. Износ - 55 %</t>
  </si>
  <si>
    <t>пл.Предзаводская, 2</t>
  </si>
  <si>
    <t>МУП"ЯТЭК"</t>
  </si>
  <si>
    <t>241; 35; 22АД 670326</t>
  </si>
  <si>
    <t>1.6.0806.К</t>
  </si>
  <si>
    <t xml:space="preserve">22:72:020202:666 </t>
  </si>
  <si>
    <t>Кабельная силовая линия 6 кВ к корпусу 245</t>
  </si>
  <si>
    <t>Литер 19. Подземная, АШВ 3х95. Износ - 55 %.</t>
  </si>
  <si>
    <t>г.Яровое, пл.Предзаводская, 2</t>
  </si>
  <si>
    <t>241; 35; 22АД 670323</t>
  </si>
  <si>
    <t>1.6.0807</t>
  </si>
  <si>
    <t xml:space="preserve">22:72:020202:699 </t>
  </si>
  <si>
    <t>Кабельная линия эл.передач от к.94</t>
  </si>
  <si>
    <t>Литер 120.  АВВГ 4х6 0,4 кВ. Износ  - 40 %</t>
  </si>
  <si>
    <t>241; 35; 22АД 671713</t>
  </si>
  <si>
    <t>1.6.0811</t>
  </si>
  <si>
    <t>22:72:060303:1167</t>
  </si>
  <si>
    <t>Кабельная линия электропередачи 0,4 кВ</t>
  </si>
  <si>
    <t>г.Яровое, в западной части застроенной территории КЛЭП-0,4 кВ от ТП-262</t>
  </si>
  <si>
    <t>МУП"ЯТЭК"/ ООО "Заринская сетевая компания"</t>
  </si>
  <si>
    <t>постановление; постановление; договор аренды</t>
  </si>
  <si>
    <t>19.06.2012; 21.04.2017; 27.03.2020; 02.05.2017</t>
  </si>
  <si>
    <t>591; 378; 280; 37-юр</t>
  </si>
  <si>
    <t>01.01.2008; 13.10.2010</t>
  </si>
  <si>
    <t>Постановление ВСРФ; Выписка из ЕГГРН об объекте недвижимости</t>
  </si>
  <si>
    <t>27.12.1991; 27.03.2017</t>
  </si>
  <si>
    <t>3020-1; 22:72:060303:1167-22/024-2017-1</t>
  </si>
  <si>
    <t>инв.13600486. КЛ-0,4кВ, кабель ААБ-3х120 мм2 в траншее</t>
  </si>
  <si>
    <t>к д. 38 кв. "А" от ТП-262</t>
  </si>
  <si>
    <t>инв.13600493.КЛ-0,4 кВ в траншее ААБ 3*95 мм2, АВбБШВ 2(4*50)</t>
  </si>
  <si>
    <t>ТП-262 до д. 11 кв. "А" - 45м, д.12 - 127м</t>
  </si>
  <si>
    <t>XII - 1983</t>
  </si>
  <si>
    <t>инв.13600500. КЛ-0,4 кВ, в траншее АСБ 3*95мм2</t>
  </si>
  <si>
    <t>от ТП-262 к  д.16 кв. "А"</t>
  </si>
  <si>
    <t xml:space="preserve">инв.13600547. КЛ-0,4 кВ, выделены из жил.домов. Подземная, кабель АСБ 3*95 мм2 </t>
  </si>
  <si>
    <t>кв.А д.24 -ТП-262</t>
  </si>
  <si>
    <t xml:space="preserve"> инв.13600548. КЛ-0,4 кВ, выделены из жил.домов. Подземная, кабель АСБ 3*120 мм2 </t>
  </si>
  <si>
    <t>кв.А д.30 -ТП-262</t>
  </si>
  <si>
    <t xml:space="preserve"> инв.13600549. КЛ-0,4 кВ, выделены из жил.домов. Подземная, кабель АСБ 3*95 мм2 </t>
  </si>
  <si>
    <t>кв.А д.37 -ТП-262</t>
  </si>
  <si>
    <t xml:space="preserve"> инв.13600550. КЛ-0,4 кВ, выделены из жил.домов. Подземная, кабель 2ААБ 3*95 мм2+1х50мм2 </t>
  </si>
  <si>
    <t>кв.А д.6 -ТП-262</t>
  </si>
  <si>
    <t>1.6.0812</t>
  </si>
  <si>
    <t>22:72:000000:67</t>
  </si>
  <si>
    <t>Комплекс городская электросеть № 3:</t>
  </si>
  <si>
    <t>22.05.2018; 01.08.2018; 27.03.2020; 01.08.2018</t>
  </si>
  <si>
    <t>227; 753; 437; 280; б/н</t>
  </si>
  <si>
    <t>Выписка из Единого государственного реестра недвижимости об основных характеристиках и зарегистрированных правах на объект недвижимости; распоряжение (край); акт приема-передачи</t>
  </si>
  <si>
    <t>26.04.2018; 27.10.2015; 14.11.2014; 11.12.2014</t>
  </si>
  <si>
    <t>22:72:00000: 67-22/024/ 2018-1; 720</t>
  </si>
  <si>
    <t>Здание подстанции ТП-256</t>
  </si>
  <si>
    <t>12 - 1970</t>
  </si>
  <si>
    <t>инв.10102212к. Строение -кирпич; перекрытие-ж/б плиты, 5 панелей ЩО-70, покрытие рулонное, кровля мягкая (7,0*5,9) h=3,15 м, ворота железные</t>
  </si>
  <si>
    <t>кв.Б, 25</t>
  </si>
  <si>
    <t>Здание подстанции ТП-283</t>
  </si>
  <si>
    <t>10 - 1964</t>
  </si>
  <si>
    <t>инв. № 10102213к.  Кирпичное, плиты, ворота железные, кровля-рубероид (мягкая 5,7*5,8) h=3,5 м</t>
  </si>
  <si>
    <t>по ул.Алтайская-Верещагина</t>
  </si>
  <si>
    <t>Здание подстанции ТП-282</t>
  </si>
  <si>
    <t>инв. № 10102214к. Кирпичное, плиты, ворота железные, кровля-рубероид (мягкая 5,6*5,6) h=3,5 м</t>
  </si>
  <si>
    <t>по ул.Первомайская-Ленина</t>
  </si>
  <si>
    <t>Здание подстанции ТП-287</t>
  </si>
  <si>
    <t>инв. № 10102215к. Кирпичное, плиты, ворота железные, кровля-рубероид (мягкая 5,6*5,6) h=3,5 м</t>
  </si>
  <si>
    <t>по ул.Пушкина</t>
  </si>
  <si>
    <t>Здание подстанции ТП-286</t>
  </si>
  <si>
    <t>12 - 1961</t>
  </si>
  <si>
    <t>инв. № 10102216к. Кирпичное, плиты, ворота железные, кровля-рубероид (мягкая 5,5*5,5) h=3,3 м</t>
  </si>
  <si>
    <t>по ул.Барнаульская</t>
  </si>
  <si>
    <t>Здание подстанции ТП-253</t>
  </si>
  <si>
    <t>1 - 1967</t>
  </si>
  <si>
    <t>инв. № 10102217к. Кирпичное, плиты, ворота железные, кровля-рубероид (мягкая 7,0*6,2) h=3,15 м</t>
  </si>
  <si>
    <t>кв.Б, юго-восточная сторона</t>
  </si>
  <si>
    <t>Здание подстанции ТП-251</t>
  </si>
  <si>
    <t>12 - 1966</t>
  </si>
  <si>
    <t>инв. № 10102218к. Кирпичное, плиты, ворота железные, кровля-рубероид</t>
  </si>
  <si>
    <t>по ул.40 лет Октября 6а</t>
  </si>
  <si>
    <t>Здание подстанции ТП-257</t>
  </si>
  <si>
    <t>07 - 1970</t>
  </si>
  <si>
    <t>инв. № 10102219к. Кирпичное, плиты, ворота железные</t>
  </si>
  <si>
    <t>кв.Б,северо-западная сторона шк.12</t>
  </si>
  <si>
    <t>Здание подстанции ТП-250</t>
  </si>
  <si>
    <t>инв. № 10102220к. Кирпичное, плиты, ворота железные, кровля-рубероид</t>
  </si>
  <si>
    <t>кв.Б,северная часть</t>
  </si>
  <si>
    <t>Здание подстанции ТП-252</t>
  </si>
  <si>
    <t>12- 1973</t>
  </si>
  <si>
    <t>инв. № 10102221к. Кирпичное, плиты, ворота железные, кровля-рубероид</t>
  </si>
  <si>
    <t>кв.Б,восточная сторона</t>
  </si>
  <si>
    <t>ТП-249</t>
  </si>
  <si>
    <t>здание кирпичное, перекрытие ЖБИ, кровля мягкая (5,3*9,8) h=3,9 панели 5шт ЩО-59 (самодел)</t>
  </si>
  <si>
    <t>ул.Перекопская</t>
  </si>
  <si>
    <t>ТП-269</t>
  </si>
  <si>
    <t>здание кирпичное, перекрытие ЖБИ, кровля мягкая (6,2*15,4) h=4,5 6шт ЩО-59</t>
  </si>
  <si>
    <t>кв.В, северная сторона, район д.22</t>
  </si>
  <si>
    <t>ТП-266</t>
  </si>
  <si>
    <t>здание кирпичное, перекрытие ЖБИ, кровля мягкая (5,0*10,0) h=3,3, 6шт ЩО-70</t>
  </si>
  <si>
    <t>кв.В, западная сторона, д.16</t>
  </si>
  <si>
    <t>ТП-267</t>
  </si>
  <si>
    <t>здание кирпичное, перекрытие ЖБИ, кровля мягкая (5,4*9,6) h=3,6, 6шт ЩО-59</t>
  </si>
  <si>
    <t>северная сторона школы №19</t>
  </si>
  <si>
    <t>ТП-263</t>
  </si>
  <si>
    <t>здание кирпичное, перекрытие ЖБИ, кровля мягкая (7,2*5,0) h=3,9 4шт ЩО-70</t>
  </si>
  <si>
    <t>западная сторона кв.В, д.4</t>
  </si>
  <si>
    <t>ТП-265</t>
  </si>
  <si>
    <t>здание кирпичное, перекрытие ЖБИ, кровля мягкая (12,5*9,4) h=5,1, 5шт ЩО-70</t>
  </si>
  <si>
    <t>ул.Барнаульская (парк аттракционов)</t>
  </si>
  <si>
    <t>ТП-259</t>
  </si>
  <si>
    <t>здание кирпичное, перекрытие ЖБИ, кровля мягкая, (5,15*10,1) h=3,5 8шт ЩО-70</t>
  </si>
  <si>
    <t>северная сторона кв.А д.29</t>
  </si>
  <si>
    <t>Здание - корпус 262 ТП-49</t>
  </si>
  <si>
    <t>кв."А",корпус 262 ТП 49</t>
  </si>
  <si>
    <t xml:space="preserve">  </t>
  </si>
  <si>
    <t>Здание насосной 2-го подъема к.67</t>
  </si>
  <si>
    <t xml:space="preserve">пл.Предзаводская,2 </t>
  </si>
  <si>
    <t>Здание - ТП 264</t>
  </si>
  <si>
    <t xml:space="preserve"> Кирпичное, прямоугольное, одноэтажное, отдельно стоящее,  перекрыто ж/б пустотными плитами, фундамент ж/б, V=65,6 м3, S=16,0 м2</t>
  </si>
  <si>
    <t>кв."В", д.2, здание ТП 264</t>
  </si>
  <si>
    <t xml:space="preserve">Здание - корпус 254 ТП 47 </t>
  </si>
  <si>
    <t xml:space="preserve"> Кирпичное, прямоугольное, одноэтажное, отдельно стоящее,  перекрыто ж/б пустотными плитами, фундамент ж/б, V=98,4 м3, S=24,0 м2</t>
  </si>
  <si>
    <t>кв."А", корпус 254 ТП 47</t>
  </si>
  <si>
    <t xml:space="preserve">Здание- корпус 258 ТП 58 </t>
  </si>
  <si>
    <t xml:space="preserve"> Кирпичное, прямоугольное, одноэтажное, отдельно стоящее,  перекрыто ж/б пустотными плитами, фундамент ж/б, V=103,2 м3, S=48,0 м2</t>
  </si>
  <si>
    <t>ул.Гагарина, 11, корпус 258 ТП 58</t>
  </si>
  <si>
    <t xml:space="preserve">Здание подстанции ЦРП - 6 </t>
  </si>
  <si>
    <t xml:space="preserve"> Кирпичное, прямоугольное, одноэтажное, отдельно стоящее,  перекрыто ж/б пустотными плитами, фундамент ж/б, V=98,4 м3, S=48,0 м2</t>
  </si>
  <si>
    <t xml:space="preserve">кв."Б", здание ЦРП - 6 </t>
  </si>
  <si>
    <t>Здание ЦРП - 15</t>
  </si>
  <si>
    <t>ул.Заводская, здание ЦРП - 15</t>
  </si>
  <si>
    <t>Трансформаторная подстанция ТП 50/261/м/р"А"</t>
  </si>
  <si>
    <t xml:space="preserve"> Кирпичное, прямоугольное, одноэтажное, отдельно стоящее,  перекрыто ж/б пустотными плитами, фундамент ж/б, S=48,0 м2</t>
  </si>
  <si>
    <t>кв."А", здание ТП 261</t>
  </si>
  <si>
    <t>Трансформаторная подстанция ТП 48/255/м/р"А"</t>
  </si>
  <si>
    <t>Кирпичное, прямоугольное, одноэтажное, отдельно стоящее,  перекрыто ж/б пустотными плитами, фундамент ж/б, V=98,4 м3, S=24,0 м2</t>
  </si>
  <si>
    <t>кв."А", здание ТП 255</t>
  </si>
  <si>
    <t>Здание ЦРП 16</t>
  </si>
  <si>
    <t xml:space="preserve"> Кирпичное, прямоугольное, одноэтажное, отдельно стоящее,  перекрыто ж/б пустотными плитами, фундамент ж/б, V=206,4м3, S=84,0 м2</t>
  </si>
  <si>
    <t>кв."В", здание ЦРП - 16</t>
  </si>
  <si>
    <t>Комплекс сооружений электрических сетей № 3</t>
  </si>
  <si>
    <t>745 кв.м</t>
  </si>
  <si>
    <t xml:space="preserve">18913 в т.ч. </t>
  </si>
  <si>
    <t>пл.Предзаводская, 2 (ТЭЦ г.Яровое), от ЦРП-17 до ЦРП-6</t>
  </si>
  <si>
    <t>Кабельная линия КЛ-6кВ водозабора куст 3 и куст 6</t>
  </si>
  <si>
    <t xml:space="preserve">от ЦРП-15 до куста 3 кабель АСБ 3х95 мм2 прот.= 646м,; от РТП до куст 3 кабель АСБ 3х185 мм2 прот.=870 м,; от ЦРП-10 до куст 6 кабель АСБ 3х95мм2 прот.= 572,8м </t>
  </si>
  <si>
    <t xml:space="preserve">пл.Предзаводская, 2, РТП, ЦРП-10, ЦРП-15 </t>
  </si>
  <si>
    <t>26.02.2015; 02.05.2017</t>
  </si>
  <si>
    <t>227; 37-юр</t>
  </si>
  <si>
    <t>6 кв.  Кабель 2ААБ 3х150 мм2</t>
  </si>
  <si>
    <t>пл.Предзаводская, 2 (от РТП до ЦРП 15)</t>
  </si>
  <si>
    <t xml:space="preserve">к.л.6 кВ. от ТП-289 до ТП-202 кабель ААШ 3х120 мм2 прот.=667м; от ТП-202 до ТП-203 кабель ААБ 3х95 мм2 прот.=290м; </t>
  </si>
  <si>
    <t>КТП водозабора, ул.Северная магистраль, ТП-289, ТП-101, ТП-202, ТП-203, ТП-104</t>
  </si>
  <si>
    <t>кабель АСБ 3х95 мм2</t>
  </si>
  <si>
    <t>пл.Предзаводская, 2 (ТЭЦ г.Яровое ), ТП-281</t>
  </si>
  <si>
    <t>Кабельная линия 6 кВ</t>
  </si>
  <si>
    <t>ТП-264, ТП 267</t>
  </si>
  <si>
    <t>в траншее высок., к.л.6 кв ТП 208. Кабель АСБ 3х95 мм2</t>
  </si>
  <si>
    <t>ул.Гагарина, от ТП 208 до ТП-292, через ТП-258</t>
  </si>
  <si>
    <t>к.л.6 кВ. Кабель ААШв 3х150 мм2</t>
  </si>
  <si>
    <t>ул.Барнаульская, ЦРП-15, ТП-286</t>
  </si>
  <si>
    <t>кабель АСБ 3х120 мм2</t>
  </si>
  <si>
    <t>квартал Б, от ТП 51 до ТП 52 м/р "А"</t>
  </si>
  <si>
    <t>К.л. 6 кв ТП 51. Кабель АСБ 3х120мм2</t>
  </si>
  <si>
    <t>ул.40 лет Октября, от ТП 50 до ТП 51</t>
  </si>
  <si>
    <t>Кабельная линия 6 кВ 1 очереди м/р "А"</t>
  </si>
  <si>
    <t>К.л. 6 кв ТП 261. Кабель АСБ 3х240 мм2</t>
  </si>
  <si>
    <t>кв.А ТП 261 (от ТЭЦ до ЦРП-17)</t>
  </si>
  <si>
    <t>Кабельная линия 6 кВ от куста скважины ТП-106 до ТП-115</t>
  </si>
  <si>
    <t>Кабель ААБ 3х50мм2</t>
  </si>
  <si>
    <t xml:space="preserve">р-он СНТ "Химик", артез.скв.фильтровая № 1-89 </t>
  </si>
  <si>
    <t>Кабель АСБ 3х95 мм2</t>
  </si>
  <si>
    <t>трасса Яровое-Славгород от КТП-4 до КТП-5</t>
  </si>
  <si>
    <t>кабель ААБ 3х95 мм2</t>
  </si>
  <si>
    <t>ул.Алтайская, на КНС П от ЦРП 15</t>
  </si>
  <si>
    <t>от ЦРП-6 до ТР-256 кабель ААБ 3х120мм2 прот.=370м; от ТП-256 до ТП-291 кабель ААБ 3х120мм2 прот.=540м; от ТП-291 до ТП-293 кабель АСБ 3х150мм2 прот.=1050м</t>
  </si>
  <si>
    <t>кв.Б, ЦРП 6, ТП 48, ТП больница</t>
  </si>
  <si>
    <t>Сети эл.снабжения г.Яровое</t>
  </si>
  <si>
    <t>кабель ААБ 3х150мм2</t>
  </si>
  <si>
    <t>пл.Предзаводская,2 от ЦРП-15/1 до ЦРП-16/1</t>
  </si>
  <si>
    <t xml:space="preserve">от ТП-251 до ЦРП-16 кабель ААБ 3х95мм2 прот.=592м; от ЦРП-16 до ТП-289 кабель ААБ 3х95мм2 прот.=1510м </t>
  </si>
  <si>
    <t>ул.Северная, 2 от ТП 51 до ТП водозабора</t>
  </si>
  <si>
    <t>Освещение автодороги завод- г.Яровое</t>
  </si>
  <si>
    <t xml:space="preserve">провод АС 4*25, светильники РКУ-250 </t>
  </si>
  <si>
    <t>пл.Предзаводская, 2, от ДТУ до ул.Заводская</t>
  </si>
  <si>
    <t>1.6.0813</t>
  </si>
  <si>
    <t>22:72:000000:71</t>
  </si>
  <si>
    <t xml:space="preserve">№ 2 "Комплекс электрических сетей "Производственная площадка" </t>
  </si>
  <si>
    <t>16.03.2015; 04.06.2018; 02.05.2017; 01.08.2018</t>
  </si>
  <si>
    <t>227; 507; 260; б/н</t>
  </si>
  <si>
    <t>19.01.2015; 11.12.2014</t>
  </si>
  <si>
    <t>29.05.2018; 17.12.2014; 19.01.2015</t>
  </si>
  <si>
    <t>22:72:000000:71- 22/024/2018-1;  798; 720</t>
  </si>
  <si>
    <t>Подстанция ТП 100-6/0,4 КТП100 (47042907)</t>
  </si>
  <si>
    <t xml:space="preserve">инв.10000531. </t>
  </si>
  <si>
    <t>пл.Предзаводская,1 (ДТУ)</t>
  </si>
  <si>
    <t>Здание - корпус 186 /подстанция/ ЦРП 11</t>
  </si>
  <si>
    <t>пл.Предзаводская,2</t>
  </si>
  <si>
    <t>Здание подстанции ЦРП - 3</t>
  </si>
  <si>
    <t>Стены - кирпичные, перекрытие - ж/б плиты</t>
  </si>
  <si>
    <t xml:space="preserve">15410 в т.ч.    </t>
  </si>
  <si>
    <t>Кабельная эстакада</t>
  </si>
  <si>
    <t>из ж/б конструкций</t>
  </si>
  <si>
    <t>пл.Предзаводская, 2 (от к.157 до к.170)</t>
  </si>
  <si>
    <t>Кабельный канал</t>
  </si>
  <si>
    <t>ж/б лотки с кабельными полками, перекрытие ж/б плиты</t>
  </si>
  <si>
    <t>пл.Предзаводская,2 (РТП 110 ЦРП 1)</t>
  </si>
  <si>
    <t>Кабель АСБ 3х120 мм2 прот. = 400м; кабель АСБ 3х185 мм2 прот.=400м</t>
  </si>
  <si>
    <t>пл.Предзаводская, 2 (РТП-ЦРП 2)</t>
  </si>
  <si>
    <t xml:space="preserve">Кабельная линия 6кВ </t>
  </si>
  <si>
    <t>кабельААБ 3х150 мм2 прот.= 1250м; кабель ААБ 3х185 мм2 прот.=1406м</t>
  </si>
  <si>
    <t>пл.Предзаводская, 2 (РТП 110/6 ЦРП1, ЦРП2, ЦРП3)</t>
  </si>
  <si>
    <t>кабель АСБ 3х150 мм2</t>
  </si>
  <si>
    <t>пл.Предзаводская, 2 (от РТП до ЦРП 18)</t>
  </si>
  <si>
    <t>кабель АСБ 3х240мм2</t>
  </si>
  <si>
    <t>пл.Предзаводская, 2 (от к.157 до ЦРП 12 )</t>
  </si>
  <si>
    <t>пл.Предзаводская, 2 (РТП ТЭЦ, ЦРП 2-ТП-24, ТЭЦ)</t>
  </si>
  <si>
    <t>инв.47004704. Кабель АСБ3х150 мм2</t>
  </si>
  <si>
    <t>пл.Предзаводская, 2 (от РТП 110 до ЦРП 8)</t>
  </si>
  <si>
    <t>Сети эл.снабжения завода</t>
  </si>
  <si>
    <t>пл.Предзаводская,2 (ТЭЦ-ЦРП-4)</t>
  </si>
  <si>
    <t>пл.Предзаводская,2 (ЦРП 4 до ТП фруктохранилище ТП</t>
  </si>
  <si>
    <t>пл.Предзаводская,2 (ЦРП 2, ЦРП 3)</t>
  </si>
  <si>
    <t>кабель АСБ 3х50 мм2</t>
  </si>
  <si>
    <t>пл.Предзаводская, 2 (до ТП свинокомплекса ), ЦРП-11 до ТП-119</t>
  </si>
  <si>
    <t>1.6.0814</t>
  </si>
  <si>
    <t>22:72:020202:821</t>
  </si>
  <si>
    <t>Комплекс № 1 РТП 110/6:</t>
  </si>
  <si>
    <t>26.02.2015; 19.04.2018; 27.03.2020; 01.08.2019</t>
  </si>
  <si>
    <t>227; 316; 280; б/н</t>
  </si>
  <si>
    <t>Здание - корпус 157 РТП</t>
  </si>
  <si>
    <t xml:space="preserve">распоряжение (край); акт приема-передачи; выписка из Единого государственного реестра недвижимости об основных характеристиках и зарегистрированных правах на объект недвижимости  </t>
  </si>
  <si>
    <t>14.11.2014; 11.12.2014; 17.04.2018</t>
  </si>
  <si>
    <t>720; 22:72:020202:821-22/024/2018-1</t>
  </si>
  <si>
    <t>пл.Предзаводская, 2 (от РТП до ТЭЦ)</t>
  </si>
  <si>
    <t>Кабельная линия РТП ТЭЦ 3 очередь</t>
  </si>
  <si>
    <t>пл.Предзаводская, 2 (РТП ТЭЦ  3 очередь)</t>
  </si>
  <si>
    <t>6 кв</t>
  </si>
  <si>
    <t>пл.Предзаводская, 2 (от РТП до Г 7)</t>
  </si>
  <si>
    <t>Кабельная линия 6-10  кВ РТП ТЭЦ  3 очередь</t>
  </si>
  <si>
    <t>6 -10 кв</t>
  </si>
  <si>
    <t>1.6.0815</t>
  </si>
  <si>
    <t>Комплекс № 5. Сети электроснабжения централизованной системы теплоснабжения города</t>
  </si>
  <si>
    <t>19.06.2012; 30.12.2014; 02.05.2017; 30.05.2019</t>
  </si>
  <si>
    <t>591; 1239; 37-юр; 454</t>
  </si>
  <si>
    <t>252317,88 в т.ч.</t>
  </si>
  <si>
    <t>178843,62 в т.ч.</t>
  </si>
  <si>
    <t>73474,26 в т.ч.</t>
  </si>
  <si>
    <t xml:space="preserve">Кабельная линия </t>
  </si>
  <si>
    <t>инв.10103190к. в траншее АВВГ 3*50+1*35</t>
  </si>
  <si>
    <t>от ТП-254 до КНС-1</t>
  </si>
  <si>
    <t>Кабельная линия АВВГ</t>
  </si>
  <si>
    <t>инв.13600503. Выделены из жил.домов, кабель АВВГ 3*150+1*70мм2 подземная 0,4кВ</t>
  </si>
  <si>
    <t>ул.Верещагина, от ТП-202 до станции смешивания "Садовая"</t>
  </si>
  <si>
    <t>13.10.2010; 14.09.2010</t>
  </si>
  <si>
    <t>Кабельная линия ВВБ</t>
  </si>
  <si>
    <t>инв.13600504. Выделены из жил.домов, кабель ВВБ 3*50+1*25мм2 подземная 0,4кВ</t>
  </si>
  <si>
    <t>ул.Барнаульская, от ТП-286 до станции смешивания "Барнаульская"</t>
  </si>
  <si>
    <t>инв.13600505. Выделены из жил.домов, кабель АВВГ 3*185+1*95мм2 подземная 0,4кВ</t>
  </si>
  <si>
    <t>от ТП-290 до станции смешивания "Водозабор"</t>
  </si>
  <si>
    <t xml:space="preserve">инв.13600557. Выделены из жил.домов, 0,4кВ подземная кабель АВВГ 3*185+1*70мм2 </t>
  </si>
  <si>
    <t>ТП-294, станция смешивания "Южная"</t>
  </si>
  <si>
    <t>Кабельная линия ВРГ</t>
  </si>
  <si>
    <t xml:space="preserve">инв.13600588. Выделены из жил.домов, 0,4кВ воздушно-подземная кабель ВРГ 3*35+1*16мм2 </t>
  </si>
  <si>
    <t>ТП-293, станция смешивания "Учхоз"</t>
  </si>
  <si>
    <t>Кабельная линия электропередач</t>
  </si>
  <si>
    <t xml:space="preserve">Траншейная прокладка. 
Кабель АВбБШВ 4х16мм² –  335м.
Выключатель автоматический ВА 47-29 3Р 25А – 1 шт.
</t>
  </si>
  <si>
    <t>от теплового пункта ПСНС «Западная» до трансформаторной подстанции ТП-267, расположенной с северной стороны МБУ СОШ № 19.</t>
  </si>
  <si>
    <t>акт сдачи-приемки законченных работ</t>
  </si>
  <si>
    <t>Воздушная линия электропередач</t>
  </si>
  <si>
    <t xml:space="preserve">Воздушная линия электроснабжения, по опорам. 
Провод самонесущий изолированный СИП-4 4х16-0,6/1,0 – 150м.
</t>
  </si>
  <si>
    <t>от теплового пункта ПСНС «Западная» до опоры № 40-1 на пересечении ул. Мира и ул. Центральная.</t>
  </si>
  <si>
    <t>1.6.0816</t>
  </si>
  <si>
    <t>Комплекс № 4. Электрические сети города (селитебная зона)</t>
  </si>
  <si>
    <t>19.06.2012; 02.05.2017; 30.05.2019</t>
  </si>
  <si>
    <t>591; 37-юр; 454</t>
  </si>
  <si>
    <t>X - 1969</t>
  </si>
  <si>
    <t xml:space="preserve">инв.10103021к. ВЛ-0,4 кВ 4*А35                          </t>
  </si>
  <si>
    <t>ул. Гагарина</t>
  </si>
  <si>
    <t xml:space="preserve">Воздушная линия электропередач </t>
  </si>
  <si>
    <t xml:space="preserve">инв.13600467. КЛ-0,4 кВ от ТП-288 до опоры № 2 по ул.Строительная  кабель АВВГ 3х95мм2+1х50мм2 прот.=62м; ВЛ-0,4 кВ от опоры №2 провод А35 5х35мм2 прот.=400м; провод 4xА35мм2 прот.=310м; провод 3xА35мм2 прот.=240м;провод 2х35мм2 прот.= 70м; ж/б опоры (24 шт.)                                                                                             </t>
  </si>
  <si>
    <t>ул. 40 лет Октября от ул.Кулундинская до Чапаева</t>
  </si>
  <si>
    <t>I - 1971</t>
  </si>
  <si>
    <t xml:space="preserve">инв.13600468. ВЛ-0,4 кВ  3xА35                                                                                             </t>
  </si>
  <si>
    <t>от ТП-252 до общежития кв.Б д.33</t>
  </si>
  <si>
    <t>X - 1973</t>
  </si>
  <si>
    <t xml:space="preserve">инв.13600469. ВЛ-0,4 кВ  провод А35 4x35 мм2 на ж/б опорах, светильники РКУ-250                                                                                              </t>
  </si>
  <si>
    <t>кв.Б д. 14 до д. 24 кв. Б</t>
  </si>
  <si>
    <t xml:space="preserve">инв.13600470. ВЛ-0,4 кВ  провод А35 3x35мм2 на ж/б опорах, светильники РКУ-250                                                                                             </t>
  </si>
  <si>
    <t>от д.12 до шк. 12</t>
  </si>
  <si>
    <t xml:space="preserve">инв.13600471. ВЛ-0,4 кВ провод А35 5xА35мм2 прот.=1800м; провод А35   3xА35 прот.=1240м на ж/б опорах                       </t>
  </si>
  <si>
    <t>от ул. Гагарина до Алтайской, ул.Заводская, ул. Кирова, ул. Первомайская. ул. Менделеева, ул. Верещагина, ул. Пушкина</t>
  </si>
  <si>
    <t xml:space="preserve">инв.13600472. ВЛ-0,4 кВ провод А35 3x35мм2 на ж/б опорах, светильники РКУ-250 </t>
  </si>
  <si>
    <t>40 лет Октября (восточная сторона) от ул.Кулундинская до ул.Гагарина</t>
  </si>
  <si>
    <t>инв.13600473. ВЛ-0,4 кВ  3x35мм2 прот.= 750м; провод А35 2х35мм2 прот.=330м на ж/б опорах, светильники РКУ-250</t>
  </si>
  <si>
    <t>ул. Гагарина от ул.Пушкина до больницы</t>
  </si>
  <si>
    <t>XII - 1976</t>
  </si>
  <si>
    <t xml:space="preserve">инв.13600474. ВЛ-0,4 кВ прова А35 4x35мм2 на ж/б опорах                                                                                             </t>
  </si>
  <si>
    <t>ул. 40 лет Октября, западная сторона от ул.Гагарина до ул.Кулундинской</t>
  </si>
  <si>
    <t xml:space="preserve">инв.13600475. ВЛ-0,4 кВ провод  АС16 2x16мм2 на ж/б опорах, светильники РКУ-250                                                                                         </t>
  </si>
  <si>
    <t>кв. Б д. 1, 2, 3</t>
  </si>
  <si>
    <t xml:space="preserve">инв.13600476. ВЛ-0,4 кВ провод А35 4х35мм2 прот.=640м; провод А 2х35мм2 прот.=180м на ж/б опорах, светильники РКУ-250                                                                                                                                                  </t>
  </si>
  <si>
    <t>ул. Мира от ул.Гагарина до ул.Кулундинской</t>
  </si>
  <si>
    <t xml:space="preserve">инв.13600477. ВЛ-0,4 кВ провод А35 3x35мм2  на ж/б опорах, светильники РКУ-250                                                                                                   </t>
  </si>
  <si>
    <t>от ТП-261 до ул.Мира</t>
  </si>
  <si>
    <t>XII - 1978</t>
  </si>
  <si>
    <t xml:space="preserve">инв.13600478. ВЛ-0,4 кВ провод А35 3x45мм2  на ж/б опорах, светильники РКУ-250                                                                 </t>
  </si>
  <si>
    <t>кв. А д. 9, 39</t>
  </si>
  <si>
    <t>XII - 1982</t>
  </si>
  <si>
    <t xml:space="preserve">инв.13600479. ВЛ-0,4 кВ наруж.освещение провод А35 4xА35мм2 прот.=300м ; провод А35 3xА35мм2 прот.=110м ж/б опорах, светильники РКУ-250                                       </t>
  </si>
  <si>
    <t>2 оч. М/р А</t>
  </si>
  <si>
    <t xml:space="preserve">инв.13600480. ВЛ-0,4 кВ провол А35 4x35мм2 прот.=650м; провод А35 3x35мм2 прот.=400м; провод А35 2x35мм2 прот.=350м на ж/б опорах, светильники РКУ-250           </t>
  </si>
  <si>
    <t>1 оч. М/р А</t>
  </si>
  <si>
    <t>IX - 1977</t>
  </si>
  <si>
    <t xml:space="preserve">инв.13600481 ВЛ-0,4 кВ с освещением провод А35  5x35мм2 прот.=1660м; провод А35  3x35мм2 прот.=1000м; провод А35 2x35мм2 прот.=360м на ж/б опорах, светильники РКУ-250                                                                           </t>
  </si>
  <si>
    <t>ул. Михайловская, ул. Целинная, ул. Покровская</t>
  </si>
  <si>
    <t>Воздушная линия электропередач 1 - ая оч</t>
  </si>
  <si>
    <t>инв.13600482. ВЛ-0,4 кВ провод А35  5x35мм2 прот.=720м; провод А35  4x35мм2 прот.=3320м; провод А35 2x35мм2 прот.=240м; провод А35 3x35мм2 прот.=170м на ж/б опорах</t>
  </si>
  <si>
    <t>ул. Шукшина, ул. Химиков, ул. Комсомольская, ул. 40 лет Окт., ул. Мира, от ул. Шукшина до ул. Перекопской</t>
  </si>
  <si>
    <t>инв.13600483. ВЛ-0,4 кВ провод АС35 5х35мм2 на ж/б опорах</t>
  </si>
  <si>
    <t>ул. Перекопская (южная)</t>
  </si>
  <si>
    <t>II - 1999</t>
  </si>
  <si>
    <t xml:space="preserve">инв.13600484. ВЛ-0,4 кВ с освещением провод А35 5x35мм2 прот.=720м; провод А35 4x35мм2 прот.=3320м; провод А35 2x35мм2  прот.=240м на ж/б опорах с ж/б пасынками                                            </t>
  </si>
  <si>
    <t>от ул. Перекопская, ул. Мира, Полевая, ул. Звездная, ул. Крымская, ул. Комарова</t>
  </si>
  <si>
    <t>Кабельная  линия</t>
  </si>
  <si>
    <t>инв.13600485. 0,4 кВ провод АПБВ 3x70+1x35 в траншее</t>
  </si>
  <si>
    <t>к д. 8 кв. "В" ТП-260</t>
  </si>
  <si>
    <t>XII - 1973</t>
  </si>
  <si>
    <t xml:space="preserve">инв.13600487. ВЛ-0,4 кВ провод А35 5x35мм2 прот.=3800м; провод А35 4x35мм2 прот.=2890м; провод А35 3x35мм2 прот.=1860м; провод СИП 4x50 прот.=450м на ж/б опорах                                 </t>
  </si>
  <si>
    <t>ул.Пушкина, ул.Менделеева, ул.Верещагина, ул.Первомайская, ул.Кирова, ул.Заводская от Алтайская до ул.Чапаева, ул.Цветочная, ул.Зеленая, ул.Партизанская, ул.Заводская, ул.Чапаева</t>
  </si>
  <si>
    <t xml:space="preserve">инв.13600488. ВЛ-0,4 кВ провод А35 5x35мм2 на метал.опорах                                                </t>
  </si>
  <si>
    <t>ул. Алтайская от ул.Заводской до ул.40 лет Октября</t>
  </si>
  <si>
    <t xml:space="preserve">инв.13600489. ВЛ-0,4 кВ провод А35 5x35мм2 прот.=900м; провод А35 4x35мм2 прот.=900м  на ж/б опорах                                           </t>
  </si>
  <si>
    <t>ул. Кулундинской от ул. Заводской до 40 лет Окт.</t>
  </si>
  <si>
    <t xml:space="preserve">инв.13600490. ВЛ-0,4 кВ  с освещеним провод А35 4x35мм2 на ж/б опорах </t>
  </si>
  <si>
    <t>ул.Кулундинская от ул.40 лет Октября до ул.Мира</t>
  </si>
  <si>
    <t>инв.13600491. В траншее, провод ААБ 3*120мм2</t>
  </si>
  <si>
    <t>от ТП-260 до д. 28 кв. "А"</t>
  </si>
  <si>
    <t>инв.13600493. 0,4кВ в траншее провод АСБ 3*150мм2</t>
  </si>
  <si>
    <t>от ТП-257 до общежития</t>
  </si>
  <si>
    <t xml:space="preserve"> инв.1360094. КЛ-0,4кВ в траншее, провод 2ААБ 3*120мм2</t>
  </si>
  <si>
    <t>от ТП-254 до д. 36 кв. А</t>
  </si>
  <si>
    <t>инв.13600495. КЛ-0,4кВ в траншее,  провод АВРГ 3*70+1*35мм2</t>
  </si>
  <si>
    <t>от ТП-260 до д. 8 кв. "А"</t>
  </si>
  <si>
    <t>инв.13600496. 0,4кВ в траншее провод ААБ 3*95мм2</t>
  </si>
  <si>
    <t>от ТП-263 к д. 12 кв .В</t>
  </si>
  <si>
    <t>12.04.2021; 27.08.2021</t>
  </si>
  <si>
    <t>264; 616</t>
  </si>
  <si>
    <t>инв.13600498. 0,4кВ в траншее кабель ААБ 3*70мм2</t>
  </si>
  <si>
    <t>от ТП-250 к д. 1, 2 кв. Б</t>
  </si>
  <si>
    <t>XII - 1981</t>
  </si>
  <si>
    <t>инв.13600497. 0,4кВ в траншее провод АВРГ 3*95+1х50мм2</t>
  </si>
  <si>
    <t>к д. 7 кв. "А"</t>
  </si>
  <si>
    <t>инв.13600499. Подземная в траншее АБШВ 3*95+1*50мм2</t>
  </si>
  <si>
    <t>от ТП-250 до д. 31 кв. "А"</t>
  </si>
  <si>
    <t>инв.13600501. 0,4кВ в траншее провод ААБ 3*120мм2</t>
  </si>
  <si>
    <t>от ТП-261 до д. 27 кв. "А"</t>
  </si>
  <si>
    <t>инв.13600502. 0,4кВ в траншее провод ААБ 3*120мм2</t>
  </si>
  <si>
    <t>от ТП-255 до д. 32 кв. "А"</t>
  </si>
  <si>
    <t>1997</t>
  </si>
  <si>
    <t>инв.13600506. Выделены из жил.домов, 0,4кВ кабель АС 4*35мм2 на ж/б опорах</t>
  </si>
  <si>
    <t>ул.Мира -ТП-246 (правая сторона)</t>
  </si>
  <si>
    <t xml:space="preserve">инв.13600515. Выделены из жил.домов, 0,4кВ подземная кабель АВВГ 4*70мм2 </t>
  </si>
  <si>
    <t>кв.В д.29 -ТП-269</t>
  </si>
  <si>
    <t xml:space="preserve">инв.13600522. Выделены из жил.домов, 0,4кВ подземная кабель АВВГ 3*35+1*16мм2 </t>
  </si>
  <si>
    <t>кв.В д.2 -ТП-264</t>
  </si>
  <si>
    <t>Кабельная линия АБЛ</t>
  </si>
  <si>
    <t xml:space="preserve">инв.13600523. Выделены из жил.домов, 0,4кВ  подземная кабель АБЛ 3*95мм2 </t>
  </si>
  <si>
    <t>кв.В д.8 -ТП-264</t>
  </si>
  <si>
    <t>инв.13600524. Выделены из жил.домов,  0,4кВ подземная кабель АБЛ 3*95мм2</t>
  </si>
  <si>
    <t>кв.В д.9 -ТП-264</t>
  </si>
  <si>
    <t xml:space="preserve">инв.13600525. Выделены из жил.домов, 0,4кВ подземная кабель 3*95мм2 </t>
  </si>
  <si>
    <t>кв.В д.10 -ТП-264</t>
  </si>
  <si>
    <t xml:space="preserve">инв.13600526. Выделены из жил.домов, 0,4кВ подземная кабель 3*95+1*50мм2 </t>
  </si>
  <si>
    <t>кв.В д.3 -ТП-265</t>
  </si>
  <si>
    <t>Кабельная линия ААБ</t>
  </si>
  <si>
    <t xml:space="preserve">инв.13600527. Выделены из жил.домов, 0,4кВ подземная кабель ААБ 3*95мм2 </t>
  </si>
  <si>
    <t>кв.А д.5 -ТП-255</t>
  </si>
  <si>
    <t>Кабельная линия АБШВ</t>
  </si>
  <si>
    <t xml:space="preserve">инв.13600528. Выделены из жил.домов, 0,4кВ подземная кабель АБШВ 3*95+1*50мм2 </t>
  </si>
  <si>
    <t>кв.А д.14 -ТП-255</t>
  </si>
  <si>
    <t>инв.13600529. Выделены из жил.домов, 0,4кВ подземная кабель АВВГ 3*95+1*50мм2</t>
  </si>
  <si>
    <t>кв.А д.33 -ТП-259</t>
  </si>
  <si>
    <t xml:space="preserve">инв.13600530. Выделены из жил.домов, 0,4кВ подземная кабель 3*70+1*25мм2 </t>
  </si>
  <si>
    <t>кв.А д.17 -ТП-255</t>
  </si>
  <si>
    <t xml:space="preserve">инв.13600531. Выделены из жил.домов, 0,4кВ подземная кабель 3*150+1*70мм2 </t>
  </si>
  <si>
    <t>кв.А д.18 -ТП-255</t>
  </si>
  <si>
    <t xml:space="preserve">инв.13600532. Выделены из жил.домов, 0,4кВ подземная кабель 3*95+1*35мм2 </t>
  </si>
  <si>
    <t>кв.А д.15 -ТП-255</t>
  </si>
  <si>
    <t xml:space="preserve">инв.13600533. выделены из жил.домов, 0,4кВ подземная кабель 3*120+1*35мм2 </t>
  </si>
  <si>
    <t>кв.А д.35 -ТП-255</t>
  </si>
  <si>
    <t xml:space="preserve">инв.13600534. Выделены из жил.домов, 0,4кВ подземнаякабель 3*70+1*35мм2 </t>
  </si>
  <si>
    <t>кв.А д.34 -ТП-255</t>
  </si>
  <si>
    <t xml:space="preserve">инв.13600535. Выделены из жил.домов, 0,4кВ подземная кабель АВВГ 3*35+1*16мм2 </t>
  </si>
  <si>
    <t>кв.А д.2 -ТП-259, Ввод №1</t>
  </si>
  <si>
    <t xml:space="preserve">инв.13600536. Выделены из жил.домов, 0,4кВ подземная кабель АВВГ 3*35+1*16мм2 </t>
  </si>
  <si>
    <t>кв.А д.2 -ТП-259, Ввод №2</t>
  </si>
  <si>
    <t xml:space="preserve">инв.13600537. Выделены из жил.домов, 0,4кВ подземная кабель АВВГ 3*95+1*70мм2 </t>
  </si>
  <si>
    <t>кв.А д.3 -ТП-259, Ввод №1</t>
  </si>
  <si>
    <t xml:space="preserve">инв.13600538. Выделены из жил.домов, 0,4кВ подземная кабель 3*95+1*70мм2 </t>
  </si>
  <si>
    <t>кв.А д.3 -ТП-259, Ввод №2</t>
  </si>
  <si>
    <t xml:space="preserve">инв.13600539. Выделены из жил.домов, 0,4кВ подземная кабель 3*70+1*35мм2 </t>
  </si>
  <si>
    <t>кв.А д.22 -ТП-259</t>
  </si>
  <si>
    <t xml:space="preserve">инв.13600540. Выделены из жил.домов, 0,4кВ подземная кабель 3*95+1*50мм2 </t>
  </si>
  <si>
    <t>кв.А д.25 -ТП-259</t>
  </si>
  <si>
    <t>инв.13600541. Выделены из жил.домов, 0,4кВ подземная кабель АВВГ 3*95+1*50мм2</t>
  </si>
  <si>
    <t>кв.А д.4 -ТП-259,  Ввод №1</t>
  </si>
  <si>
    <t xml:space="preserve">инв.13600542. Выделены из жил.домов, 0,4кВ подземная кабель 3*95+1*50мм2 </t>
  </si>
  <si>
    <t>кв.А д.4 -ТП-259, Ввод №2</t>
  </si>
  <si>
    <t xml:space="preserve">инв.13600543. Выделены из жил.домов, 0,4кВ подземная кабель 3*95+1*50мм2 </t>
  </si>
  <si>
    <t xml:space="preserve">инв.13600544. Выделены из жил.домов, 0,4кВ подземная кабель АВВГ 3*70+1*25мм2 </t>
  </si>
  <si>
    <t>кв.А д.20 -ТП-261, Ввод №1</t>
  </si>
  <si>
    <t xml:space="preserve">инв.13600545. Выделены из жил.домов, 0,4кВ подземная кабель АВВГ3*70+1*25мм2 </t>
  </si>
  <si>
    <t>кв.А д.20 -ТП-261, Ввод №2</t>
  </si>
  <si>
    <t xml:space="preserve">инв.13600456. Выделены из жил.домов, 0,4кВ подземная кабель ААБ 3*95мм2 </t>
  </si>
  <si>
    <t>кв.А д.26 -ТП-261</t>
  </si>
  <si>
    <t xml:space="preserve">инв.13600551. Выделены из жил.домов, 0,4кВ подземная кабель ААБ 3*95мм2 </t>
  </si>
  <si>
    <t>кв.А д.39 -ТП-260,Ввод №1</t>
  </si>
  <si>
    <t xml:space="preserve">инв.13600552. Выделены из жил.домов, 0,4кВ подземная ААБ 3*95м22 </t>
  </si>
  <si>
    <t>кв.А д.39 -ТП-260,Ввод №2</t>
  </si>
  <si>
    <t>1974</t>
  </si>
  <si>
    <t xml:space="preserve">инв.13600553. Выделены из жил.домов, 0,4кВ подземная кабель ААБ 3*95мм2 </t>
  </si>
  <si>
    <t>кв.А д.9 -ТП-260</t>
  </si>
  <si>
    <t>Кабельная линия АПВБ</t>
  </si>
  <si>
    <t>1971 (1992)</t>
  </si>
  <si>
    <t xml:space="preserve">инв.13600554. Выделены из жил.домов, 0,4кВ подземная кабель АПВБ 3*50+1*25мм2 </t>
  </si>
  <si>
    <t>ул.Заводская, коттеджи, ТП-284</t>
  </si>
  <si>
    <t>Кабельная линия АВР</t>
  </si>
  <si>
    <t xml:space="preserve">инв.13600555. Выделены из жил.домов, 0,4кВ подземная кабель АВР 3*120+1*50мм2 </t>
  </si>
  <si>
    <t>ул.Ленина 1,3,5 ТП-282</t>
  </si>
  <si>
    <t>1972</t>
  </si>
  <si>
    <t xml:space="preserve">инв.13600556. Выделены из жил.домов, 0,4кВ подземная кабель АВР 3*150+1*35мм2 </t>
  </si>
  <si>
    <t>ул.Ленина 7 ТП-282</t>
  </si>
  <si>
    <t>Кабельная линия АСБ</t>
  </si>
  <si>
    <t xml:space="preserve">инв.13600558. Выделены из жил.домов, 0,4кВ подземная кабель АСБ 3*70мм2 </t>
  </si>
  <si>
    <t>ТП-253, кв.Б,13</t>
  </si>
  <si>
    <t xml:space="preserve">инв.13600559. Выделены из жил.домов, 0,4кВ подземная кабель ААБ 3*150мм2 </t>
  </si>
  <si>
    <t>ТП-253, кв.Б,17</t>
  </si>
  <si>
    <t xml:space="preserve">инв.13600560. Выделены из жил.домов, 0,4кВ подземная кабель АВВГ 3*70мм2 </t>
  </si>
  <si>
    <t>ТП-253, кв.Б,20</t>
  </si>
  <si>
    <t xml:space="preserve">инв.13600561. Выделены из жил.домов, 0,4кВ подземная кабель АВВГ 3*70+1*35мм2 </t>
  </si>
  <si>
    <t>ТП-253, кв.Б,19</t>
  </si>
  <si>
    <t xml:space="preserve">инв.13600562. Выделены из жил.домов, 0,4кВ подземная 3*70мм2 </t>
  </si>
  <si>
    <t>ТП-253, кв.Б,14</t>
  </si>
  <si>
    <t xml:space="preserve">инв.13600563. Выделены из жил.домов, 0,4кВ подземная кабель АВВГ 3*70мм2 </t>
  </si>
  <si>
    <t>ТП-253, кв.Б,18</t>
  </si>
  <si>
    <t xml:space="preserve">инв.13600564. Выделены из жил.домов, 0,4кВ подземная ААБ 3*70мм2 </t>
  </si>
  <si>
    <t>ТП-256, кв.Б,25</t>
  </si>
  <si>
    <t xml:space="preserve">инв.13600565. Выделены из жил.домов, 0,4кВ подземная кабель ААБ 3*95мм2 </t>
  </si>
  <si>
    <t>ТП-256, кв.Б,22</t>
  </si>
  <si>
    <t xml:space="preserve">инв.13600566. Выделены из жил.домов, 0,4кВ подземная кабель ААБ 3*95мм2 </t>
  </si>
  <si>
    <t>ТП-256, кв.Б,23</t>
  </si>
  <si>
    <t xml:space="preserve">инв.13600567. Выделены из жил.домов, 0,4кВ подземная кабель ААБ 3*120мм2 </t>
  </si>
  <si>
    <t>ТП-256, кв.Б,24</t>
  </si>
  <si>
    <t xml:space="preserve">инв.13600568. Выделены из жил.домов, 0,4кВ подземная кабель 3*95мм2 </t>
  </si>
  <si>
    <t>ТП-257, кв.Б,30, Ввод №1</t>
  </si>
  <si>
    <t>инв.13600569. Выделены из жил.домов,  0,4кВ подземная кабель ААБ 3*95+1*50мм2</t>
  </si>
  <si>
    <t>ТП-257, кв.Б,30, Ввод №2</t>
  </si>
  <si>
    <t xml:space="preserve">инв.13600570. Выделены из жил.домов, 0,4кВ подземная кабель 3*95+1*50мм2 </t>
  </si>
  <si>
    <t>ТП-257, кв.Б,34</t>
  </si>
  <si>
    <t>инв.13600571. Выделены из жил.домов,  0,4кВ подземная кабель АВВГ 3*150мм2. 10-2020 установлены опоры из композитного материала, опора световая RGB управляемая 9,5м (Bluetooth) двухрожковая в комплекте с двумя светильниками 55 Вт КСС "Ш" - 5 шт.</t>
  </si>
  <si>
    <t>ТП-257, кв.Б,33, Ввод №1</t>
  </si>
  <si>
    <t xml:space="preserve">инв.13600572. Выделены из жил.домов, 0,4кВ подземная кабель ААБ  3*150мм2. 10-2020 установлены опоры из композитного материала, опора световая RGB управляемая 9,5м (Bluetooth) двухрожковая в комплекте с двумя светильниками 55 Вт КСС "Ш" - 9 шт. </t>
  </si>
  <si>
    <t>ТП-257, кв.Б,33, Ввод №2</t>
  </si>
  <si>
    <t xml:space="preserve">инв.13600573. Выделены из жил.домов, 0,4кВ подземная кабель ААБ 3*70мм2 </t>
  </si>
  <si>
    <t>ТП-257, кв.Б,26</t>
  </si>
  <si>
    <t xml:space="preserve">инв.13600574. Выделены из жил.домов, 0,4кВ подземная кабель АВВГ 3*95+1*50мм2 </t>
  </si>
  <si>
    <t>ТП-250, ул.40 лет Октября,4</t>
  </si>
  <si>
    <t xml:space="preserve">инв.13600575.Выделены из жил.домов, 0,4кВ подземная кабель АВВГ 3*25+1*16мм2 </t>
  </si>
  <si>
    <t>ТП-250, ул.40 лет Октября,13</t>
  </si>
  <si>
    <t xml:space="preserve">инв.13600576. Выделены из жил.домов, 0,4кВ подземная кабель ААБ 3*95+1*50мм2 </t>
  </si>
  <si>
    <t>ТП-250, ул.40 лет Октября,12</t>
  </si>
  <si>
    <t xml:space="preserve">инв.13600577. Выделены из жил.домов, 0,4кВ подземная кабель ААБ 3*95мм2 </t>
  </si>
  <si>
    <t>ТП-250, кв.Б,3</t>
  </si>
  <si>
    <t xml:space="preserve">инв.13600578. Выделены из жил.домов, 0,4кВ подземная кабель АВВГ 3*95+1*50мм2 </t>
  </si>
  <si>
    <t>ул.40 лет Октября,5 ТП-251, ввод №1</t>
  </si>
  <si>
    <t xml:space="preserve">винв.13600579. Вделены из жил.домов, 0,4кВ подземная кабель АВВГ  3*95+1*50мм2 </t>
  </si>
  <si>
    <t>ул.40 лет Октября,5 ТП-251, ввод №2</t>
  </si>
  <si>
    <t>инв.13600580. Выделены из жил.домов, 0,4кВ подземная кабель АВВГ 3*120+1*50мм2</t>
  </si>
  <si>
    <t>ул.40 лет Октября, к домам  №8-11 ТП-251</t>
  </si>
  <si>
    <t xml:space="preserve">инв.13600581. Выделены из жил.домов, 0,4кВ подземная кабель АВВГ 3*70+1*25мм2 </t>
  </si>
  <si>
    <t>ул.40 лет Октября, к домам  №1-3 ТП-250</t>
  </si>
  <si>
    <t xml:space="preserve">инв.13600582. Выделены из жил.домов, 0,4кВ подземная кабель ААБ 3*95мм2 </t>
  </si>
  <si>
    <t>ул.40 лет Октября, 6а ТП-250</t>
  </si>
  <si>
    <t xml:space="preserve">инв.13600583. Выделены из жил.домов, 0,4кВ подземная кабель АВВГ 3*120+1*50мм2 </t>
  </si>
  <si>
    <t>ул.40 лет Октября, 7 ТП-250</t>
  </si>
  <si>
    <t>инв.13600584. Выделены из жил.домов,  0,4кВ подземная кабель ААБ 3*120мм2</t>
  </si>
  <si>
    <t>кв.Б,10 ТП-251</t>
  </si>
  <si>
    <t xml:space="preserve">инв.13600585. Выделены из жил.домов, 4кВ подземная кабель ААБ 3*120мм2 </t>
  </si>
  <si>
    <t>кв.Б,15 ТП-251</t>
  </si>
  <si>
    <t xml:space="preserve">инв.13600586. Выделены из жил.домов, 0,4кВ подземная кабель АВВГ 3*185+1*50мм2 </t>
  </si>
  <si>
    <t>кв.Б,16 ТП-252</t>
  </si>
  <si>
    <t xml:space="preserve">инв.13600587. Выделены из жил.домов, 0,4кВ подземная кабель АВВГ 3*95+1*35мм2 </t>
  </si>
  <si>
    <t>инв.13600589. Выделены из жил.домов, 0,4кВ с проводами А 4*16мм2 на деревянных опорах с ж/б пасынками</t>
  </si>
  <si>
    <t>ТП-293, ул.Советская</t>
  </si>
  <si>
    <t>инв.13600590. Выделены из жил.домов,.0,4кВ с проводами Ас 5*35мм2 на деревянных опорах с ж/б пасынками</t>
  </si>
  <si>
    <t>ТП-295, ул.Набережная правая сторона ул.Молодежная</t>
  </si>
  <si>
    <t>инв.13600591. Выделены из жил.домов, 0,4кВ с проводами Ас 5*35мм2 на деревянных опорах с ж/б пасынками</t>
  </si>
  <si>
    <t>ТП-295, ул.Новая левая сторона ул.Молодежная, ул.Советская</t>
  </si>
  <si>
    <t>инв.13600592. Выделены из жил.домов, 0,4кВ с проводами А35 4*35мм2-306м на ж/б опорах, кабель АВВГ 3*120+1*50мм2-40м</t>
  </si>
  <si>
    <t xml:space="preserve">от ТП-295 до ул.Гагарина 15,17 </t>
  </si>
  <si>
    <t>инв.13600593. Выделены из жил.домов, совмещено с воздушной линией ж/м "Учхоз", провод А35 5*35мм2-1400м; А35 4*35мм2-1815м на ж/б опорах и деревяных с ж/б пасынками на опорах</t>
  </si>
  <si>
    <t>ж/м "Учхоз"</t>
  </si>
  <si>
    <t>Воздушная линия электропередач ВЛ-0,4кВ</t>
  </si>
  <si>
    <t>инв.13600594. Провод А35 5*35-1800м, провод А35 4*35-1200м, провод А35 2*35-300м на ж/б опорах</t>
  </si>
  <si>
    <t>Ул.Сибирская, ул.Российская, ул.40 лет Октября от Перекопской до Пограничной, ул.Вольфа, ул.Бийская</t>
  </si>
  <si>
    <t>инв.13600595. Провод А35 4*35-700м, провод А35 2*35-200м на ж/б опорах</t>
  </si>
  <si>
    <t>ул.Степная</t>
  </si>
  <si>
    <t>VIII-2012</t>
  </si>
  <si>
    <t>инв.13600993. Провод АВВГШв 4х95мм</t>
  </si>
  <si>
    <t>кв.Б, д.22/3, от ТП-256 до вводно-распределительного устройства щитовой</t>
  </si>
  <si>
    <t>договор подряда (контракта); акт о приемке выполненных работ</t>
  </si>
  <si>
    <t>0120120163;   2</t>
  </si>
  <si>
    <t xml:space="preserve">Воздушная кабельная линия </t>
  </si>
  <si>
    <t>ВЛ-0,4 кВ, кабель АВВГ 3х70х1х50, подключен к ТП-247. Провод АС50-4х50 прот.=258м на ж/б опорах; кабель АВВГ 3х70х1х50мм2 прот.=30м</t>
  </si>
  <si>
    <t>микрорайон "Западный", по ул.Снежная от ул.Центральная до ул.Западная</t>
  </si>
  <si>
    <t>договор подряда</t>
  </si>
  <si>
    <t>1.6.0817</t>
  </si>
  <si>
    <t xml:space="preserve">Воздушная линия электропередач наружного освещения ВЛ 0,38 кВ со светильниками светодиодными  </t>
  </si>
  <si>
    <t>11.2019</t>
  </si>
  <si>
    <t xml:space="preserve">Светильники светодиодные - 3 шт.  На опорах ж/б центрифугированным (5 шт.) от опоры № 14 по ул.Солнечная (ул.Комсомольская) и от опоры № 10 по ул.Перекопская (ул.Социалистическая). Провод самонесущий изолированный для воздушных линий электропередач с алюминивыми жилами марки СИП -4 2х16-0,6/1,0. </t>
  </si>
  <si>
    <t>г.Яровое, по ул.Социалистическая, ул. Комсомольская</t>
  </si>
  <si>
    <t>0120190124</t>
  </si>
  <si>
    <t>1.6.0818</t>
  </si>
  <si>
    <t xml:space="preserve">Воздушная линия электропередач наружного освещения ВЛ 0,38 кВ со светильником светодиодным  </t>
  </si>
  <si>
    <t xml:space="preserve">Светильник светодиодный - 1 шт.  Провод самонесущий изолированный для воздушных линий электропередач с алюминивыми жилами марки СИП -4 2х16-0,6/1,0. </t>
  </si>
  <si>
    <t>г.Яровое, по ул.Каниболоцкого (МКД "А" - 28)</t>
  </si>
  <si>
    <t>1.6.0819</t>
  </si>
  <si>
    <t xml:space="preserve">Воздушная линия электропередач наружного освещения со светильниками светодиодными  </t>
  </si>
  <si>
    <t>Светильник светодиодный - 4 шт. Кабель силовой с алюминевыми жилами с поливинилхлоридной изоляцией и оболочкой не распространяющей горение, с низким дымо- и газовыделением, напряжением 1,0 кВ, марки АВВГнг(А) 2х2,5</t>
  </si>
  <si>
    <t>г.Яровое, микроорайон "Северный" по ул.Крымская, Степная, пересечение ул.Степная-Звездная, Бийская-Звездная</t>
  </si>
  <si>
    <t>1.6.0820</t>
  </si>
  <si>
    <t>Светильник светодиодный - 2 шт.  Кабель силовой с алюминевыми жилами с поливинилхлоридной изоляцией и оболочкой не распространяющей горение, с низким дымо- и газовыделением, напряжением 1,0 кВ, марки АВВГнг(А) 2х2,5</t>
  </si>
  <si>
    <t>г.Яровое, микроорайон "Михайловка" по ул.Покровская</t>
  </si>
  <si>
    <t>1.6.0821.К</t>
  </si>
  <si>
    <t xml:space="preserve">воздушная линия электроснабжения от опоры № 15 фидера № 4 КТП-10/04кВ № 246. Опоры ж/б промежуточные - 11 шт.; опоры ж/б угловые анкерные - 2 шт.; опоры ж/б анкерные концевые - 1 шт. Провод самонесущий изолированный для воздушных линий электропередач с алюминивыми жилами марки СИП -4 4*50-06,/1,0
</t>
  </si>
  <si>
    <t>г.Яровое, ул.Вольфа, ул.Российская, ул.Пограничная</t>
  </si>
  <si>
    <t>муниципальный контракт на выполнение работ по монтажу</t>
  </si>
  <si>
    <t>ЭА-0120190154</t>
  </si>
  <si>
    <t>1.6.0822</t>
  </si>
  <si>
    <t>Воздушная линия изолированная ВЛИ-0,4 кВ</t>
  </si>
  <si>
    <t>самонесущий изолированный провод сечением 3х70+1х54,6-0,6/1, смонтированная на 19 железобетонных стойках</t>
  </si>
  <si>
    <t>г.Яровое, по ул.Целинная СНТ "Химик-1", от ТП-214 до железобетонной стойки № 15</t>
  </si>
  <si>
    <t>Решение ГСД; рабочий проект</t>
  </si>
  <si>
    <t>23.06.2020; 2014;</t>
  </si>
  <si>
    <t>1.6.0823</t>
  </si>
  <si>
    <t>Сеть уличного освещения ТЭЦ ВЛИ 0,4 кВ</t>
  </si>
  <si>
    <t>08-2020</t>
  </si>
  <si>
    <t>инв.13601808. Железобетонная стойка СВ 95 и изгибающим моментом- 19 шт., светильник РКУ-02-250-003 сл стеклом- 6 шт., светильник РКУ-33-400-003- 4 шт., провод СИП-4 4х50- 581 м</t>
  </si>
  <si>
    <t xml:space="preserve">г.Яровое, Предзаводская пл., 2, ТЭЦ </t>
  </si>
  <si>
    <t xml:space="preserve">акт ввода в эксплуатаци сети уличного освещения </t>
  </si>
  <si>
    <t>2-2020</t>
  </si>
  <si>
    <t>1.6.0824</t>
  </si>
  <si>
    <t>Каб. линия 4 кв ТЭЦ З-я очередь</t>
  </si>
  <si>
    <t>инв.37001304. Питание молотковой дробилки н.б. кабель ААБГ 3*70</t>
  </si>
  <si>
    <t xml:space="preserve">г. Яровое,  
Предзаводская пл, 2/19  
ТЭЦ
</t>
  </si>
  <si>
    <t>1.6.0825</t>
  </si>
  <si>
    <t>Каб. линия 6 кв ТЭЦ З-я очередь</t>
  </si>
  <si>
    <t>инв.37001204. Питание молотковой дробилки н.б. кабель ААБГ 3*70</t>
  </si>
  <si>
    <t>1.6.0826</t>
  </si>
  <si>
    <t>Кабельная линия 6кв от ГЩУ ТЭЦ</t>
  </si>
  <si>
    <t>инв.37001104. Питание молотковой дробилки н.б. кабель ААБГ 3*70</t>
  </si>
  <si>
    <t>1.6.0827</t>
  </si>
  <si>
    <t>Кабельная подземная линия</t>
  </si>
  <si>
    <t>инв.37000304. Питание трансформатора т/п, кабель ААБГ 3*70</t>
  </si>
  <si>
    <t>1.6.0828</t>
  </si>
  <si>
    <t>Кабельная подземная линия 1 кв</t>
  </si>
  <si>
    <t>инв.37000104. Линия рабочего питания секции ЗР, кабель ААБГ 3*70</t>
  </si>
  <si>
    <t>1.6.0829</t>
  </si>
  <si>
    <t xml:space="preserve">Письмо МУП ЯТЭК от 24.02.2022 № 445 - О согласовании контракта ( эл.сеть не будет являтся объектом капитального строительства потому, что они явл.неотъемлемой частью здания (внутри объектовые сети ТЭЦ)) Скан в Пульс про   </t>
  </si>
  <si>
    <t>Кабельная подземная линия 6</t>
  </si>
  <si>
    <t>инв.37000204. Линия рабочего питания секции ЗР, кабель ААБГ 3*70</t>
  </si>
  <si>
    <t>1.6.0830</t>
  </si>
  <si>
    <t>Кабельный канал инв.  37000802</t>
  </si>
  <si>
    <t xml:space="preserve">инв.37000802. Находится под РУСН </t>
  </si>
  <si>
    <t>1.6.0833</t>
  </si>
  <si>
    <t>22:72:060201:2482</t>
  </si>
  <si>
    <t>Российская Федерация, Алтайский край, городской округ город Яровое, город Яровое, КЛЭП-0,4 кВ от ТП-266 к домам квартала "В" № 14,15,16,17,21,22,23,25</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</si>
  <si>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</si>
  <si>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22:72:060201:2482-22/140/2021-1</t>
  </si>
  <si>
    <t>1.6.0834</t>
  </si>
  <si>
    <t>22:72:060201:2480</t>
  </si>
  <si>
    <t>Российская Федерация, Алтайский край, городской округ город Яровое, город Яровое, КЛЭП-0,4 кВ от ТП-263 к домам квартала "В" № 3,4,5,6,7,12</t>
  </si>
  <si>
    <t>22:72:060201:2480-22/140/2021-1</t>
  </si>
  <si>
    <t>Подраздел 1.7 "Сети теплоснабжения"</t>
  </si>
  <si>
    <t>1.7.0008</t>
  </si>
  <si>
    <t>22:72:060302:1005</t>
  </si>
  <si>
    <t>Трубопровод</t>
  </si>
  <si>
    <t>12.1979</t>
  </si>
  <si>
    <t xml:space="preserve"> инв. 01200015, стал.   </t>
  </si>
  <si>
    <t xml:space="preserve">Российская Федерация, Алтайский край, г.Яровое, кв-л А, д.40, ТС </t>
  </si>
  <si>
    <t>29.06.2007; 18.04.2018; 24.01.2020; 20.03.2020</t>
  </si>
  <si>
    <t>457; 307; 56; 260</t>
  </si>
  <si>
    <t>Выписка из Единого государственного реестра недвижимости об основных характеристиках и зарегистрированных правах на объект недвижимости</t>
  </si>
  <si>
    <t>22:72:060301:1005-22/024/2018-1</t>
  </si>
  <si>
    <t>1.7.0033</t>
  </si>
  <si>
    <t>22:72:060201:2256</t>
  </si>
  <si>
    <t>инв. 01200003, трубы стал.50 мм</t>
  </si>
  <si>
    <t xml:space="preserve">Российская Федерация, Алтайский край, г.Яровое, кв-л В, д. 32, ТС </t>
  </si>
  <si>
    <t>01.12.2006; 24.05.2018; 24.01.2020; 18.02.2020</t>
  </si>
  <si>
    <t>868; 465; 58; 132</t>
  </si>
  <si>
    <t>22:72:060201:2256-22/024/2018-1</t>
  </si>
  <si>
    <t>1.7.0038</t>
  </si>
  <si>
    <t>22:72:060301:1307</t>
  </si>
  <si>
    <t>инв. 1200005, трубы стал.50 мм</t>
  </si>
  <si>
    <t xml:space="preserve">Российская Федерация, Алтайский край, г.Яровое, квартал "А", д. 13, ТС  </t>
  </si>
  <si>
    <t>01.12.2006; 04.06.2018; 24.01.2020; 18.02.2020</t>
  </si>
  <si>
    <t>868; 510; 58; 132</t>
  </si>
  <si>
    <t>22:72:060301:1307- 22/024/2018-1</t>
  </si>
  <si>
    <t>1.7.0042</t>
  </si>
  <si>
    <t>22:72:060302:1007</t>
  </si>
  <si>
    <t>инв. 1200021, трубы стал.80 мм</t>
  </si>
  <si>
    <t xml:space="preserve">Российская Федерация, Алтайский край, г.Яровое, квартал "А", д. 42, ТС    </t>
  </si>
  <si>
    <t>868; 509; 58; 132</t>
  </si>
  <si>
    <t>22:72:060302:1007-22/024/2018-1</t>
  </si>
  <si>
    <t>1.7.0379</t>
  </si>
  <si>
    <t>22:72:090106:37</t>
  </si>
  <si>
    <t>инв.01210007</t>
  </si>
  <si>
    <t>Алтайский край, г.Яровое, ул. Гагарина, д.9, ТС</t>
  </si>
  <si>
    <t>08.06.2010; 04.07.2018; 24.01.2020; 20.03.2020</t>
  </si>
  <si>
    <t>126-р; 650; 56; 260</t>
  </si>
  <si>
    <t>22:72:090106:37-22/024/2018-1</t>
  </si>
  <si>
    <t>1.7.0630</t>
  </si>
  <si>
    <t>22:72:000000:60</t>
  </si>
  <si>
    <t xml:space="preserve">Магистральные тепловые сети </t>
  </si>
  <si>
    <t>д.800мм, д.600мм- наздемные, д.500мм- подземная канальная, с насосной станцией (Барнаульская №3). Пост. № 74 от 01.02.2021-В связи с капитальным ремонтом: замена участка магистральной тепловой сети подающего трубопровода ф630*8 мм L=424м сети теплоснабжения от перехода 600/800 до вертикального компенсатора ул. Алтайская с монтажом запорной арматуры Ду600</t>
  </si>
  <si>
    <t>г.Яровое, комплекс ТЭЦ-ул.Барнаульская, ТС</t>
  </si>
  <si>
    <r>
      <t>19.06.2012; 22.12.2017; 21.10.2019; 27.03.2020</t>
    </r>
    <r>
      <rPr>
        <u/>
        <sz val="9"/>
        <rFont val="Times New Roman"/>
        <family val="1"/>
        <charset val="204"/>
      </rPr>
      <t xml:space="preserve"> </t>
    </r>
    <r>
      <rPr>
        <sz val="9"/>
        <rFont val="Times New Roman"/>
        <family val="1"/>
        <charset val="204"/>
      </rPr>
      <t>01.02.2022</t>
    </r>
  </si>
  <si>
    <t>591; 1149; 861; 280; 74</t>
  </si>
  <si>
    <t>постановление (коррек-ка,в соотв-ии с тех.инвент.т/с); выписка из Единого государственного реестра недвижимости об объекте недвижимости</t>
  </si>
  <si>
    <t>20.06.2011; 08.10.2019</t>
  </si>
  <si>
    <t>686; 22:72:000000:60-22/024/2017-1</t>
  </si>
  <si>
    <t>1.7.0631</t>
  </si>
  <si>
    <t>22:72:000000:59</t>
  </si>
  <si>
    <t>д.600мм, д.700/600,мм, д.700, д.500мм, с насосной станцией (Южная №1)</t>
  </si>
  <si>
    <t>г.Яровое, комплекс ТЭЦ-ул.Больничная, ТС</t>
  </si>
  <si>
    <t>19.06.2012; 22.12.2017; 14.10.2019; 27.03.2020</t>
  </si>
  <si>
    <t>591; 1150; 843; 280</t>
  </si>
  <si>
    <t>20.06.2011; 15.12.2017</t>
  </si>
  <si>
    <t>686; 22:72:00000:59-22/024/2017-1</t>
  </si>
  <si>
    <t>1.7.0671</t>
  </si>
  <si>
    <t>22:72:060202:96</t>
  </si>
  <si>
    <t>д.76 мм, надземная сталь</t>
  </si>
  <si>
    <t>Российская Федерация, Алтайский край, г.Яровое, ул.Кулундинская, д.54, ТС</t>
  </si>
  <si>
    <t>06.10.2011; 18.04.2018; 24.01.2020; 20.03.2020</t>
  </si>
  <si>
    <t>1017; 305; 56; 260</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</si>
  <si>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</si>
  <si>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11.04.2018; 06.10.2011; 29.09.2011</t>
  </si>
  <si>
    <t>22:72:060202:96-22/024/2018-1; 305; 1017</t>
  </si>
  <si>
    <t>1.7.0675</t>
  </si>
  <si>
    <t>22:72:070501:138</t>
  </si>
  <si>
    <t>д.57мм, подземная сталь</t>
  </si>
  <si>
    <t>Российская Федерация, Алтайский край, г.Яровое, ул. 40 лет Октября, д.1д, ТС</t>
  </si>
  <si>
    <t>27.08.2015; 06.06.2018; 24.01.2020; 20.03.2020</t>
  </si>
  <si>
    <t>725; 532; 56; 260</t>
  </si>
  <si>
    <t>22:72:070501:138-22/024/2018-1</t>
  </si>
  <si>
    <t>1.7.0680</t>
  </si>
  <si>
    <t>22:72:070604:5</t>
  </si>
  <si>
    <t>д.76мм, подземная, сталь</t>
  </si>
  <si>
    <t>Российская Федерация, Алтайский край, г.Яровое, ул.Ленина, д.9, ТС</t>
  </si>
  <si>
    <t>06.10.2011; 03.07.2018; 24.01.2020; 20.03.2020</t>
  </si>
  <si>
    <t>1017; 641; 56; 260</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</si>
  <si>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</si>
  <si>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22:72:0706042:5-22/024/2018-1; 1017</t>
  </si>
  <si>
    <t>1.7.0688</t>
  </si>
  <si>
    <t>22:72:060302:1006</t>
  </si>
  <si>
    <t>д.57мм, подземная, сталь</t>
  </si>
  <si>
    <t>Российская Федерация, Алтайский край, г.Яровое, кв-л А, д.19, ТС</t>
  </si>
  <si>
    <t>1017; 306; 56; 260</t>
  </si>
  <si>
    <t>18.04.2018; 06.10.2011; 29.09.2011</t>
  </si>
  <si>
    <t>22:72:060302:1006-22/024/2018-1; 1017</t>
  </si>
  <si>
    <t>1.7.0692</t>
  </si>
  <si>
    <t>22:72:060403:1440</t>
  </si>
  <si>
    <t>д.89мм, канальная подземная, сталь</t>
  </si>
  <si>
    <t xml:space="preserve">Российская Федерация, Алтайский край, г.Яровое, кв-л Б, д.37, ТС </t>
  </si>
  <si>
    <t>06.10.2011; 19.04.2018; 24.01.2020; 20.04.2020</t>
  </si>
  <si>
    <t>1017; 315; 58; 391</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</si>
  <si>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</si>
  <si>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22:72:060403:1440-22/024/2018-1</t>
  </si>
  <si>
    <t>1.7.0698</t>
  </si>
  <si>
    <t>22:72:060401:570</t>
  </si>
  <si>
    <t>д.89мм, надземная, сталь</t>
  </si>
  <si>
    <t>Российская Федерация, Алтайский край, г.Яровое, квартал Б д.35, ТС</t>
  </si>
  <si>
    <t>06.10.2011; 28.04.2018; 24.01.2020; 18.02.2020</t>
  </si>
  <si>
    <t>1017; 373; 58; 132</t>
  </si>
  <si>
    <t>22:72:060401:570-22/024/2018-1</t>
  </si>
  <si>
    <t>1.7.0712</t>
  </si>
  <si>
    <t>22:72:060403:1439</t>
  </si>
  <si>
    <t>д.89мм, подземная, сталь</t>
  </si>
  <si>
    <t>Российская Федерация, Алтайский край, г.Яровое, кв-л Б, д.31, ТС</t>
  </si>
  <si>
    <t>06.10.2011; 12.04.2018; 24.01.2020; 18.02.2020</t>
  </si>
  <si>
    <t>1017; 285; 58; 132</t>
  </si>
  <si>
    <t>09.04.2018; 06.10.2011; 29.09.2011</t>
  </si>
  <si>
    <t>22:72:060403:1439-22/024/2018-1; 1017</t>
  </si>
  <si>
    <t>1.7.0719</t>
  </si>
  <si>
    <t>22:72:060304:34</t>
  </si>
  <si>
    <t>д.100мм, подземная, сталь</t>
  </si>
  <si>
    <t>Российская Федерация, Алтайский край, г.Яровое, квартал "А" д.21, ТС</t>
  </si>
  <si>
    <t>06.10.2011; 02.07.2018; 24.01.2020</t>
  </si>
  <si>
    <t>1017; 630; 58</t>
  </si>
  <si>
    <t xml:space="preserve"> 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</si>
  <si>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26.06.2018; 06.10.2011; 29.09.2011</t>
  </si>
  <si>
    <t>22:72:060304:34-22/024/2018-1; 1017</t>
  </si>
  <si>
    <t>1.7.0725</t>
  </si>
  <si>
    <t>22:72:090203:49</t>
  </si>
  <si>
    <t>Российская Федерация, Алтайский край, г.Яровое, ул.Гагарина, д.1, ТС</t>
  </si>
  <si>
    <t>06.10.2011; 06.06.2018; 24.01.2020; 20.03.2020</t>
  </si>
  <si>
    <t>1017; 530; 56; 260</t>
  </si>
  <si>
    <t>Выписка из Единого государственного реестра недвижимости об основных характеристиках и зарегистрированных правах на объект недвижимости; Решение ГСД г.Яровое; постановление;       акт обследования</t>
  </si>
  <si>
    <t>06.08.1993; 06.10.2011; 29.09.2011</t>
  </si>
  <si>
    <t>22:72:070501:138-22/024/2018-1; 1017</t>
  </si>
  <si>
    <t>1.7.0734</t>
  </si>
  <si>
    <t>22:72:090202:39</t>
  </si>
  <si>
    <t>д.125мм, подземная, сталь</t>
  </si>
  <si>
    <t>г.Яровое, ул.Гагарина, д.7, ТС</t>
  </si>
  <si>
    <t>06.10.2011; 30.05.2018; 09.01.2020; 11.02.2020</t>
  </si>
  <si>
    <t>1017; 482; 2; 121</t>
  </si>
  <si>
    <t>22:72:090202:39-22/024/2018-1</t>
  </si>
  <si>
    <t>1.7.0796</t>
  </si>
  <si>
    <t xml:space="preserve">22:72:020202:198 </t>
  </si>
  <si>
    <t xml:space="preserve">Теплотрасса завод-поселок </t>
  </si>
  <si>
    <t xml:space="preserve">Литер 108. Капитальный ремонт 09-2017: замена надземного участка трубопровода на ф 630мм - 456 м. 09-2018 кап.ремонт: замена надземного участка трубопровода с ф820 на ф630 мм - 227,5м . 01-2020 модернизация СМР участка от мекущей задвижки "СУ-27" до компенсатора "Добро пожаловать" протяженностью 26,4м, задвижка Ду 600 РУ 25. Модернизация участка от секущей задвижки "СУ-27" до компенсатора "Добро пожаловать" 273,6 м </t>
  </si>
  <si>
    <t>г.Яровое, от поста 7 до СУ-27</t>
  </si>
  <si>
    <t>26.01.2015; 09.10.2018; 06.02.2020; 01.04.2020; 20.08.2020; 05.11.2020</t>
  </si>
  <si>
    <t>227; 977; 110; 297; 694; 911</t>
  </si>
  <si>
    <t xml:space="preserve">распоряжение (край); акт приема-передачи; свидетельство; договор </t>
  </si>
  <si>
    <t>14.11.2014; 11.12.2014; 28.10.2015; 22.04.2019</t>
  </si>
  <si>
    <t>720;  22АД 672628; 2019.137931</t>
  </si>
  <si>
    <t>1.7.0797</t>
  </si>
  <si>
    <t xml:space="preserve">22:72:020202:667 </t>
  </si>
  <si>
    <t>Сети тепловые от корпуса 11 до площадки БОС</t>
  </si>
  <si>
    <t>Литер 31. Сталь 2dх125 мм. Эстакада ж/б опоры. Износ - 60 %</t>
  </si>
  <si>
    <t>пл.Предзаводская,  д.2</t>
  </si>
  <si>
    <t>распоряжение (край); акт приема-передачи; свидетельство</t>
  </si>
  <si>
    <t>241; 35; 22АД 670324</t>
  </si>
  <si>
    <t>1.7.0798</t>
  </si>
  <si>
    <t xml:space="preserve">22:72:020202:673 </t>
  </si>
  <si>
    <t>Сети тепловые внутриплощадочные</t>
  </si>
  <si>
    <t>Литер 27. Трубы сталь.д.125 мм -393 пог.м; д.100 мм - 416,90 пог.м; д.50 мм - 25,15 пог.м; д.40 мм - 22,50 пог.м. Эстакада сталь., ж/б опоры.</t>
  </si>
  <si>
    <t>241; 35; 22АД 670331</t>
  </si>
  <si>
    <t>1.7.0799</t>
  </si>
  <si>
    <t>22:72:020202:415</t>
  </si>
  <si>
    <t>Сети тепловые от к.102 до к.105</t>
  </si>
  <si>
    <t>Литер 110. Сталь.д.400 мм. Износ - 20 %</t>
  </si>
  <si>
    <t>01.10.2018; 27.03.2020; 01.04.2020</t>
  </si>
  <si>
    <t>926; 280; 297</t>
  </si>
  <si>
    <t>241; 35; 22АД 671666</t>
  </si>
  <si>
    <t>1.7.0800</t>
  </si>
  <si>
    <t xml:space="preserve">22:72:020202:320 </t>
  </si>
  <si>
    <t>Сети тепловые от к.94 до ТЭЦ</t>
  </si>
  <si>
    <t>Литер 109. Сталь.д.400 мм. Износ - 20 %</t>
  </si>
  <si>
    <t>241; 35; 22АД 671664</t>
  </si>
  <si>
    <t>1.7.0801</t>
  </si>
  <si>
    <t xml:space="preserve">22:72:020202:243 </t>
  </si>
  <si>
    <t>Тепловые сети от ТЭЦ до к.163</t>
  </si>
  <si>
    <t>Литер 107. Сталь. д.400 мм. Износ - 35 %</t>
  </si>
  <si>
    <t>241; 35; 22АД 671670</t>
  </si>
  <si>
    <t>1.7.0802</t>
  </si>
  <si>
    <t xml:space="preserve">22:72:020202:202 </t>
  </si>
  <si>
    <t>Литер 106. Сталь. д.500 мм. Износ - 35 %</t>
  </si>
  <si>
    <t xml:space="preserve">241; 35; 22АД 671671 </t>
  </si>
  <si>
    <t>1.7.0970</t>
  </si>
  <si>
    <t>22:72:000000:55</t>
  </si>
  <si>
    <t>Магистральные тепловые сети</t>
  </si>
  <si>
    <t>г.Яровое, квартал В, ТС</t>
  </si>
  <si>
    <t>постановление;</t>
  </si>
  <si>
    <t>19.06.2012; 25.10.2017; 21.10.2019; 27.03.2020</t>
  </si>
  <si>
    <t>591; 954; 859; 280</t>
  </si>
  <si>
    <t>Выписка из единого государственного реестра недвижимости об объекте недвижимости</t>
  </si>
  <si>
    <t>22:72:000000:55-22/024/2017-1</t>
  </si>
  <si>
    <t>д.89</t>
  </si>
  <si>
    <t>ТК-311, кв-л В, д.2</t>
  </si>
  <si>
    <t>ТК-327, кв-л В, д.3</t>
  </si>
  <si>
    <t>ТК-327, кв-л В, д.4</t>
  </si>
  <si>
    <t>д.150</t>
  </si>
  <si>
    <t>ТК-337, кв-л В, д.5</t>
  </si>
  <si>
    <t>ТК-338, кв-л В, д.6</t>
  </si>
  <si>
    <t>д.150, д.100</t>
  </si>
  <si>
    <t>ТК-339, кв-л В, д.7, 12</t>
  </si>
  <si>
    <t>д.100</t>
  </si>
  <si>
    <t>ТК-332, кв-л В, д.8, 9</t>
  </si>
  <si>
    <t>ТК-333, кв-л В, д.10</t>
  </si>
  <si>
    <t>1989/ 1990</t>
  </si>
  <si>
    <t>д.150, д.100, д.89</t>
  </si>
  <si>
    <t>ТК-340 кв-л В, д.8, 14, 15, 16</t>
  </si>
  <si>
    <t>1990/1992</t>
  </si>
  <si>
    <t>д.100, д.89</t>
  </si>
  <si>
    <t>ТК-342, кв-л В, д.29</t>
  </si>
  <si>
    <t>1986/1988/ 1990</t>
  </si>
  <si>
    <t>подз.канальная, д.400 д.300, д.150</t>
  </si>
  <si>
    <t>квартал В</t>
  </si>
  <si>
    <t>1.7.0971</t>
  </si>
  <si>
    <t>22:72:060301:35</t>
  </si>
  <si>
    <t>г.Яровое, квартал А, ТС</t>
  </si>
  <si>
    <t>19.06.2012; 13.11.2017;  25.11.2019; 27.03.2020; 24.09.2020; 18.12.2020</t>
  </si>
  <si>
    <t>591; 1001; 975; 280; 801; 1063</t>
  </si>
  <si>
    <t>01.11.2004; 01.03.2011</t>
  </si>
  <si>
    <t>постановление; Выписка из единого государственного реестра недвижимости</t>
  </si>
  <si>
    <t>03.03.2011; 01.11.2017</t>
  </si>
  <si>
    <t>158; 22-0-1-254/3772/2017-6</t>
  </si>
  <si>
    <t>д.89   - 20;                                       д.50 - 30</t>
  </si>
  <si>
    <t>ТК-291, кв.А,2,3</t>
  </si>
  <si>
    <t>д.57</t>
  </si>
  <si>
    <t>ТК-289, кв.А,4</t>
  </si>
  <si>
    <t>д.50</t>
  </si>
  <si>
    <t>ТК-301, кв.А,5</t>
  </si>
  <si>
    <t>ТК-307, кв.А,6</t>
  </si>
  <si>
    <t>ТК-315, кв.А,11,12,7</t>
  </si>
  <si>
    <t>д.76</t>
  </si>
  <si>
    <t>ТК-319, кв.А,8</t>
  </si>
  <si>
    <t>ТК-317, кв.А,9</t>
  </si>
  <si>
    <t>ТК-320, кв.А,10</t>
  </si>
  <si>
    <t>ТК-307, кв.А,14,15</t>
  </si>
  <si>
    <t>ТК-301, кв.А,17</t>
  </si>
  <si>
    <t>ТК-296, кв.А,18</t>
  </si>
  <si>
    <t>ТК-310,кв.А,20</t>
  </si>
  <si>
    <t>кв.А,20,26,27</t>
  </si>
  <si>
    <t>ТК-287,кв.А,22</t>
  </si>
  <si>
    <t>ТК-312,кв.А,24</t>
  </si>
  <si>
    <t>ТК-286,кв.А,25</t>
  </si>
  <si>
    <t>ТК-316,кв.А,28</t>
  </si>
  <si>
    <t>ТК-313,кв.А,30</t>
  </si>
  <si>
    <t>ТК-300,кв.А,31</t>
  </si>
  <si>
    <t>ТК-305-ТК 304,кв.А,32</t>
  </si>
  <si>
    <t>ТК-287,кв.А,33</t>
  </si>
  <si>
    <t>д.89 мм - 16; д.100 мм - 40 м</t>
  </si>
  <si>
    <t>ТК-287,кв.А,34</t>
  </si>
  <si>
    <t>ТК-305,кв.А,35</t>
  </si>
  <si>
    <t>ТК 306-ТК-311,кв.А</t>
  </si>
  <si>
    <t>кв.А,37</t>
  </si>
  <si>
    <t>ТК 316,кв.А,38</t>
  </si>
  <si>
    <t>ТК 306-307</t>
  </si>
  <si>
    <t xml:space="preserve">ТК301-ТК300- ТК298-ТК 297;  
ТК320-ТК319-ТК318-ТК317-ТК316-ТК315-ТК313-ТК312-ТК306-ТК304-ТК302-ТК297-ТК296-ТК295-ТК294-ТК285-ТК284-ТК283-ТК282-ТК281-ТК-280-ТК153;
ТК320-ТК40-ТК42-ТК44;
ТК302-ТК303;
ТК285-ТК286-ТК287;
ТК286-ТК289-ТК290 -ТК291-ТК292;
ТК313-ТК314-ТК35-ТК36-ТК37-ТК114-ТК111-ТК113.
</t>
  </si>
  <si>
    <t>квартал А</t>
  </si>
  <si>
    <t>1974-2008</t>
  </si>
  <si>
    <t>1.7.0972</t>
  </si>
  <si>
    <t>22:72:060401:24</t>
  </si>
  <si>
    <t>г.Яровое, квартал Б, ТС</t>
  </si>
  <si>
    <t>19.06.2012; 22.12.2017; 22.11.2019; 27.03.2020</t>
  </si>
  <si>
    <t>591; 1148; 968; 280</t>
  </si>
  <si>
    <t xml:space="preserve">постановление; постановление (коррек-ка,в соотв-ии с тех.инвент.т/с); выписка из Единого государственного реестра недвижимости об основных характеристиках и зарегистрированных правах на объект недвижимости  </t>
  </si>
  <si>
    <t>03.03.2011; 20.06.2011; 22.01.2018</t>
  </si>
  <si>
    <t>158; 686; 22:72:060401:24-22/024/2018-1</t>
  </si>
  <si>
    <t>ТК-173, кв.Б,1</t>
  </si>
  <si>
    <t>д.80</t>
  </si>
  <si>
    <t>ТК-173, кв.Б,2</t>
  </si>
  <si>
    <t>ТК-171, кв.Б,3</t>
  </si>
  <si>
    <t>ТК-154, кв.Б,10</t>
  </si>
  <si>
    <t>ТК-24, кв.Б,12</t>
  </si>
  <si>
    <t>ТК-176, кв.Б,13</t>
  </si>
  <si>
    <t>ТК-180, кв.Б,14</t>
  </si>
  <si>
    <t>ТК-161, кв.Б,15</t>
  </si>
  <si>
    <t>ТК-178, кв.Б,16</t>
  </si>
  <si>
    <t>ТК-178, кв.Б,17</t>
  </si>
  <si>
    <t>ТК-180, кв.Б,18</t>
  </si>
  <si>
    <t>ТК-27, кв.Б,19</t>
  </si>
  <si>
    <t>ТК-28, кв.Б,20</t>
  </si>
  <si>
    <t>ТК-29, кв.Б,21</t>
  </si>
  <si>
    <t>ТК-30, кв.Б,22</t>
  </si>
  <si>
    <t>ТК-32, кв.Б,23</t>
  </si>
  <si>
    <t>ТК-33, кв.Б,24,25,26</t>
  </si>
  <si>
    <t>ТК-174, кв.Б,30</t>
  </si>
  <si>
    <t>ТК-169, кв.Б,32</t>
  </si>
  <si>
    <t>д.133</t>
  </si>
  <si>
    <t>ТК-169-ТК 166</t>
  </si>
  <si>
    <t>ТК 166, кв.Б,33</t>
  </si>
  <si>
    <t>ТК-172, кв.Б,34</t>
  </si>
  <si>
    <t>ТК 192,ул. 40 лет Октября,1</t>
  </si>
  <si>
    <t>ТК 194,ул. 40 лет Октября,2</t>
  </si>
  <si>
    <t>ТК 196,ул. 40 лет Октября,3</t>
  </si>
  <si>
    <t>ТК 170,ул. 40 лет Октября,4</t>
  </si>
  <si>
    <t>ТК 160,ул. 40 лет Октября,5</t>
  </si>
  <si>
    <t>ТК 146-ТК 147,ул. 40 лет Октября,6</t>
  </si>
  <si>
    <t>ТК 160,ул. 40 лет Октября,6а</t>
  </si>
  <si>
    <t>ТК 158,ул. 40 лет Октября,7</t>
  </si>
  <si>
    <t>ТК 155,ул. 40 лет Октября,8</t>
  </si>
  <si>
    <t>ТК 157,ул. 40 лет Октября,8а</t>
  </si>
  <si>
    <t>ТК 158,ул. 40 лет Октября,9</t>
  </si>
  <si>
    <t>ТК 159,ул. 40 лет Октября,10</t>
  </si>
  <si>
    <t>ТК 159,ул. 40 лет Октября,11</t>
  </si>
  <si>
    <t>ТК 161,ул. 40 лет Октября,12</t>
  </si>
  <si>
    <t>ТК 161,ул. 40 лет Октября,13</t>
  </si>
  <si>
    <t>1998(2),     1964(3),     1974(2), 1970-2008</t>
  </si>
  <si>
    <t>д.400мм надземная, д.300мм надземная, д.300мм подз.канальная, д.300/250мм подз.канальная, д.300мм подз.канальная, д.400 подз.канальная, д.500подз.канальная</t>
  </si>
  <si>
    <t xml:space="preserve">кв. Б. ТК23-ТК154-ТК155-ТК156-ТК157-ТК158-ТК159-ТК161;  
ТК158-ТК160;
ТК156-ТК163-ТК175;
ТК163-ТК165-ТК167-ТК-174;
ТК165-ТК166;
ТК169-ТК171-ТК170;
ТК171-ТК172-ТК173;
ТК23-ТК192-ТК194-ТК195-ТК196; 
ТК153-ТК23-ТК24-ТК25-ТК26-ТК180;
ТК26-ТК176-ТК177-ТК178; 
ТК26-ТК29-ТК28; 
Врезка с ДУ300 до ТК27;
ТК29-ТК30-ТК32-ТК33;
От секущих задвижек ДУ400 южной магистрали до ТК 29 
</t>
  </si>
  <si>
    <t>1.7.0973</t>
  </si>
  <si>
    <t>22:72:000000:63</t>
  </si>
  <si>
    <t>ПСНС № 6 - 48,4 кв.м</t>
  </si>
  <si>
    <t>г.Яровое, ПСНС № 6 (водозабор)- ул.Бийская, ТС</t>
  </si>
  <si>
    <t>19.06.2012; 27.09.2016: 26.01.2018; 27.03.2020; 28.04.2021</t>
  </si>
  <si>
    <t>591; 990; 85; 280; 324</t>
  </si>
  <si>
    <t>01.11.2004; 14.09.2016</t>
  </si>
  <si>
    <t>надземная д.500-408м,д.350-130м,д.300-302м.</t>
  </si>
  <si>
    <t>от ПСНС №6 до ул.Бийская</t>
  </si>
  <si>
    <t>постановление (коррек-ка,в соотв-ии с тех.инвент.т/с)</t>
  </si>
  <si>
    <t>надземная, д.100 мм</t>
  </si>
  <si>
    <t>От ПСНС № 8 до земельного участка (дом № 29 ул. Шукшина, дом № 30 ул. Химиков)</t>
  </si>
  <si>
    <t>акт обследования тепловых сетей г.Яровое</t>
  </si>
  <si>
    <t>надземная, подземная бесканальная, д.100 мм</t>
  </si>
  <si>
    <t>От ПСНС № 8 до земельного участка (дом № 31 ул. Шукшина, дом № 32 ул. Химиков)</t>
  </si>
  <si>
    <t>надземная, подземная бесканальная, д.125 мм</t>
  </si>
  <si>
    <t>От ПСНС № 9 до земельного участка (дом № 29 ул. Химиков, дом № 27а ул. Солнечная)</t>
  </si>
  <si>
    <t>От ПСНС № 9 до земельного участка (дом № 31 ул. Химиков, дом № 29 ул. Солнечная)</t>
  </si>
  <si>
    <t>От ПСНС № 10 до земельного участка (дом № 28а ул. Солнечная, дом № 27а ул. Комсомольская)</t>
  </si>
  <si>
    <t>От ПСНС № 10 до земельного участка (дом № 30 ул. Солнечная, дом № 29 ул. Комсомольская)</t>
  </si>
  <si>
    <t>От ПСНС № 11 до земельного участка (дом № 28а ул. Комсомольская, дом № 27а ул. Социалистическая)</t>
  </si>
  <si>
    <t>От ПСНС № 11 до земельного участка (дом № 30 ул. Комсомольская, дом № 29 ул. Социалистическая)</t>
  </si>
  <si>
    <t>От ПСНС № 12 до земельного участка (дом № 28а ул. Социалистическая, до № 27а ул. Перекопская)</t>
  </si>
  <si>
    <t>От ПСНС № 12 до земельного участка (дом № 30 ул. Социалистическая, до № 29 ул. Перекопская)</t>
  </si>
  <si>
    <t>От врезки в теплосеть Ду-200 (уч. № 12\2) до земельного участка (дом № 16 ул. Мира, дом № 17 ул. Полевая)</t>
  </si>
  <si>
    <t>подземная бесканальная, д.100 мм</t>
  </si>
  <si>
    <t>От врезки в теплосеть Ду-200 (уч. № 12\2) до земельного участка (дом № 20 ул. Мира, дом № 19 ул. Полевая)</t>
  </si>
  <si>
    <t>От врезки в теплосеть Ду-150 (уч. № 12\2) до земельного участка (дом № 18 ул. Полевая, дом № 17 ул. Звёздная)</t>
  </si>
  <si>
    <t>От врезки в теплосеть Ду-150 (уч. № 12\2) до земельного участка (дом № 20 ул. Полевая, дом № 19 ул. Звёздная)</t>
  </si>
  <si>
    <t>От врезки в теплосеть Ду-150 (уч. № 12\2) до земельного участка (дом № 14 ул. Звёздная, дом № 13 ул. Крымская)</t>
  </si>
  <si>
    <t>1.7.0974</t>
  </si>
  <si>
    <t>22:72:000000:68</t>
  </si>
  <si>
    <t>г.Яровое, юго-восточная часть застроенной территории г.Яровое, ТС</t>
  </si>
  <si>
    <t>19.06.2012; 07.05.2018; 27.03.2020</t>
  </si>
  <si>
    <t>591; 392; 280</t>
  </si>
  <si>
    <t>22:72:000000:68-22/024/2018-1</t>
  </si>
  <si>
    <t>1951</t>
  </si>
  <si>
    <t>ТК-87, ул.Алтайская,1</t>
  </si>
  <si>
    <t>1949</t>
  </si>
  <si>
    <t>ТК-71, ул.Алтайская,15</t>
  </si>
  <si>
    <t>1959</t>
  </si>
  <si>
    <t>ТК-143, ул.Алтайская,41</t>
  </si>
  <si>
    <t>1960</t>
  </si>
  <si>
    <t>ТК-133, ул.Пушкина,15</t>
  </si>
  <si>
    <t>ТК-134,ул.Пушкина,13</t>
  </si>
  <si>
    <t>ТК104,ул.Верещагина,4</t>
  </si>
  <si>
    <t>ТК185,ул.Заводская,12</t>
  </si>
  <si>
    <t>ТК 86,ул.Заводская,16</t>
  </si>
  <si>
    <t>1954</t>
  </si>
  <si>
    <t>ТК106,ул.Менделеева,1</t>
  </si>
  <si>
    <t>1961</t>
  </si>
  <si>
    <t>ТК141,ул.Менделеева,2</t>
  </si>
  <si>
    <t>ТК106,ул.Менделеева,3</t>
  </si>
  <si>
    <t>ТК140,ул.Менделеева,4</t>
  </si>
  <si>
    <t>ТК92,ул.Ленина,1</t>
  </si>
  <si>
    <t>ТК83,ул.Ленина,2</t>
  </si>
  <si>
    <t>ТК91,ул.Ленина,3</t>
  </si>
  <si>
    <t>ТК 82,ул.Ленина,4</t>
  </si>
  <si>
    <t>ТК 90,ул.Ленина,5</t>
  </si>
  <si>
    <t>ТК 73,ул.Ленина,6</t>
  </si>
  <si>
    <t>1958</t>
  </si>
  <si>
    <t>ТК 89,ул.Ленина,7</t>
  </si>
  <si>
    <t>ТК 72,ул.Ленина,8</t>
  </si>
  <si>
    <t>1955</t>
  </si>
  <si>
    <t>ТК 124,ул.Ленина,10</t>
  </si>
  <si>
    <t>ТК 108,ул.Ленина,11</t>
  </si>
  <si>
    <t>ТК 109,ул.Ленина,13</t>
  </si>
  <si>
    <t>ТК 110,ул.Ленина,15</t>
  </si>
  <si>
    <t>ТК 138,ул.Ленина,17</t>
  </si>
  <si>
    <t>ТК 136,ул.Ленина,18</t>
  </si>
  <si>
    <t>ТК 146,ул.Пушкина,4</t>
  </si>
  <si>
    <t>ТК 135,ул.Пушкина,11</t>
  </si>
  <si>
    <t>ТК 80- ТК 81,ул.Кирова,13,15</t>
  </si>
  <si>
    <t>ТК 146-147, ул.40 лет Октября, 6</t>
  </si>
  <si>
    <t>1.7.0975</t>
  </si>
  <si>
    <t>22:72:060201:2255</t>
  </si>
  <si>
    <t>инв.10113001, д.159мм, подземная, сталь, д.76мм, подземная, сталь</t>
  </si>
  <si>
    <t>г.Яровое, квартал "В", дом 19, ТС</t>
  </si>
  <si>
    <t>06.10.2011; 18.04.2018; 24.01.2020; 18.02.2020</t>
  </si>
  <si>
    <t>1017; 304; 58; 132</t>
  </si>
  <si>
    <t>22:72:060201:2255-22/024/2018-1</t>
  </si>
  <si>
    <t>1.7.0976</t>
  </si>
  <si>
    <t>22:72:020202:218</t>
  </si>
  <si>
    <t>г.Яровое, юго-западная часть застроенной территории, ТС</t>
  </si>
  <si>
    <t>19.06.2012; 27.09.2016;     22.03.2018; 11.12.2018; 29.04.2019 27.03.2020</t>
  </si>
  <si>
    <t>990; 220; 1215; 352; 280</t>
  </si>
  <si>
    <t xml:space="preserve">Выписка из Единого государственного реестра недвижимости об объекте недвижимости; постановление (коррек-ка,в соотв-ии с тех.инвент.т/с); акт обследования тепловых сетей г.Яровое; Выписка из еГРН </t>
  </si>
  <si>
    <t>29.03.2018; 14.09.2016; 10.12.2021</t>
  </si>
  <si>
    <t>22-0-1-254/3110/2018-77; 686; б/н; 22:72:020202:218-22/111/2021-1</t>
  </si>
  <si>
    <t>надземная, д.50 мм</t>
  </si>
  <si>
    <t>От врезки в теплосеть Ду-200 (уч. № 11\1)  до земельного участка (дом № 2 ул. Больничная)</t>
  </si>
  <si>
    <t>От ТК-546 до земельного участка (дом № 1-4 ул. Молодёжная)</t>
  </si>
  <si>
    <t>От врезки в теплосеть Ду-150 (уч. № 11\4)  до ТК-547</t>
  </si>
  <si>
    <t>От ТК-547 до земельного участка (дом № 5-13 ул. Молодёжная)</t>
  </si>
  <si>
    <t>2009/ 1985</t>
  </si>
  <si>
    <t>подземная бесканальная, д.50 мм</t>
  </si>
  <si>
    <t>От ТК-548 до ТК-549, от ТК-549 до ТК-550</t>
  </si>
  <si>
    <t>От ТК-558 до земельного участка (дом № 12-14 ул. Набережная)</t>
  </si>
  <si>
    <t>От ТК-561 до земельного участка (дом № 3-23 ул. Советская)</t>
  </si>
  <si>
    <t>1995-2006</t>
  </si>
  <si>
    <t>частный сектор (жилмассив Учхоз)</t>
  </si>
  <si>
    <t>1.7.0977</t>
  </si>
  <si>
    <t>22:72:020202:273</t>
  </si>
  <si>
    <t>г.Яровое, восточная часть застроенной территории г.Яровое, ТС</t>
  </si>
  <si>
    <t>19.06.2012; 28.09.2015; 27.09.2016; 07.05.2019; 27.03.2020</t>
  </si>
  <si>
    <t>591; 803; 990; 1215; 368; 280</t>
  </si>
  <si>
    <t>01.11.2004; 2015; 14.09.2016</t>
  </si>
  <si>
    <t>постановление (коррек-ка,в соотв-ии с тех.инвент.т/с); акт обследования тепловых сетей г.Яровое; Выписка из ЕГРН об основных характеристиках и зарегистрированных правах на объект недвижимости</t>
  </si>
  <si>
    <t>20.06.2011; 14.09.2016; 13.12.2021</t>
  </si>
  <si>
    <t>686; б/н; 22:72:020202:213-22/111/2021-1</t>
  </si>
  <si>
    <t>1975-2009</t>
  </si>
  <si>
    <t>частный сектор (старый)</t>
  </si>
  <si>
    <t>д.89 мм -46,8 м; д.76 мм - 263,2 м</t>
  </si>
  <si>
    <t>по ул.Менделеева д.74,76,78; по ул.Строительная д.36 кв.1</t>
  </si>
  <si>
    <t>От ПНС № 2 до земельного участка (дом № 26 ул. Алтайская)</t>
  </si>
  <si>
    <t>От ПНС № 2 до земельного участка (дом № 24 ул. Алтайская)</t>
  </si>
  <si>
    <t>От ТК-200 до земельного участка (дом № 22-28 ул. Верещагина)</t>
  </si>
  <si>
    <t>От ТК-200 до земельного участка (дом № 21-25 ул. Верещагина)</t>
  </si>
  <si>
    <t>От ТК-201 до земельного участка (дом № 30-36 ул. Верещагина)</t>
  </si>
  <si>
    <t>От ТК-201 до земельного участка (дом № 33-35 ул. Верещагина)</t>
  </si>
  <si>
    <t>От ТК-204 до земельного участка (дом № 36-40 ул. Кулундинская)</t>
  </si>
  <si>
    <t>2013-2015</t>
  </si>
  <si>
    <t>От ТК-204 до земельного учаска (дом № 42-50 ул. Менделеева)</t>
  </si>
  <si>
    <t>От ТК-204а до земельного участка (дом № 41-43 ул. Менделеева, дом № 30-34 ул. Кулундинская)</t>
  </si>
  <si>
    <t>От ТК-205 до земельного участка (дом № 30-36 ул. Менделеева)</t>
  </si>
  <si>
    <t>От ТК-205 до земельного участка (дом № 29-35 ул. Менделеева, дом № 33 ул. Кулундинская)</t>
  </si>
  <si>
    <t>От ТК-206 до  земельного участка (дом № 22-28 ул. Менделеева)</t>
  </si>
  <si>
    <t>От ТК-206 до  земельного участка (дом № 21-27 ул. Менделеева)</t>
  </si>
  <si>
    <t>От ТК-206 до земельного участка (дом № 36 ул. Алтайская)</t>
  </si>
  <si>
    <t>2004/ 2005</t>
  </si>
  <si>
    <t>подземная бесканальная, д.50 мм - 135 м; д.80 мм - 157 м</t>
  </si>
  <si>
    <t>От ТК-207 до земельного участка (дома № 52 ул. Кулундинская,                                  дом № 41-47 ул. 40 лет Октября)</t>
  </si>
  <si>
    <t>1985-1998- 2010</t>
  </si>
  <si>
    <t>подземная бесканальная, д.70 мм- 20 м; д.50 мм - 34 м; д.50 мм - 340 м</t>
  </si>
  <si>
    <t>От ТК-207 до земельного участка (дом № 42-44 ул. Кулундинская, дом № 41-52 ул. Пушкина, дом № 46-50 ул. Кулундинская)</t>
  </si>
  <si>
    <t>От ТК-208 до земельного участка (дом № 45-49 ул. Кулундинская)</t>
  </si>
  <si>
    <t>От ТК-208 до земельного участка (дом № 37-43 ул. Кулундинская)</t>
  </si>
  <si>
    <t>От ТК-209 до земельного участка (дом № 30-40 ул. Пушкина)</t>
  </si>
  <si>
    <t>От ТК-210 до земельного участка (дом № 20-28 ул. Пушкина)</t>
  </si>
  <si>
    <t>От ТК-213 до земельного участка (дом № 14-16 ул. Кулундинская)</t>
  </si>
  <si>
    <t>От ТК-213 до земельного участка (дом № 41-49 ул. Первомайская)</t>
  </si>
  <si>
    <t>От ТК-213а до земельного участка (дом № 18-20 ул. Кулундинская, дом № 42-48 ул. Первомайская)</t>
  </si>
  <si>
    <t>От ТК-214 до земельного участка (дом № 17 ул. Кулундинская)</t>
  </si>
  <si>
    <t>От ТК-214 до земельного участка (дом № 11-15 ул. Кулундинская)</t>
  </si>
  <si>
    <t>От ТК-216 до земельного участка (дом № 18 ул. Алтайская, дом № 22-28 ул. Первомайская)</t>
  </si>
  <si>
    <t>От ТК-217 до земельного участка (дом № 8 ул. Кулундинская, дом № 41-48 ул. Кирова, дом № 10 ул. Кулундинская)</t>
  </si>
  <si>
    <t>От ТК-218 до земельного участка (дом № 30-36 ул. Кирова, дом № 9   ул. Кулундинская)</t>
  </si>
  <si>
    <t>От ТК-218 до земельного участка (дом № 29-33 ул. Кирова)</t>
  </si>
  <si>
    <t>От ТК-219 до земельного участка (дом № 22-28 ул. Кирова, дом № 10 ул. Алтайская)</t>
  </si>
  <si>
    <t>От ТК-219 до земельного участка (дом № 21-27 ул. Кирова)</t>
  </si>
  <si>
    <t>подземная бесканальная,  д.70мм-135м, д.50мм-158м, д.32мм-95м</t>
  </si>
  <si>
    <t>От ТК-220 до земельного участка (дом № 22-36 ул. Заводская, дом № 2 ул. Алтайская, дом № 1-5 ул. Кулундинская)</t>
  </si>
  <si>
    <t>От ТК-221 до земельного участка (дом № 41-49 ул. Верещагина)</t>
  </si>
  <si>
    <t>От ТК-222 до земельного участка (дом № 50-56 ул. Верещагина, дом № 25 ул. Барнаульская)</t>
  </si>
  <si>
    <t>От ТК-222 до земельного участка (дом № 51-55 ул. Верещагина)</t>
  </si>
  <si>
    <t>От ТК-224 до земельного участка (дом 17 ул. Барнаульская, дом № 50-56 ул. Первомайская)</t>
  </si>
  <si>
    <t>От ТК-224 до земельного участка (дом № 18 ул. Барнаульская, дом № 58-62 ул. Первомайская)</t>
  </si>
  <si>
    <t>От ТК-225 до земельного участка (дом № 15 ул. Барнаульская, дома № 51-55 ул. Первомайская)</t>
  </si>
  <si>
    <t>От ТК-226 до земельного участка (дом № 9 ул. Барнаульская, дом № 50-56 ул. Кирова)</t>
  </si>
  <si>
    <t>От ТК-226 до земельного участка (дома № 10-12 ул. Барнаульская)</t>
  </si>
  <si>
    <t>От ТК-227 до земельного участка (дом № 7 ул. Барнаульская, дом № 49-55 ул. Кирова)</t>
  </si>
  <si>
    <t>От ТК-227 до земельного участка (дом № 8 ул. Барнаульская дом № 57-59 ул. Кирова)</t>
  </si>
  <si>
    <t>подземная бесканальная, д.70мм-135м, д.50мм-138м</t>
  </si>
  <si>
    <t>От ТК-227 до земельного учаска (дом № 2 ул. Барнаульская, дом № 58-64 ул. Заводская)</t>
  </si>
  <si>
    <t>От ТК-229 до земельного участка (дом № 31-33 ул. Барнаульская)</t>
  </si>
  <si>
    <t>От ТК-229 до земельного участка (дом № 47-55 ул. Менделеева)</t>
  </si>
  <si>
    <t>От ТК-230 до земельного участка (дом № 52-56 ул. Менделеева)</t>
  </si>
  <si>
    <t>От ТК-230 до земельного участка (дом 32-38 ул. Барнаульская, дом № 57-59 ул. Менделеева)</t>
  </si>
  <si>
    <t>От ТК-231 до земельного участка (дом № 37-41 ул. Барнаульская)</t>
  </si>
  <si>
    <t>От ТК-231 до земельного участка (дом № 43 ул. Барнаульская, дома № 51-55 ул. Пушкина)</t>
  </si>
  <si>
    <t>От ТК-231 до земельного участка (дом № 44 ул. Барнаульская, дом № 57-59 ул. Пушкина)</t>
  </si>
  <si>
    <t>От ТК-232 до земельного участка (дом № 46 ул. Барнаульская, дом № 58-62 ул. Пушкина)</t>
  </si>
  <si>
    <t>От ТК-232 до земельного участка (дом № 45 ул. Барнаульская, дом № 54-56 ул. Пушкина)</t>
  </si>
  <si>
    <t>От ТК-233 до земельного участка (дом № 53 ул. Барнаульская)</t>
  </si>
  <si>
    <t>От врезки в теплосеть Ду-100 (уч. № 15\65)  до земельного участка (дом 49-51 ул. 40 лет Октября)</t>
  </si>
  <si>
    <t>От ТК-234 до земельного участка (дом № 58-64 ул. Верещагина, дом № 26 ул. Барнаульская)</t>
  </si>
  <si>
    <t>От ТК-234 до земельного участка (дом № 57-63 ул. Верещагина, дом № 20-24 ул. Барнаульская)</t>
  </si>
  <si>
    <t>От ТК-235 до земельного участка (дом № 66-72 ул. Верещагина)</t>
  </si>
  <si>
    <t>От ТК-235 до земельного участка (дом № 65-71 ул. Верещагина, дом № 23 ул. Строительная)</t>
  </si>
  <si>
    <t>1998/ 2009</t>
  </si>
  <si>
    <t>подземная бесканальная, д.70 мм-36м, д.50мм-177м</t>
  </si>
  <si>
    <t>От ТК-239 до земельного участка (дом № 32-34 ул. Строительная, дом № 73-81 ул. Менделеева)</t>
  </si>
  <si>
    <t>От ТК-244 до земельного участка (дом № 76-78 ул. Пушкина)</t>
  </si>
  <si>
    <t>подземная бесканальная, д.70 мм-20м, д.50мм-149м</t>
  </si>
  <si>
    <t>От врезки в теплосеть Ду-100 (уч. № 6\5)  до ТК-245а, от ТК-245а до земельного участка (дом № 64-72 ул. Пушкина)</t>
  </si>
  <si>
    <t>От ТК-246 до земельного участка (дом № 51 ул. Строительная, дом № 57-63 ул. 40 лет Октября)</t>
  </si>
  <si>
    <t>От ТК-246 до земельного участка (дом № 50 ул. Строительная, дом № 69-71 ул. 40 лет Октября)</t>
  </si>
  <si>
    <t>От ТК-349 до земельного участка (дом № 73-77 ул. 40 лет Октября)</t>
  </si>
  <si>
    <t>От ТК-247 до земельного участка (дом № 17-21 ул. Строительная)</t>
  </si>
  <si>
    <t>От ТК-247 до земельного участка (дом № 64-72 ул. Первомайская)</t>
  </si>
  <si>
    <t>От ТК-248 до земельного участка (дом № 14-16 ул. Строительная, дом № 73-79 ул. Первомайская)</t>
  </si>
  <si>
    <t>От ТК-249 до земельного участка (дом № 5-7 ул. Строительная)</t>
  </si>
  <si>
    <t>От ТК-250 до земельного участка (дом № 65-71 ул. Кирова)</t>
  </si>
  <si>
    <t>От ТК-250 до земельного участка (дом № 66-72 ул. Кирова)</t>
  </si>
  <si>
    <t>От ТК-251 до земельного участка (дом № 61-63 ул. Кирова)</t>
  </si>
  <si>
    <t>От ТК-251 до земельного участка (дом № 58-64 ул. Кирова)</t>
  </si>
  <si>
    <t>От ТК-252 до земельного участка (дом № 10-12 ул. Строительная)</t>
  </si>
  <si>
    <t>От ТК-252 до земельного участка (дом № 6-8 ул. Строительная)</t>
  </si>
  <si>
    <t>От ТК-253 до земельного участка (дом № 74-80 ул. Кирова)</t>
  </si>
  <si>
    <t>От ТК-253 до земельного участка (дом № 73-79 ул. Кирова)</t>
  </si>
  <si>
    <t>От ТК-254 до земельного участка (дом № 81-87 ул. Кирова)</t>
  </si>
  <si>
    <t>От ТК-254 до земельного участка (дом № 82-88 ул. Кирова)</t>
  </si>
  <si>
    <t>От ТК-255 до земельного участка (дом № 1-3 ул. Строительная, дом № 66-72 ул. Заводская)</t>
  </si>
  <si>
    <t>От ТК-255 до земельного участка (дом № 2-4 ул. Строительная)</t>
  </si>
  <si>
    <t>От ТК-255 до земельного участка (дом № 74-84 ул. Заводская)</t>
  </si>
  <si>
    <t>От ТК-256 до земельного участка (дома № 18-22 ул. Строительная, дом № 74-82 ул. Первомайская)</t>
  </si>
  <si>
    <t>От ТК-256 до земельного участка (дом № 24 ул. Строительная, дом № 73-75 ул. Верещагина)</t>
  </si>
  <si>
    <t>От ТК-256 до земельного участка (дом № 26-30 ул. Строительная, дом № 74-80 ул. Верещагина)</t>
  </si>
  <si>
    <t>От ТК-260 до земельного участка дом № 18-20 ул. Садовая)</t>
  </si>
  <si>
    <t>От ТК-262 до земельного участка (дом № 84-88 ул. Первомайская)</t>
  </si>
  <si>
    <t>подземная бесканальная, д.80 мм</t>
  </si>
  <si>
    <t>От ТК-262 до ТК-263</t>
  </si>
  <si>
    <t>От ТК-263 до земельного участка (дом № 90-96 ул. Первомайская)</t>
  </si>
  <si>
    <t>От ТК-263 до земельного участка (дома № 100-106 ул. Первомайская, дом № 15 ул. Чапаева)</t>
  </si>
  <si>
    <t>От ТК-264 до земельного участка (дом № 13-15 ул. Садовая, дом № 81-87 ул. Первомайская)</t>
  </si>
  <si>
    <t>От ТК-264 до ТК-264а</t>
  </si>
  <si>
    <t>От ТК-265 до земельного участка (дом № 10-12 ул. Садовая, дома № 90-100 ул. Кирова)</t>
  </si>
  <si>
    <t>От ТК-269 до земельного участка (дом № 1-3 ул. Садовая, дом № 86-88 ул. Заводская)</t>
  </si>
  <si>
    <t>От ТК-269 до земельного участка (дом № 2-4 ул. Садовая)</t>
  </si>
  <si>
    <t>подземная бесканальная, д.70 мм</t>
  </si>
  <si>
    <t>От ТК-269 до земельного участка (дом № 90-104 ул. Заводская)</t>
  </si>
  <si>
    <t>От ТК-270 до земельного участка (дом № 89-93 ул. Верещагина)</t>
  </si>
  <si>
    <t>От ТК-270 до земельного участка (дом № 95-105 ул. Верещагина, дом № 23-25 ул. Чапаева)</t>
  </si>
  <si>
    <t>От ТК-270 до земельного участка (дом № 90-96 ул. Верещагина)</t>
  </si>
  <si>
    <t>От ТК-270 до земельного участка (дом № 98-106 ул. Верещагина, дом № 27 ул. Чапаева)</t>
  </si>
  <si>
    <t>От врезки в теплосеть Ду-150 (уч. № 6\15)  до ТК-272, от ТК-272 до земельного участка (дом № 9-15 ул. Северная)</t>
  </si>
  <si>
    <t>От ТК-274 до земельного участка (дом№ 9 ул. Чапаева, дом  № 102-106 ул. Кирова)</t>
  </si>
  <si>
    <t>подземная бесканальная, д.70 мм-5м, д.50мм-91м</t>
  </si>
  <si>
    <t>От врезки в теплосеть Ду-80 (уч. № 6\16) до ТК-275, от ТК-275 до земельного участка (дом № 7 ул. Чапаева, дом № 99-103 ул. Кирова)</t>
  </si>
  <si>
    <t>От ТК-277 до земельного участка (дом № 26-32 ул. Садовая)</t>
  </si>
  <si>
    <t>От ТК-277 до земельного участка (дом № 27-31 ул. Садовая)</t>
  </si>
  <si>
    <t>1988/ 2007</t>
  </si>
  <si>
    <t>подземная бесканальная, д.70 мм-126м, д.50мм- 116 м</t>
  </si>
  <si>
    <t>От ТК-278 до земельного участка (дом № 34 ул. Садовая, дом № 89-105 ул. Менделеева)</t>
  </si>
  <si>
    <t>От ТК-278 до земельного участка (дом № 33 ул. Садовая, дома № 83-87 ул. Менделеева)</t>
  </si>
  <si>
    <t>От ТК-279 до земельного участка (дом № 35-37 ул. Садовая)</t>
  </si>
  <si>
    <t>От ТК-279 до земельного участка (дом № 80 ул. Менднелеева)</t>
  </si>
  <si>
    <t>подземная бесканальная, д.70 мм-98м, д.50мм-4 м</t>
  </si>
  <si>
    <t>От ТК-279 до земельного участка (дом № 41 ул. Садовая, дом № 81 ул. Пушкина)</t>
  </si>
  <si>
    <t>От ТК-239 до земельного участка (дом № 61-71 ул. Менделеева)</t>
  </si>
  <si>
    <t>От ТК-240 до земельного участка (дом № 35-37 ул. Строительная)</t>
  </si>
  <si>
    <t>подземная бесканальная, д.70 мм-74м, д.50мм-117м</t>
  </si>
  <si>
    <t>От ТК-240 до земельного участка (дом № 58-72 ул. Менделеева)</t>
  </si>
  <si>
    <t>1985/ 2002</t>
  </si>
  <si>
    <t>подземная бесканальная, д.70 мм-155м, д.50мм-100м</t>
  </si>
  <si>
    <t>От ТК-240 до земельного участка (дом № 36-38 ул. Строительная, дом № 74-78 ул. Менделеева)</t>
  </si>
  <si>
    <t>От ТК-242 до земельного участка (дом № 39-43 ул. Строительная)</t>
  </si>
  <si>
    <t>От ТК-242 до земельного участка (дом № 61-71 ул. Пушкина)</t>
  </si>
  <si>
    <t>От ТК-209 до земельного участка (дом № 33-35 ул. Пушкина)</t>
  </si>
  <si>
    <t>От ТК-215 до земельного участка (дом № 30-36 ул. Первомайская)</t>
  </si>
  <si>
    <t>От ТК-220 до земельного участка (дом № 42-46 ул. Заводская, дом № 2-6 ул. Кулундинская)</t>
  </si>
  <si>
    <t>От ТК-220 до земельного участка (дом № 48-56 ул. Заводская)</t>
  </si>
  <si>
    <t>От ТК-220 до земельного участка (дом № 1 ул. Барнаульская)</t>
  </si>
  <si>
    <t>От ТК-221 до земельного участка (дом № 42-48 ул. Верещагина)</t>
  </si>
  <si>
    <t>От ТК-225 до земельного участка (дом № 16, дома № 57-61 ул. Первомайская, ул. Барнаульская, д.14, 16)</t>
  </si>
  <si>
    <t>От врезки в теплосеть Ду-100 (уч. № 15\65)  до земельного участка (дом № 52 ул. Барнаульская, дом № 53-55 ул. 40 лет Октября)</t>
  </si>
  <si>
    <t>подземная бесканальная, д.70 мм-45м, д.50мм-82</t>
  </si>
  <si>
    <t>От ТК-244 до земельного участка (дом № 73-77 ул. Пушкина)</t>
  </si>
  <si>
    <t>От ТК-258 до земельного участка (дом № 77-87 ул. Верещагина)</t>
  </si>
  <si>
    <t>От ТК-258 до земельного участка (дома № 23-22-24 ул. Садовая)</t>
  </si>
  <si>
    <t>От ТК-259 до земельного участка (дом № 25 ул. Садовая, дом № 82-88 ул. Верещагина)</t>
  </si>
  <si>
    <t>От ТК-248 до земельного участка (дом № 15 ул. Строительная, дом № 63-71 ул. Первомайская)</t>
  </si>
  <si>
    <t>От ТК-264а до земельного участка (дома № 89-105 ул. Первомайская)</t>
  </si>
  <si>
    <t>От ТК-266 до земельного участка (дом № 8 ул. Садовая, дома № 89-97 ул. Кирова)</t>
  </si>
  <si>
    <t>От ТК-262 до земельного участка дом № 17-19 ул. Садовая)</t>
  </si>
  <si>
    <t>1.7.0978</t>
  </si>
  <si>
    <t>22:72:020202:274</t>
  </si>
  <si>
    <t>г.Яровое, ул.Чапаева, ул.Цветочная, ул.Партизанская, ул.Садовая, ул.Зеленая, ТС</t>
  </si>
  <si>
    <t>27.09.2016; 11.12.2018; 22.05.2019; 28.03.2020</t>
  </si>
  <si>
    <t>990; 1215; 417; 280</t>
  </si>
  <si>
    <t>акт обследования тепловых сетей г.Яровое; Выписка из ЕГРН об основных характеристиках и зарегистрированных правахна объект недвижимости</t>
  </si>
  <si>
    <t xml:space="preserve">14.09.2016;  10.12.2021 </t>
  </si>
  <si>
    <t>б/н; 22:72:020202:274-22/111/2021-1</t>
  </si>
  <si>
    <t>От ТК-345 до земельного участка (дом № 95 ул. 40 лет Октября, дом № 44-48 ул. Чапаева, дом № 96 ул Пушкина)</t>
  </si>
  <si>
    <t>подземная бесканальная, д.65 мм</t>
  </si>
  <si>
    <t>От ТК-346 до земельного участка (дом № 91-93 ул. 40 лет Октября)</t>
  </si>
  <si>
    <t>От ТК-347 до земельного участка (дом № 87-89 ул. 40 лет Октября)</t>
  </si>
  <si>
    <t>От ТК-348 до земельного участка (дом № 83-85 ул. 40 лет Октября)</t>
  </si>
  <si>
    <t>От ТК-349 до земельного участка (дом № 79-81 ул. 40 лет Октября)</t>
  </si>
  <si>
    <t xml:space="preserve">от ПСНС № 6 до ТК 345 </t>
  </si>
  <si>
    <t>1.7.0795</t>
  </si>
  <si>
    <t xml:space="preserve">Теплотрасса от центральной магистрали до к.10 </t>
  </si>
  <si>
    <t>2х трубная система</t>
  </si>
  <si>
    <t>1.7.0804</t>
  </si>
  <si>
    <t>Тепловая сеть</t>
  </si>
  <si>
    <t>Теплосеть двухтрубная бесканальная прокладка стального трубопровода в пенополиуретановой изоляции,  с установкой по 3 сильфонных компенсатора на прямой и обратной сети и тепловой камеры на пересечении с ул. Парковая. Диаметр трубопровода 219мм. Протяженность в двухтрубном исчислении 207м.</t>
  </si>
  <si>
    <t xml:space="preserve">от теплового пункта ПСНС «Западная» по ул. Центральная, до конца пересечения с ул. Парковая. </t>
  </si>
  <si>
    <t>0120110123</t>
  </si>
  <si>
    <t>1.7.0045.К</t>
  </si>
  <si>
    <t xml:space="preserve">Сети тепловые </t>
  </si>
  <si>
    <t>инв. 10103154к, трубы стал.</t>
  </si>
  <si>
    <t>Подраздел 1.8 "Сети водопроводные"</t>
  </si>
  <si>
    <t>1.8.0007</t>
  </si>
  <si>
    <t>22:72:000000:43</t>
  </si>
  <si>
    <t>Магистральные сети холодного водоснабжения</t>
  </si>
  <si>
    <t>инв. 01200014, стал.</t>
  </si>
  <si>
    <t>г.Яровое, квартал А, ВС</t>
  </si>
  <si>
    <t>4624,07 в т.ч.</t>
  </si>
  <si>
    <t xml:space="preserve">кв. А, д. 40 </t>
  </si>
  <si>
    <t>постановление; акт приемки в эксплуатацию; выписка из ЕГРП на недвижимое имущество и сделок с ним, удостоверяющая проведенную государственную регистрацию прав</t>
  </si>
  <si>
    <t>08.04.2011; 31.08.2010; от 12.10.2016</t>
  </si>
  <si>
    <t>416; 22-22/024-22/024/026-2016-574/1</t>
  </si>
  <si>
    <t>инв. 1200006, стал.д.108 мм</t>
  </si>
  <si>
    <t xml:space="preserve">кв. А, д. 13  </t>
  </si>
  <si>
    <t>инв. 1200020, стал.д.50 мм, д.100мм</t>
  </si>
  <si>
    <t xml:space="preserve">кв. А, д. 42     </t>
  </si>
  <si>
    <t>01.12.2006; 29.12.2016</t>
  </si>
  <si>
    <t>868; 1384</t>
  </si>
  <si>
    <t>12- 1979</t>
  </si>
  <si>
    <t>инв. 89115303 (оценка 2010). Сталь д.150мм; сталь д.100мм</t>
  </si>
  <si>
    <t>кв.А к д.6,16,24, 30, ВК-39 до д.37</t>
  </si>
  <si>
    <t>08- 1981</t>
  </si>
  <si>
    <t xml:space="preserve">инв. 89114603 (оценка 2010). Сталь д.150мм  </t>
  </si>
  <si>
    <t>кв.А к д.25,33,34</t>
  </si>
  <si>
    <t>08-1981</t>
  </si>
  <si>
    <t>инв. 89115803 (оценка 2010). Чугун. Д.400мм; д.300мм; д.250мм</t>
  </si>
  <si>
    <t>ул. Комарова, Кулундинская, от ВК 18 до ВК 13, от ВК 13 до ВК 5</t>
  </si>
  <si>
    <t>инв. 89115603 (оценка 2010). Чугун д.200мм; сталь д.200мм</t>
  </si>
  <si>
    <t>кв. А, от ВК 52-53, от угла поворота до ВК 56</t>
  </si>
  <si>
    <t>12- 1982</t>
  </si>
  <si>
    <t xml:space="preserve">инв. 89114703 (оценка 2010). Чугун.д.100мм ; сталь д.100мм - 42 м/п  </t>
  </si>
  <si>
    <t>кв.А к д. 28,10,9,39</t>
  </si>
  <si>
    <t>12I- 1982</t>
  </si>
  <si>
    <t xml:space="preserve">инв. 89116003 (оценка 2010). Чугун.д.100мм </t>
  </si>
  <si>
    <t>кв.А к д.38,7,8,12,11</t>
  </si>
  <si>
    <t>08I-1981</t>
  </si>
  <si>
    <t xml:space="preserve">инв. 89115703 (оценка 2010). Чугун д.150мм; сталь д.150мм </t>
  </si>
  <si>
    <t>кв. А, ВК 13 до ВК 39, ВК 39-ВК52, ВК51-3, ВК 38-43</t>
  </si>
  <si>
    <t>инв. 89115903 (оценка 2010). Сталь д.100мм</t>
  </si>
  <si>
    <t>кв.А д.36,26,20,27</t>
  </si>
  <si>
    <t xml:space="preserve">инв. 89115203 (оценка 2010). Сталь д.150мм; сталь д.100мм </t>
  </si>
  <si>
    <t xml:space="preserve"> кв.А к д.31,32,35</t>
  </si>
  <si>
    <t>12- 1980</t>
  </si>
  <si>
    <t>инв. 89114503 (оценка 2010). Сталь.д.100мм</t>
  </si>
  <si>
    <t>КНС- 4 бассейна "Нептун"</t>
  </si>
  <si>
    <t xml:space="preserve">инв. 89115403 (оценка 2010). Сталь.д.50мм </t>
  </si>
  <si>
    <t>КНС – 5 (МСЧ-128)</t>
  </si>
  <si>
    <t>инв. 89115503 (оценка 2010), трубопровод из стал. труб д.50 мм</t>
  </si>
  <si>
    <t xml:space="preserve">ВК-43 до КНС-1 ("Мысль") </t>
  </si>
  <si>
    <t>12-1974</t>
  </si>
  <si>
    <t>инв. 89113903 (оценка 2010). Сталь д.150мм; сталь д.100мм; сталь д.125мм</t>
  </si>
  <si>
    <t>кв.А к д.18,17,5</t>
  </si>
  <si>
    <t>инв. 89101603 (оценка 2010). Сталь д.100мм; сталь д.150мм</t>
  </si>
  <si>
    <t>кв.А к д.4,3</t>
  </si>
  <si>
    <t>12-1978</t>
  </si>
  <si>
    <t>инв. 89114303 (оценка 2010), от ВК-15 до ВК-21</t>
  </si>
  <si>
    <t>ВК-21-ВК-18</t>
  </si>
  <si>
    <t>П/эт.110мм</t>
  </si>
  <si>
    <t>от колодца ВК -5 до ВК-1 по территории МСЧ-128 до колодца ВК-27</t>
  </si>
  <si>
    <t>до музея</t>
  </si>
  <si>
    <t>1.8.0135</t>
  </si>
  <si>
    <t>22:72:000000:47</t>
  </si>
  <si>
    <t>03-2000</t>
  </si>
  <si>
    <t>инв. 89000503 (оценка 2010). Сталь.д.300мм</t>
  </si>
  <si>
    <t>г.Яровое, северная часть застроенной территории ВС</t>
  </si>
  <si>
    <t>3725,16 в т.ч.</t>
  </si>
  <si>
    <t>выписка из ЕГРП на недвижимое имущество и сделок с ним, удостоверяющая проведенную государственную регистрацию прав</t>
  </si>
  <si>
    <t>22-22/024-22/024/026/026-2016-822/1</t>
  </si>
  <si>
    <t>по ул.Степная от ул.40 лет Октября до ул.Комарова</t>
  </si>
  <si>
    <t>30.12.2014; 29.12.2016</t>
  </si>
  <si>
    <t>1239; 1383</t>
  </si>
  <si>
    <t xml:space="preserve">инв. 89115003 (оценка 2010). Сталь д.300мм </t>
  </si>
  <si>
    <t xml:space="preserve">по ул.Шукшина от северной магистрали, по ул.Мира, ул.40 лет Октября, по ул.40 лет Октября, от северной магистрали до ул.Степной, по ул.Мира от северной магистрали до ул.Степная  </t>
  </si>
  <si>
    <t>1.8.0136</t>
  </si>
  <si>
    <t>22:72:000000:46</t>
  </si>
  <si>
    <t>07 -1975</t>
  </si>
  <si>
    <t>инв. 89125303 (оценка 2010). Сталь д.100мм; сталь д.57 мм</t>
  </si>
  <si>
    <t>г.Яровое, квартал Б, ВС</t>
  </si>
  <si>
    <t>5005,31 в т.ч.</t>
  </si>
  <si>
    <t>до домов кв.Б к д.12,13,14,16, 17,40 лет Октября,1,2,3; ВК 126 до ВК 73</t>
  </si>
  <si>
    <t>30.12.2014; 22.12.2016</t>
  </si>
  <si>
    <t>1239; 1343</t>
  </si>
  <si>
    <t xml:space="preserve">выписка из ЕГРП на недвижимое имущество и сделок с ним, удостоверяющая проведенную государственную регистрацию прав; </t>
  </si>
  <si>
    <t>22-22/024-22/024/026/2016-779/1</t>
  </si>
  <si>
    <t>07-1965</t>
  </si>
  <si>
    <t>инв. 89125403 (оценка 2010), Сталь д.300мм – 1720,9 м/п; п/э  д.200 мм – 433,8 м/п</t>
  </si>
  <si>
    <t>от ВК 71 до ВК 76, ВК 66-ВК 71 (ВК 71 на ул.Алтайская, от ВК на ул.Ленина) переходы. Капитальный ремонт 10-2017г.: замена участка колодца ВК71б до ВК66 по ул.40 лет Октября, трубопровода чуг. На п/эт. Ф.225 мм = 100 м; ф.250 мм=350 м</t>
  </si>
  <si>
    <t>инв. 89115103 (оценка 2010). Сталь.д.100мм</t>
  </si>
  <si>
    <t>ВК 71- ВК 112, ВК 109 до ВК 33, ВК110 до ВК 32</t>
  </si>
  <si>
    <t>30.12.2014; 22.12.2016; 28.01.2019</t>
  </si>
  <si>
    <t>1239; 1343; 97</t>
  </si>
  <si>
    <t>12- 1974</t>
  </si>
  <si>
    <t>инв. 89114003 (оценка 2010). Сталь д.100мм</t>
  </si>
  <si>
    <t>кв.Б к д.24,25,26,30,1,2,3,4</t>
  </si>
  <si>
    <t xml:space="preserve">инв. 89114103 (оценка 2010). Сталь.д.100мм </t>
  </si>
  <si>
    <t>кв.Б к д.18,19,20,21</t>
  </si>
  <si>
    <t>11-1975</t>
  </si>
  <si>
    <t xml:space="preserve">инв. 89114203 (оценка 2010), Сталь д.100мм </t>
  </si>
  <si>
    <t>кв.Б к д.10, ул.40 лет Октября, д.5,6а,7,8,8а,9, 10,11,12,13</t>
  </si>
  <si>
    <t>д.63мм, подземная, п/э</t>
  </si>
  <si>
    <t>ул.Кулундинская,54</t>
  </si>
  <si>
    <t>06.10.2011; 22.12.2016</t>
  </si>
  <si>
    <t>1017; 1343</t>
  </si>
  <si>
    <t>ВК 113-Вк 114, ВК 117-ВК 121</t>
  </si>
  <si>
    <t>ВК 87-ВК 121, ВК 91-ВК 82,ВК 91-ВК 22, ВК 86-Вк 56, ВК 66-ВК 91, до домов кв.Б 22,23, ВК 80, ВК 82-ВК 76; кап.ремонт- замена участка по ул.Гагарина от колодца ВК-76 до ВК-82 (от ул.40 лет Октября до ул.Мира) трубопровода чуг. на п/эт. Д.225 мм =507м и д.110 мм=52м</t>
  </si>
  <si>
    <t>1.8.0229</t>
  </si>
  <si>
    <t>22:72:000000:49</t>
  </si>
  <si>
    <t>09-1969</t>
  </si>
  <si>
    <t>инв. 89114903 (оценка 2010). Чугун.д.300мм</t>
  </si>
  <si>
    <t>г.Яровое, квартал В, ВС</t>
  </si>
  <si>
    <t>5430,70 в т.ч.</t>
  </si>
  <si>
    <t>кв.В, ВК 22- ВК 63, от  ВК 9 до ВК 39, ВК 5 - ВК 26,  к водозабору по ул.Мира, ул.40 лет Октября, от ул. Кулундинская до ул. Барнаульская, переход на ул.Садовая</t>
  </si>
  <si>
    <t>Решение ГСД г.Яровое; выписка из ЕГРП на недвижимое имущество и сделок с ним, удостоверяющая проведенную государственную регистрацию прав</t>
  </si>
  <si>
    <t>06.08.1993; 15.12.2016</t>
  </si>
  <si>
    <t>41; 22-22/024-22/024/026/2016-824/1</t>
  </si>
  <si>
    <t>10-1970</t>
  </si>
  <si>
    <t>инв. 89113803 (оценка 2010). Сталь.д.300мм</t>
  </si>
  <si>
    <t>кв.В, ВК 35- ВК 5, ВК 9-ВК 5, ул.Северная,2 водозабор</t>
  </si>
  <si>
    <t>XI-1991</t>
  </si>
  <si>
    <t>инв. 89114903 (оценка 2010). Сталь.д.100мм</t>
  </si>
  <si>
    <t xml:space="preserve"> кв.В к д.21,22,23, 29, 25</t>
  </si>
  <si>
    <t>V-1991</t>
  </si>
  <si>
    <t>инв.89128803 (оценка 2010). Чугун.д.300мм</t>
  </si>
  <si>
    <t>кв.В, ВК 45- ВК 91, ВК 26- ВК 35, ВК 44- ВК 39</t>
  </si>
  <si>
    <t xml:space="preserve">инв. 89114403 (оценка 2010). Чугун д.100мм </t>
  </si>
  <si>
    <t>кв.В к д.2,3,4,5,6, 7,8,9, 10, 12,14,15,16, 17</t>
  </si>
  <si>
    <t>12- 1968</t>
  </si>
  <si>
    <t xml:space="preserve">инв. 89113503 (оценка 2010). Чугун д.200мм; чугун д.150мм </t>
  </si>
  <si>
    <t>кв.В, ВК 55- ВК 42, ВК 58- ВК 61, ВК 11- ВК 52, ВК 9-ВК 49, ВК 13 до ВК 55, ВК 18- ВК 44</t>
  </si>
  <si>
    <t>1.8.0246</t>
  </si>
  <si>
    <t>22:72:000000:42</t>
  </si>
  <si>
    <t>07-1966</t>
  </si>
  <si>
    <t>инв. 89113403 (оценка 2010). П/э д.100мм; чугун д.200мм, чугун д.100мм; сталь д.100 мм, сталь д.150мм;  П/Э ф110 мм, L=172; ПЭ ф110мм, L=227,3м; ПЭ ф 110 мм, L=161,5 м</t>
  </si>
  <si>
    <t>г.Яровое, юго-восточная часть застроенной территории, ВС</t>
  </si>
  <si>
    <t>30.12.2014; 27.03.2020; 05.11.2020</t>
  </si>
  <si>
    <t>1239; 280; 912</t>
  </si>
  <si>
    <t>14099,816 в т.ч.</t>
  </si>
  <si>
    <t>выписка из ЕГРП на недвижимое имущество и сделок с ним, удостоверяющая проведенную государственную регистрацию прав; постановление; постановление</t>
  </si>
  <si>
    <t>03.10.2016; 13.12.2021; 27.10.2022</t>
  </si>
  <si>
    <t>22-22/024-22/024/ 026/2016-529/1; 917; 938</t>
  </si>
  <si>
    <t>ул.Заводская</t>
  </si>
  <si>
    <t>ул.Гагарина</t>
  </si>
  <si>
    <t>ул.Кирова</t>
  </si>
  <si>
    <t>ул.Первомайская</t>
  </si>
  <si>
    <t>ул.Верещагина</t>
  </si>
  <si>
    <t>ул.Менделеева</t>
  </si>
  <si>
    <t>ул.Пушкина</t>
  </si>
  <si>
    <t>ул.40 лет Октября</t>
  </si>
  <si>
    <t>ул.Ленина</t>
  </si>
  <si>
    <t>ул.Алтайская</t>
  </si>
  <si>
    <t>ул.Кулундинская</t>
  </si>
  <si>
    <t>ул.Барнаульская</t>
  </si>
  <si>
    <t>ул.Строительная</t>
  </si>
  <si>
    <t>ул.Садовая</t>
  </si>
  <si>
    <t>ул.Чапаева</t>
  </si>
  <si>
    <t>от ВК 2875 до скважины 9</t>
  </si>
  <si>
    <t>до спорткомплекса "Химик"</t>
  </si>
  <si>
    <t>ул.Ленина, от ВК 106 до ВК 271</t>
  </si>
  <si>
    <t>ул.Менделеева, от ул.Садовая до ул.Чапаева, от ВК 311 до ВК 316</t>
  </si>
  <si>
    <t>до ГДК "Химик"</t>
  </si>
  <si>
    <t>от скважины 40 до ул.Чапаева</t>
  </si>
  <si>
    <t>ул.Гагарина, д.3 до аквапарка</t>
  </si>
  <si>
    <t>ул.Гагарина, д.7</t>
  </si>
  <si>
    <t>1.8.0676</t>
  </si>
  <si>
    <t>22:72:070501:141</t>
  </si>
  <si>
    <t>Сети холодного водоснабжения</t>
  </si>
  <si>
    <t>д.108мм, подземная, сталь</t>
  </si>
  <si>
    <t>Алтайский край, городской округ город Яровое, город Яровое, ул. 40 лет Октября, 1д, ВС</t>
  </si>
  <si>
    <t>27.08.2015; 24.04.2019</t>
  </si>
  <si>
    <t>725; 342</t>
  </si>
  <si>
    <t>выписка из ЕГРП об основных характеристиках и зарегистрированных правах на объект недвижимости; постановление; акт обследования</t>
  </si>
  <si>
    <t>15.04.2019; 06.10.2011; 29.09.2011</t>
  </si>
  <si>
    <t>22:72:070501:141-22/024/2019-1; 1017</t>
  </si>
  <si>
    <t>1.8.0699</t>
  </si>
  <si>
    <t>22:72:060401:572</t>
  </si>
  <si>
    <t>д.80мм, подземная, сталь</t>
  </si>
  <si>
    <t>Алтайский край, городской округ город Яровое, город Яровое, квартал "Б", д.35, ВС</t>
  </si>
  <si>
    <t>06.10.2011; 24.04.2019</t>
  </si>
  <si>
    <t>1017; 346</t>
  </si>
  <si>
    <t>16.04.2019; 06.10.2011; 29.09.2011</t>
  </si>
  <si>
    <t>22:72:060201:572-22/024/2019-1; 1017</t>
  </si>
  <si>
    <t>1.8.0706</t>
  </si>
  <si>
    <t>22:72:060201:2263</t>
  </si>
  <si>
    <t>д.150мм, подземная, сталь</t>
  </si>
  <si>
    <t>Алтайский край, городской округ город Яровое, город Яровое, квартал "В", д.19, ВС</t>
  </si>
  <si>
    <t>06.10.2011; 09.04.2019</t>
  </si>
  <si>
    <t>1017; 305</t>
  </si>
  <si>
    <t>08.04.2019; 06.10.2011; 29.09.2011</t>
  </si>
  <si>
    <t>22:72:060201:2263-22/024/2019-1; 1017</t>
  </si>
  <si>
    <t>1.8.0721</t>
  </si>
  <si>
    <t>22:72:060202:99</t>
  </si>
  <si>
    <t>Алтайский край, городской округ город Яровое, г.Яровое, ул. Кулундинская, д.54, ВС</t>
  </si>
  <si>
    <t>выписка из Единого государственного реестра недвижимости об основных характеристиках и зарегистрированных правах на объект недвижимости</t>
  </si>
  <si>
    <t>22:72:060202:99-22/024/2019-1</t>
  </si>
  <si>
    <t>1.8.0722</t>
  </si>
  <si>
    <t>22:72:060201:2264</t>
  </si>
  <si>
    <t>Алтайский край, городской округ город Яровое, город Яровое, квартал "В", д.32, ВС</t>
  </si>
  <si>
    <t>выписка из ЕГРП на недвижимое имущество и сделок с ним</t>
  </si>
  <si>
    <t>22:72:060201:2264-22/024/2019-1</t>
  </si>
  <si>
    <t>1.8.0723</t>
  </si>
  <si>
    <t>22:72:060403:1447</t>
  </si>
  <si>
    <t>Алтайский край, городской округ город Яровое, город Яровое, квартал "Б", д.31, ВС</t>
  </si>
  <si>
    <t>22:72:060403:1447- 22/024/2019-1</t>
  </si>
  <si>
    <t>1.8.0724</t>
  </si>
  <si>
    <t>22:72:090203:50</t>
  </si>
  <si>
    <t>Алтайский край, городской округ город Яровое, г.Яровое, ул. Гагарина, д.1, ВС</t>
  </si>
  <si>
    <t xml:space="preserve">МБУ СП "Спортивная школа" г.Яровое </t>
  </si>
  <si>
    <t>22:72:090203:50-22/ 024/2019-1</t>
  </si>
  <si>
    <t>1.8.0781</t>
  </si>
  <si>
    <t>22:72:000000:45</t>
  </si>
  <si>
    <t>инв.№ 89422455. Сталь д.100мм; п/э д.100мм</t>
  </si>
  <si>
    <t>г.Яровое, северо-западная часть застроенной территории, ВС</t>
  </si>
  <si>
    <t>2194,29 в т.ч.</t>
  </si>
  <si>
    <t>постановление; выписка из ЕГРП на недвижимое имущество и сделок с ним, удостоверяющая проведенную государственную регистрацию прав</t>
  </si>
  <si>
    <t>13.02.2014; 01.12.2016</t>
  </si>
  <si>
    <t>138; 22-22/024-22/024/026/2016-756/1</t>
  </si>
  <si>
    <t>от ул.Степной до ул.Целинной</t>
  </si>
  <si>
    <t>30.12.2014; 22.12.2016; 27.03.2020</t>
  </si>
  <si>
    <t>1239; 1343; 280</t>
  </si>
  <si>
    <t>по ул.Целинной</t>
  </si>
  <si>
    <t>по ул.Михайловской</t>
  </si>
  <si>
    <t>1.8.0783</t>
  </si>
  <si>
    <t>22:72:000000:373</t>
  </si>
  <si>
    <t>Водовод артезианского водоснабжения</t>
  </si>
  <si>
    <t>30.12.2014</t>
  </si>
  <si>
    <t>инв.13600903. от скважины № 9 до ТЭЦ  МУП "ЯТЭК". Система водовода прямоточная, подземная, тупиковая, выполнена бесканальным способом прокладки в траншее. Глубина - 2,7 м. Входит: наружная сеть водопровода, водомерный узел, запорная арматура. Трубы п/эт. д.125*7,4, потребный напор на вводе 65,64 м, расход 60 м3/ч</t>
  </si>
  <si>
    <t xml:space="preserve">Российская Федерация, Алтайский край, городской округ город Яровое, город Яровое, ул.Заводская, сооружение 9, ВС </t>
  </si>
  <si>
    <t>акт ввода в эксплуатацию, выписка из ЕГРН</t>
  </si>
  <si>
    <t>29.12.2014, 11.12.2020</t>
  </si>
  <si>
    <t>1-ВиК, 22:72:000000:373-22/1402020-1</t>
  </si>
  <si>
    <t>1.8.0784</t>
  </si>
  <si>
    <t xml:space="preserve">22:72:020202:639  </t>
  </si>
  <si>
    <t>Сети водопроводные к корпусам 251, 245</t>
  </si>
  <si>
    <t>Литер 30. Распределительная сеть сталь.трубы д.100 мм - 175,2 пог.м; сталь.трубы д.150 мм - 22,7 пог.м. Износ - 75 %</t>
  </si>
  <si>
    <t>241; 35; 22АД 671704</t>
  </si>
  <si>
    <t>1.8.0785</t>
  </si>
  <si>
    <t xml:space="preserve">22:72:020202:325  </t>
  </si>
  <si>
    <t>Общезаводские сети х/питьевого и п/пож. водопровода</t>
  </si>
  <si>
    <t>Литер 90. Распределительная сеть сталь. д.200 мм. Износ  - 40%</t>
  </si>
  <si>
    <t>241; 35; 22АД 671660</t>
  </si>
  <si>
    <t>1.8.0786</t>
  </si>
  <si>
    <t>22:72:000000:51</t>
  </si>
  <si>
    <t>инв.10113118. П/э , д. 100мм с устройством 3-х железобетонных колодцев</t>
  </si>
  <si>
    <t>г.Яровое, м-н "Западный", ВС</t>
  </si>
  <si>
    <t>2015,0 в т.ч.</t>
  </si>
  <si>
    <t>Выписка ЕГРН; Выписка ЕГРН</t>
  </si>
  <si>
    <t>26.12.2016; 17.01.2018</t>
  </si>
  <si>
    <t>22-22/024-22/024/026/2016-862/1; 22:72:000000:51-22/024/2018-1</t>
  </si>
  <si>
    <t>Мкр. "Западный" по ул.Западная от водопроводного колодца №29 по ул.Мира до пересечения с ул.Комарова</t>
  </si>
  <si>
    <t>23.05.2016; 30.12.2016; 27.03.2020</t>
  </si>
  <si>
    <t>503; 1389; 280</t>
  </si>
  <si>
    <t>Постановление ВС РФ; акт приемки в эксплуатацию объекта</t>
  </si>
  <si>
    <t>27.12.1991; 10.05.2016</t>
  </si>
  <si>
    <t>3020-1; б/н</t>
  </si>
  <si>
    <t>инв.10113120. П/э, д. 100мм с устройством 4-х железобетонных колодцев на пересечении с ул. Барнаульская, Западная, Центральная и Школьная</t>
  </si>
  <si>
    <t>Мкр. "Западный" ул.Парковая от ул. Барнаульская  до ул.Школьная</t>
  </si>
  <si>
    <t>инв.10113121. П/э, д.100 мм с устройством 3-х железобетонных колодцев на пересечении с ул.Западная, Центральная и Школьная</t>
  </si>
  <si>
    <t>Мкр. "Западный" по ул.Снежная от ул.Западная до ул.Школьная</t>
  </si>
  <si>
    <t>инв.10113122. П/э, д.100мм с устройст-вом 2-х железо-бетонных колодцев</t>
  </si>
  <si>
    <t>Мкр."Западный" по ул.Центральная от ул.Снежная до ул.Комарова</t>
  </si>
  <si>
    <t>инв.10113123. П/э, д.100мм</t>
  </si>
  <si>
    <t>Мкр."Западный" по ул.Комарова от ул.Западная до ул.Школьная</t>
  </si>
  <si>
    <t>1.8.0791.К</t>
  </si>
  <si>
    <t>22:72:000000:48</t>
  </si>
  <si>
    <t>1972/ 2006/ 2008</t>
  </si>
  <si>
    <t>труба п/эт. д.110 мм. мкр."Учхоз", от ВК27 до ВК16 ул.Набережная, от ВК 27 ПГ4; от ВК6 до ВК1 по ул.Новая; от ВК1 до ВК16 по ул. Молодежная</t>
  </si>
  <si>
    <t>Российская Федерация, Алтайский край, г.Яровое, юго-западная часть застроенной территории г.Яровое</t>
  </si>
  <si>
    <t>29.11.2016; 15.04.2020</t>
  </si>
  <si>
    <t>1261; 320</t>
  </si>
  <si>
    <t>акт обследования водопроводных сетей микрорайона "Учхоз" г.Яровое; Выписка ЕГРН</t>
  </si>
  <si>
    <t>24.11.2016; 15.12.2016</t>
  </si>
  <si>
    <t>б/н; 22-22/024-22/024/026/2016-823/1</t>
  </si>
  <si>
    <t>1.8.0248</t>
  </si>
  <si>
    <t>22:72:000000:377</t>
  </si>
  <si>
    <t>Сети водопроводные к водозабору 1-ой очереди</t>
  </si>
  <si>
    <t>10- 1972</t>
  </si>
  <si>
    <t>инв. 89113603 (оценка 2010). Чугун.д.300мм</t>
  </si>
  <si>
    <t>Российская Федерация, Алтайский край, городской округ город Яровое, город Яровое, ул.Северная, сооружение 2/ВС (водозабор)</t>
  </si>
  <si>
    <t>30.12.2014; 15.12.2021</t>
  </si>
  <si>
    <t>1239; 934</t>
  </si>
  <si>
    <t>22:72:000000:377-22/113/2021-1</t>
  </si>
  <si>
    <t>1.8.0720</t>
  </si>
  <si>
    <t>22:72:060304:36</t>
  </si>
  <si>
    <t>Алтайский край, г. Яровое, кв-л А, д.21, ВС</t>
  </si>
  <si>
    <t>06.10.2011; 27.05.2019</t>
  </si>
  <si>
    <t>1017; 111</t>
  </si>
  <si>
    <t>22:72:060304:36-22/024/2019-1</t>
  </si>
  <si>
    <t>1.8.0044.К</t>
  </si>
  <si>
    <t xml:space="preserve">Сети водопроводные </t>
  </si>
  <si>
    <t>инв.10103153к, стал.</t>
  </si>
  <si>
    <t xml:space="preserve">кв. А, д. 41 </t>
  </si>
  <si>
    <t>1.8.0792</t>
  </si>
  <si>
    <t>22:72:00000:91</t>
  </si>
  <si>
    <t>Алтайский край, городской округ город Яровое, г.Яровое, кв. "А", д.43а, ВС</t>
  </si>
  <si>
    <t>16.05.219</t>
  </si>
  <si>
    <t>22:72:00000:91-22/024/2019-1</t>
  </si>
  <si>
    <t>1.8.0793</t>
  </si>
  <si>
    <t>22:72:090106:42</t>
  </si>
  <si>
    <t>Алтайский край, г.Яровое, ул. Гагарина, д.9, ВС</t>
  </si>
  <si>
    <t>22:72:090106:42-22/024/2019-1</t>
  </si>
  <si>
    <t>1.8.0794</t>
  </si>
  <si>
    <t>22:72:060302:1017</t>
  </si>
  <si>
    <t>Алтайский край, городской округ город Яровое, г.Яровое, кв. "А", д.19, ВС</t>
  </si>
  <si>
    <t>МБУК "Музей истории г.Яровое"</t>
  </si>
  <si>
    <t>22:72:060302:1017-22/024/2019-1</t>
  </si>
  <si>
    <t>1.8.0795</t>
  </si>
  <si>
    <t>22:72:060403:1450</t>
  </si>
  <si>
    <t>Алтайский край, городской округ город Яровое, г.Яровое, кв. "Б", д.37, ВС</t>
  </si>
  <si>
    <t>22:72:060403:1450-22/024/2020-1</t>
  </si>
  <si>
    <t>1.8.0798</t>
  </si>
  <si>
    <t>22:72:020202:1046</t>
  </si>
  <si>
    <t>Российская Федерация, Алтайский край, городской округ город Яровое, город ровое, пл. Предзаводская, д.2, ВС от В-58 до ПГ-23</t>
  </si>
  <si>
    <t xml:space="preserve">11.11.2019, 21.06.2021; </t>
  </si>
  <si>
    <t>929, 450</t>
  </si>
  <si>
    <t xml:space="preserve">акт результатов инвентаризации сетей холодного водоснабжения, расположенных на территории промышленной площадки г.Яровое, Выписка ЕГРН </t>
  </si>
  <si>
    <t>01.11.2019, 14.05.2021</t>
  </si>
  <si>
    <t>б/н; 22:72:020202:1046-22/140/2021-1</t>
  </si>
  <si>
    <t>1.8.0799</t>
  </si>
  <si>
    <t>Письмо МУП ЯТЭК от 24.02.2022 № 445 - О согласовании контракта (По этим характеристикам не можем идентифицировать объект, нет года ввода в эксплуатацию и протяженности) Скан в Пульс про</t>
  </si>
  <si>
    <t>Трубопроводы ст. тех. водоснабжения</t>
  </si>
  <si>
    <t>инв.37001006</t>
  </si>
  <si>
    <t>1.8.0800</t>
  </si>
  <si>
    <t>Хоз.противопожа-м вод-д гл.корпус ТЭЦ</t>
  </si>
  <si>
    <t>инв.37001206</t>
  </si>
  <si>
    <t>1.8.0802</t>
  </si>
  <si>
    <t>22:72:020202:1047</t>
  </si>
  <si>
    <t>Российская Федерация, Алтайский край, городской округ город Яровое, город Яровое, пл. Предзаводская, д.2. ВС от ПГ-73 до В-93</t>
  </si>
  <si>
    <t>22:72:020202:1047-22/140/2021-1</t>
  </si>
  <si>
    <t>Подраздел 1.9 "Сети канализационные"</t>
  </si>
  <si>
    <t>1.9.0011</t>
  </si>
  <si>
    <t>22:72:060302:1008</t>
  </si>
  <si>
    <t xml:space="preserve">Сети канализационные </t>
  </si>
  <si>
    <t xml:space="preserve">инв.01200018. чугун.  </t>
  </si>
  <si>
    <t xml:space="preserve">г.Яровое, квартал "А", д. 40, КС </t>
  </si>
  <si>
    <t>06.06.2018; 20.03.2020</t>
  </si>
  <si>
    <t>153-р; 260</t>
  </si>
  <si>
    <t>22:72:060302:1008-22/024/2018-1</t>
  </si>
  <si>
    <t>1.9.0034</t>
  </si>
  <si>
    <t>22:72:060201:2258</t>
  </si>
  <si>
    <t>инв.01200004. трубы чугунные 10С- 150 мм</t>
  </si>
  <si>
    <t xml:space="preserve">г.Яровое, квартал "В", д. 32, КС </t>
  </si>
  <si>
    <t>26.11.2007; 06.06.2018; 18.02.2020</t>
  </si>
  <si>
    <t>825; 529; 132</t>
  </si>
  <si>
    <t>22:72:060201:2258-22/024/2018-1</t>
  </si>
  <si>
    <t>1.9.0039</t>
  </si>
  <si>
    <t>22:72:060301:1308</t>
  </si>
  <si>
    <t>инв.1200007. трубы чугун.10С- 150 мм</t>
  </si>
  <si>
    <t xml:space="preserve">г.Яровое, квартал "А", д. 13, КС  </t>
  </si>
  <si>
    <t>26.11.2007; 17.10.2018; 18.02.2020</t>
  </si>
  <si>
    <t>825; 1011; 132</t>
  </si>
  <si>
    <t>22:72:060301:1308-22/024/2018-1</t>
  </si>
  <si>
    <t>1.9.0041</t>
  </si>
  <si>
    <t>22:72:060302:1010</t>
  </si>
  <si>
    <t>инв.1200019, керам.250мм</t>
  </si>
  <si>
    <t xml:space="preserve">г.Яровое, квартал "А", д. 42, КС  </t>
  </si>
  <si>
    <t>26.11.2007; 24.06.2019; 18.02.2020</t>
  </si>
  <si>
    <t>825; 523; 132</t>
  </si>
  <si>
    <t>22:72:060302:22/024/2019-1</t>
  </si>
  <si>
    <t>1.9.0049</t>
  </si>
  <si>
    <t>22:72:090203:48</t>
  </si>
  <si>
    <t>инв. 1210004 керам. д.100  мм</t>
  </si>
  <si>
    <t>г.Яровое, ул. Гагарина, д.1, КС</t>
  </si>
  <si>
    <t>14.11.2007; 30.05.2018; 20.03.2020</t>
  </si>
  <si>
    <t>807; 483; 260</t>
  </si>
  <si>
    <t>22:72:090203:48-22/024/2018-1</t>
  </si>
  <si>
    <t>1.9.0673</t>
  </si>
  <si>
    <t>22:72:060202:97</t>
  </si>
  <si>
    <t>д.100мм, подземная, керамика</t>
  </si>
  <si>
    <t>г.Яровое, ул.Кулундинская, 54, КС</t>
  </si>
  <si>
    <t>06.10.2011; 07.05.2018; 20.03.2020</t>
  </si>
  <si>
    <t>1017; 391; 260</t>
  </si>
  <si>
    <t>выписка из Единого государственного реестра недвижимости об основных характеристиках и зарегистрированных правах на объект недвижимости; постановление; акт обследования</t>
  </si>
  <si>
    <t>17.04.2018; 06.10.2011; 29.09.2011</t>
  </si>
  <si>
    <t>22:72:060202:97-22/024/2018-1; 1017</t>
  </si>
  <si>
    <t>1.9.0687.К</t>
  </si>
  <si>
    <t>22:72:060202:98</t>
  </si>
  <si>
    <t>д.108мм, сталь</t>
  </si>
  <si>
    <t>г.Яровое, в 16 м на восток от д.54 по ул.Кулундинская, КС</t>
  </si>
  <si>
    <t>06.10.2011; 07.05.2018; 15.04.2020</t>
  </si>
  <si>
    <t>1017; 389; 320</t>
  </si>
  <si>
    <t>07.05.2018; 06.10.2011; 29.09.2011</t>
  </si>
  <si>
    <t>22:72:060202:98-22/024/2018-1; 1017</t>
  </si>
  <si>
    <t>1.9.0690</t>
  </si>
  <si>
    <t>22:72:060302:1009</t>
  </si>
  <si>
    <t>д.150мм, подземная, керамика</t>
  </si>
  <si>
    <t>г.Яровое, квартал "А", д.19, КС</t>
  </si>
  <si>
    <t>06.10.2011; 11.07.2018; 20.03.2020</t>
  </si>
  <si>
    <t>1017; 681; 260</t>
  </si>
  <si>
    <t>22:72:060302:1009-22/024/2018-1</t>
  </si>
  <si>
    <t>1.9.0700</t>
  </si>
  <si>
    <t>22:72:060401:569</t>
  </si>
  <si>
    <t>д.100мм, подземная, чугун</t>
  </si>
  <si>
    <t>г.Яровое, квартал "Б", д.35, КС</t>
  </si>
  <si>
    <t>06.10.2011; 25.04.2018; 18.02.2020</t>
  </si>
  <si>
    <t>1017; 350; 132</t>
  </si>
  <si>
    <t>22:72:060401:569-22/024/2018-1</t>
  </si>
  <si>
    <t>1.9.0736</t>
  </si>
  <si>
    <t>22:72:090202:38</t>
  </si>
  <si>
    <t>д.200мм, керамика,подземная</t>
  </si>
  <si>
    <t xml:space="preserve">г.Яровое, ул.Гагарина, д.7, КС </t>
  </si>
  <si>
    <t>06.10.2011; 30.05.2018; 11.02.2020</t>
  </si>
  <si>
    <t>1017; 484; 121</t>
  </si>
  <si>
    <t>22:72:090202:38-22/024/2018-1</t>
  </si>
  <si>
    <t>1.9.0737</t>
  </si>
  <si>
    <t xml:space="preserve">22:72:020202:633   </t>
  </si>
  <si>
    <t>Сети хозяйственной канализации к корпусу 251</t>
  </si>
  <si>
    <t xml:space="preserve">Литер 14. Коллекторы чугун.труб. д.200мм. Износ - 60 % </t>
  </si>
  <si>
    <t>241; 35; 22АД 671675</t>
  </si>
  <si>
    <t>1.9.0739</t>
  </si>
  <si>
    <t xml:space="preserve">22:72:020202:677   </t>
  </si>
  <si>
    <t>Общезаводские сети химгрязной канализации</t>
  </si>
  <si>
    <t>Литер 98. Асбоцементные, д.200мм. Износ - 40 %</t>
  </si>
  <si>
    <t>241; 35; 22АД 671677</t>
  </si>
  <si>
    <t>1.9.0740</t>
  </si>
  <si>
    <t xml:space="preserve">22:72:020202:335  </t>
  </si>
  <si>
    <t>Общезаводские сети ливневой канализации</t>
  </si>
  <si>
    <t>Литер 103. Чугунные, д.250мм. Износ - 35 %</t>
  </si>
  <si>
    <t>241; 35; 22АД 671663</t>
  </si>
  <si>
    <t>1.9.0741</t>
  </si>
  <si>
    <t xml:space="preserve">22:72:020202:679 </t>
  </si>
  <si>
    <t>Литер 102. Ж/б и бетонные д.600 мм. Износ - 35 %</t>
  </si>
  <si>
    <t xml:space="preserve">241; 35; 22АД 671669 </t>
  </si>
  <si>
    <t>1.9.0742</t>
  </si>
  <si>
    <t xml:space="preserve">22:72:020202:683  </t>
  </si>
  <si>
    <t>Литер 97. Чугунные д.350 мм. Износ - 45 %</t>
  </si>
  <si>
    <t>241; 35; 22АД 671658</t>
  </si>
  <si>
    <t>1.9.0743</t>
  </si>
  <si>
    <t xml:space="preserve">22:72:020202:697  </t>
  </si>
  <si>
    <t>Общезаводские сети х/фекальной канализации</t>
  </si>
  <si>
    <t>Литер 95. Чугунные д.300 мм. Износ - 35 %</t>
  </si>
  <si>
    <t xml:space="preserve">241; 35; 22АД 671657 </t>
  </si>
  <si>
    <t>1.9.0744</t>
  </si>
  <si>
    <t xml:space="preserve">22:72:020202:329 </t>
  </si>
  <si>
    <t>Литер 93. Керамические д.350 мм. Износ - 30 %</t>
  </si>
  <si>
    <t xml:space="preserve">241; 35; 22АД 671659 </t>
  </si>
  <si>
    <t>1.9.0745</t>
  </si>
  <si>
    <t>22:72:020202:684</t>
  </si>
  <si>
    <t>Литер 96. Ж/б и бетонные д.1200 мм. Износ - 30 %</t>
  </si>
  <si>
    <t xml:space="preserve">241; 35; 22АД 671703 </t>
  </si>
  <si>
    <t>1.9.0747</t>
  </si>
  <si>
    <t xml:space="preserve">Письмо МУП ЯТЭК от 24.02.2022 № 445 - О согласовании контракта (Фактическое расположение сети канализации не соответсвует проекту, нет разрешения на строительство канализационной сети) Скан в Пульс про    </t>
  </si>
  <si>
    <t xml:space="preserve">Сеть канализационная </t>
  </si>
  <si>
    <t>инв.10113124. Напорные п/э трубы низкого давления д.200 мм с устройством 8 ж/б колодцев</t>
  </si>
  <si>
    <t>Мкр. "Западный" от канализационного колодца№1 по ул.Кулундинская до КК53 пересечении ул.Западная и Парковая</t>
  </si>
  <si>
    <t xml:space="preserve">акт приемки в эксплуатацию объекта </t>
  </si>
  <si>
    <t>1.9.0748</t>
  </si>
  <si>
    <t>инв.10113125. Напорные п/э трубы низкого давления д.200 мм с устройством 2 ж/б колодцев</t>
  </si>
  <si>
    <t xml:space="preserve">Мкр. "Западный" по ул.Западная от канализационного колодца КК53 на пересечении ул.Западная и Комарова </t>
  </si>
  <si>
    <t>1.9.0749</t>
  </si>
  <si>
    <t xml:space="preserve">Письмо МУП ЯТЭК от 24.02.2022 № 445 - О согласовании контракта (Фактическое расположение сети канализации не соответсвует проекту, нет разрешения на строительство канализационной сети) Скан в Пульс про     </t>
  </si>
  <si>
    <t>инв.10113126. Напорные п/э трубы низкого давления д.200 мм с устройством 2 ж/б колодцев</t>
  </si>
  <si>
    <t>Мкр. "Западный" по ул.Парковая от канализационного колодца КК53 на пересечении ул.Западная и Парковая до КК65 на персечении ул.Парковая и Центральная</t>
  </si>
  <si>
    <t>1.9.0750</t>
  </si>
  <si>
    <t>22:72:000000:58</t>
  </si>
  <si>
    <t>Алтайский край, г.Яровое, квартал "В", КС</t>
  </si>
  <si>
    <t>06.08.1993; 24.11.2017</t>
  </si>
  <si>
    <t>41; б/н</t>
  </si>
  <si>
    <t xml:space="preserve">инв.89120703 (оценка 2010). Чугун.д.100мм; керам.д.200мм; керам. д.250мм; керам. д.300мм; керам. д.350мм; керам.д.400мм </t>
  </si>
  <si>
    <t>кв.В  д. 6, 7, 12, 14, 15, 16, 17, 21, 22, 23, 25, 29</t>
  </si>
  <si>
    <t>05-1991</t>
  </si>
  <si>
    <t xml:space="preserve">инв.89125703 (оценка 2010). Асбестоцемент д.500мм;  керам.д. 400мм; керам. д.300мм </t>
  </si>
  <si>
    <t>по ул.40 лет Октября, от ул.Степная до ул. Кулундинская</t>
  </si>
  <si>
    <t>07-1995</t>
  </si>
  <si>
    <t>инв.89040255 (оценка 2010). Асбестоцемент д. 400, 300мм</t>
  </si>
  <si>
    <t>по ул. Перекопской</t>
  </si>
  <si>
    <t xml:space="preserve">инв.89120803 (оценка 2010). Чугун. д.100мм; керам. д.200мм ; керам. д.250мм; керам. д.350мм; керам. д.400мм </t>
  </si>
  <si>
    <t>кв.В д.2, 3, 4, 5, 8, 9, 10</t>
  </si>
  <si>
    <t>1.9.0751</t>
  </si>
  <si>
    <t>22:72:000000:62</t>
  </si>
  <si>
    <t>Магистральные канализационные сети</t>
  </si>
  <si>
    <t>г.Яровое, квартал "А", КС</t>
  </si>
  <si>
    <t>30.12.2014; 19.09.2016; 31.10.2017; 15.01.2018; 10.04.2018; 20.06.2013; 11.04.2019; 27.03.2020; 13.12.2021</t>
  </si>
  <si>
    <t>1239; 17; 584; 957; 967; 227; 309; 280; 917</t>
  </si>
  <si>
    <t xml:space="preserve">Выписка из Единого государственного реестра недвижимости об основных характеристиках и зарегистри-рованных правах на объект недвижимости  </t>
  </si>
  <si>
    <t>22:72:000000:62-22/024/ 2017-1</t>
  </si>
  <si>
    <t>инв.89112203 (оценка 2010). Чугун 150мм</t>
  </si>
  <si>
    <t>кв. А д. 12</t>
  </si>
  <si>
    <t>12-1976</t>
  </si>
  <si>
    <t xml:space="preserve">89111903 (оценка 2010). Трубопровод кер.д.300 мм- 95 м/п, чугун.д.100 мм - 61 м/п, керам.д.250 мм -126 м/п </t>
  </si>
  <si>
    <t>кв. А д. 24, 39</t>
  </si>
  <si>
    <t>инв.89112103 (оценка 2010). Керам. д.250мм-129м/п, д.200мм-131м/п</t>
  </si>
  <si>
    <t>кв. А д. 8, 38</t>
  </si>
  <si>
    <t>инв.89111603 (оценка 2012). Керам.д.200 мм-136м/п, д.250мм-95м/п, д.300мм-67,5м/п</t>
  </si>
  <si>
    <t>кв.А д. 39</t>
  </si>
  <si>
    <t xml:space="preserve">инв.89112003 (оценка 2010). Керам.д.150 мм </t>
  </si>
  <si>
    <t>кв. А д. 11</t>
  </si>
  <si>
    <t>инв.89111503 (оценка 2012).Керам.д.250мм – 313 м/п; чугун. д. 200мм – 306 м/п</t>
  </si>
  <si>
    <t>кв. А д.22, 25, 26, 33, 34, 2, 3, 4, 20, 32, 27</t>
  </si>
  <si>
    <t>инв.89101803 (оценка 2012). к д.12 кв.А</t>
  </si>
  <si>
    <t xml:space="preserve">к д.12 кв.А </t>
  </si>
  <si>
    <t>12-1981</t>
  </si>
  <si>
    <t>инв.89112703 (оценка 2010). Керам. д.300 мм</t>
  </si>
  <si>
    <t>кв.А д. 16</t>
  </si>
  <si>
    <t>инв.89112603 (оценка 2010). Керам. д.300 мм</t>
  </si>
  <si>
    <t>кв.А д. 36</t>
  </si>
  <si>
    <t>инв.89113003 (оценка 2010).Чугун д.100мм – 186 м/п; чугун д.150мм – 183,7 м/п;кер д.300 мм –116м/п; П/Э ф250 мм, L=370 м</t>
  </si>
  <si>
    <t>кв. А д.5, 6, 7, 8, 9, 10, 11, 12, 28, 30, 37, 38</t>
  </si>
  <si>
    <t>инв.89112803 (оценка 2010). Чугун. д.200мм – 520 м/п; чугун. д.250мм – 402 м/п; керам. д.300мм – 133 м/п; чугун. д.100мм – 132 м/п</t>
  </si>
  <si>
    <t>кв. А  д.14, 15, 16, 18, 35, 36, 31, выпуски</t>
  </si>
  <si>
    <t>инв.89112903 (оценка 2010). Чугун. д.200мм – 17 м/п, чугун. д.300мм – 196 м/п; керам.д.400мм – 53 м/п</t>
  </si>
  <si>
    <t>кв. А от КК 259 до КНС «Больница»; от КНС «Больница» до КК 1; от КНС «Бассейн» до КК 309</t>
  </si>
  <si>
    <t>инв.89112403. Чугун.д.350мм  . Капитальный ремонт 08.2017 - замена участка трубопровода чуг. на п/эт. Ф.250мм = 160 м</t>
  </si>
  <si>
    <t>от КНС "Мысль", КНС "Больница"  до колодца гасителя кв. "А"</t>
  </si>
  <si>
    <t>инв.89113203 (оценка 2010). Керам.д.400мм – 88 м/п; керам. д.300мм – 36 м/п</t>
  </si>
  <si>
    <t xml:space="preserve"> кв."А" к КНС "Мысль", КНС "Больница"</t>
  </si>
  <si>
    <t>инв.89113103 (оценка 2010). Кер.д.400мм – 242 м/п; чугун.д.150мм – 358 м/п</t>
  </si>
  <si>
    <t>кв.А к д.27,31,32,6,5</t>
  </si>
  <si>
    <t xml:space="preserve">хозяйственное ведение (уставный капитал) </t>
  </si>
  <si>
    <t>1.9.0752</t>
  </si>
  <si>
    <t>22:72:000000:70</t>
  </si>
  <si>
    <t>г.Яровое, квартал "Б" и юго-восточная часть застроенной территории г.Яровое, КС</t>
  </si>
  <si>
    <t>30.12.2014; 30.05.2018; 11.04.2019; 27.03.2020</t>
  </si>
  <si>
    <t>1239; 481; 309; 280</t>
  </si>
  <si>
    <t>выписка из Единого государственного реестра недвижимости об основных характеристиках и зарегистрированных правах на объект недвижимости; письмо о пререгистрации объекта (Копия в пульс про)</t>
  </si>
  <si>
    <t>24.05.2018; 07.02.2022</t>
  </si>
  <si>
    <t>22:72:000000:70-22/024/2018/1; 0213</t>
  </si>
  <si>
    <t>12-1968</t>
  </si>
  <si>
    <t xml:space="preserve">инв.89111703 (оценка 2010). Чугун. д.150мм - 90 м/п; чугун.д.100мм – 338 м/п; керам.д.150мм – 1940 м/п; керам.д.200мм – 4824 м/п; керам.д.300мм – 1391 м/п </t>
  </si>
  <si>
    <t xml:space="preserve">ул.Алтайская, Заводская, Кирова, Первомайская, Верещагина, Менделеева, Пушкина, Ленина </t>
  </si>
  <si>
    <t>инв.89111803 (оценка 2012). Асбестоцемент д.150мм</t>
  </si>
  <si>
    <t>по ул.Первомайская</t>
  </si>
  <si>
    <t>инв.89111203 (оценка 2010). Чугун.д.100 мм - 24 м/п; керам.д.200 мм - 73 м/п; керам.д.300 мм - 398 м/п</t>
  </si>
  <si>
    <t>кв.Б д.18, 19, 20, 21</t>
  </si>
  <si>
    <t>инв.89111303 (оценка 2012). Чугун.д.100 мм- 42 м/п; керам. д.200 мм - 457 м/п; керам.д.300 мм - 374 м/п</t>
  </si>
  <si>
    <t>кв.Б д. 12, 13, 14, 16, 18</t>
  </si>
  <si>
    <t xml:space="preserve">инв.89111403 (оценка 2010).Чугун.д.100мм – 187,8 м/п; керам.д.250мм – 249,2 м/п; керам.д.200мм – 543 м/п </t>
  </si>
  <si>
    <t>кв."Б" д.22, 23, 25,25,26,30,32,33</t>
  </si>
  <si>
    <t>инв.89111003 (оценка 2010). Чугун.д.100 мм - 34 м/п; керам.д. 150 мм - 292 м/п; керам.д.250 мм - 628 м/п</t>
  </si>
  <si>
    <t>кв."Б" д. 1, 2, 3, ул.40 лет Октября, д.4</t>
  </si>
  <si>
    <t>инв.89111103 (оценка 2010).керам.д.300 мм - 486 м/п; керам.д.200 мм - 752,5 м/п; керам.д.250 мм - 371 м/п; керам.д.150 мм - 196 м/п; чугун.д.100 мм - 89 м/п</t>
  </si>
  <si>
    <t>ул.40 лет Октября, д.1, 2, 3, 5, 6а, 7, 8, 8а, 9, 10, 11, 12, 13, кв."Б" д.10, 15</t>
  </si>
  <si>
    <t>1.9.0754</t>
  </si>
  <si>
    <t>22:72:060403:1441</t>
  </si>
  <si>
    <t>д.200мм, подземная, керамика, д.100мм, подземная, чугун</t>
  </si>
  <si>
    <t>г.Яровое, кв-л Б, д.37, КС</t>
  </si>
  <si>
    <t>06.10.2011; 28.04.2018; 18.02.2020</t>
  </si>
  <si>
    <t>1017; 379; 132</t>
  </si>
  <si>
    <t>22:72:060403:1441-22/024/2018/1</t>
  </si>
  <si>
    <t>1.9.0755</t>
  </si>
  <si>
    <t>22:72:060201:2257</t>
  </si>
  <si>
    <t>д.250мм, подземная, керамика, д.100мм, подземная, чугун</t>
  </si>
  <si>
    <t>г.Яровое, квартал "В" д.19, КС</t>
  </si>
  <si>
    <t>06.10.2011; 30.05.2018; 18.02.2020</t>
  </si>
  <si>
    <t>1017; 491; 132</t>
  </si>
  <si>
    <t>Выписка из Единого реестра недвижимости об основных характеристиках и зарегистрированных правах на объект недвижимости</t>
  </si>
  <si>
    <t>22:72:060201:2257-22/024/2018-1</t>
  </si>
  <si>
    <t>1.9.0756</t>
  </si>
  <si>
    <t>22:72:070604:4</t>
  </si>
  <si>
    <t>д.200мм, подземная, керамика, д.150мм, подземная, керамика</t>
  </si>
  <si>
    <t>г.Яровое, ул.Ленина, д.9, КС</t>
  </si>
  <si>
    <t>МБУК "ГДК"Химик" г.Яровое</t>
  </si>
  <si>
    <t>27.08.2015; 21.06.2018; 20.03.2020</t>
  </si>
  <si>
    <t>725; 592; 260</t>
  </si>
  <si>
    <t>22:72:070604:4-22/024/2018-1</t>
  </si>
  <si>
    <t>1.9.0757</t>
  </si>
  <si>
    <t>22:72:070501:140</t>
  </si>
  <si>
    <t>д.100мм, подземная, керамика; д.150мм, подземная, керамика</t>
  </si>
  <si>
    <t>г.Яровое, ул.40 лет Октября, д.1д, КС</t>
  </si>
  <si>
    <t>27.08.2015; 11.07.2018; 20.03.2020</t>
  </si>
  <si>
    <t>725; 682; 260</t>
  </si>
  <si>
    <t>22:72:070501:140-22/024/2018-1</t>
  </si>
  <si>
    <t>1.9.0758.К</t>
  </si>
  <si>
    <t>22:72:000000:76</t>
  </si>
  <si>
    <t>Сети ливневой канализации</t>
  </si>
  <si>
    <t>инв.01210008</t>
  </si>
  <si>
    <t>г.Яровое, юго-западная часть застроенной территории г.Яровое, СЛК</t>
  </si>
  <si>
    <t>19.09.2018; 01.04.2020; 29.12.2020</t>
  </si>
  <si>
    <t>899; 300; 1131</t>
  </si>
  <si>
    <t>выписка из Единого государственного реестра недвижимости об основных характеристиках и сделок с ним</t>
  </si>
  <si>
    <t>22:72:000000:76-22/024/2018-1</t>
  </si>
  <si>
    <t>1.9.0759.К</t>
  </si>
  <si>
    <t>22:72:000000:77</t>
  </si>
  <si>
    <t>г.Яровое, юго-восточная часть застроенной территории г.Яровое, СЛК</t>
  </si>
  <si>
    <t>01.08.2018; 01.04.2020; 29.12.2020</t>
  </si>
  <si>
    <t>752; 300; 1131</t>
  </si>
  <si>
    <t>22:72:000000:77-22/024/2018-1</t>
  </si>
  <si>
    <t>1.9.0760</t>
  </si>
  <si>
    <t>22:72:060304:35</t>
  </si>
  <si>
    <t xml:space="preserve">д.250мм, подземная, керамика, д.100мм, подземная, чугун </t>
  </si>
  <si>
    <t>г.Яровое, квартал "А", д.21, КС</t>
  </si>
  <si>
    <t>20.08.2018; 18.02.2020</t>
  </si>
  <si>
    <t>814; 132</t>
  </si>
  <si>
    <t>22:72:060304:35-22/024/2018-1</t>
  </si>
  <si>
    <t>1.9.0761</t>
  </si>
  <si>
    <t>22:72:090106:41</t>
  </si>
  <si>
    <t>г.Яровое, ул.Гагарина, д.9, КС</t>
  </si>
  <si>
    <t>28.01.2018; 20.03.2020</t>
  </si>
  <si>
    <t>100; 260</t>
  </si>
  <si>
    <t>выписка из Единого государственного реестра прав на недвижимое имущество и сделок с ним</t>
  </si>
  <si>
    <t>22/001/2019-7667</t>
  </si>
  <si>
    <t>1.9.0043.К</t>
  </si>
  <si>
    <t>инв.10103152к. Чугун., асбоцементные д.120 мм</t>
  </si>
  <si>
    <t>Подраздел 1.11 "Сети телекоммуникационные"</t>
  </si>
  <si>
    <t>1.11.0001</t>
  </si>
  <si>
    <t>Линия телефонной связи ТЭЦ (местная АТС)</t>
  </si>
  <si>
    <t>Предзаводская пл. 2/19 г.Яровое, ТЭЦ</t>
  </si>
  <si>
    <t>1.11.0002</t>
  </si>
  <si>
    <t>Письмо с ПАО "Ростелеком" от 01.12.2022 № 0707/05/4971/22 о принадлежности линий связи</t>
  </si>
  <si>
    <t>Кабельная линия  связи</t>
  </si>
  <si>
    <t>11.1981</t>
  </si>
  <si>
    <t xml:space="preserve">инв.01200017. ГПП 10х2х0,4 трубы асбест </t>
  </si>
  <si>
    <t>19.12.2005; 14.12.2022</t>
  </si>
  <si>
    <t>153-р; 1164</t>
  </si>
  <si>
    <t>1.11.0003</t>
  </si>
  <si>
    <t>Письмо с архива, об отсутствии сведений о кабельной линии от 28.09.2022 № 35(копия пульс про); письмо с МУП "ЯТЭК" от 31.08.2022 № 2131 (уточнение); письмо с ПАО "Ростелеком" от 01.12.2022 № 0707/05/4971/22 о принадлежности линий связи</t>
  </si>
  <si>
    <t xml:space="preserve">Кабельная линия связи </t>
  </si>
  <si>
    <t>инв.0200001. кабель 0,4кВ, АВВГ 3*70+1*35, трубы - асбоцементные</t>
  </si>
  <si>
    <t>01.12.2006; 31.10.2022; 14.12.2022</t>
  </si>
  <si>
    <t>868; 961; 1164</t>
  </si>
  <si>
    <t>1.11.0004</t>
  </si>
  <si>
    <t>инв.1200008. кабель ГПП 10х2х0,4, трубы - асбоцементные</t>
  </si>
  <si>
    <t xml:space="preserve">кв. "А" д. 13  </t>
  </si>
  <si>
    <t>02.12.2006; 14.12.2022</t>
  </si>
  <si>
    <t>868; 1164</t>
  </si>
  <si>
    <t>Подраздел 1.12 "Иное недвижимое имущество"</t>
  </si>
  <si>
    <t>1.12.0057</t>
  </si>
  <si>
    <t>Трибуны на хоккейном корте</t>
  </si>
  <si>
    <t>II/1982</t>
  </si>
  <si>
    <t>инв. 01110009. 4000 мест, ж/б плиты, опоры металл</t>
  </si>
  <si>
    <t>1.12.0068</t>
  </si>
  <si>
    <t>Остановки автобусные</t>
  </si>
  <si>
    <t>металлические, кирпич</t>
  </si>
  <si>
    <t>Училище, МСЧ, дачные -3 шт</t>
  </si>
  <si>
    <t>11.07.2007, 17.11.2020</t>
  </si>
  <si>
    <t>492, 956</t>
  </si>
  <si>
    <t>1.12.0114</t>
  </si>
  <si>
    <t>22:72:040606:215</t>
  </si>
  <si>
    <t>Артезианская скважина №1-86 (32а) с павильоном</t>
  </si>
  <si>
    <t>II- 1980</t>
  </si>
  <si>
    <t>инв.89060202 (оценка 2012). Глубина - 303м. ЭЦВ 10 с питающим кабелем и станцией управления, павильон деревянный</t>
  </si>
  <si>
    <t>Российская Федерация, Алтайский край, город Яровое, улица Северная, дом 2, сооружегние 32аск</t>
  </si>
  <si>
    <t>30.12.2014; 23.08.2017; 24.06.2022</t>
  </si>
  <si>
    <t>1239; 787; 481</t>
  </si>
  <si>
    <t>22:72:040606:215-22/111/2022-1</t>
  </si>
  <si>
    <t>1.12.0115</t>
  </si>
  <si>
    <t>22:72:070202:250</t>
  </si>
  <si>
    <t>Артезианская скважина №БР-490 (40) с павильоном</t>
  </si>
  <si>
    <t>X- 1991</t>
  </si>
  <si>
    <t>инв.89001202. Железный павильон, глубина-300 м, диаметр обсадн.трубы 273*9, д.фильтр колонны 159*7мм, насос ЭЦВ-10-63-150с БР-490, площадь застройки 10,5.кв.м, протяженность 10м</t>
  </si>
  <si>
    <t>Российская Федерация, Алтайский край, городской округ город Яровое, г.Яровое, ул. Чапаева, сооружение 40ск (м/у ул.Чапаева и ул.Северная)</t>
  </si>
  <si>
    <t>30.12.2014; 23.08.2017; 29.04.2022</t>
  </si>
  <si>
    <t>1239; 787; 330</t>
  </si>
  <si>
    <t xml:space="preserve">постановление; выписка ЕТРН </t>
  </si>
  <si>
    <t>28.12.1999; 25.04.2022</t>
  </si>
  <si>
    <t>2011; 22:72:070202:250-22/111/2022-1</t>
  </si>
  <si>
    <t>1.12.0119</t>
  </si>
  <si>
    <t>22:72:040506:215</t>
  </si>
  <si>
    <t>Артезианская скважина №БР-491 (34) с павильоном</t>
  </si>
  <si>
    <t>инв. 89001002 (оценка 2011). Глубина-290 м, насос ЭЦВ-10-63-150с БР-491с питающ.кабелем и станц.управления</t>
  </si>
  <si>
    <t>Российская Федерация, Алтайский край, городской округ город Яровое, город Яровое, ул.Северная , сооружение №34ск (между ул.Мира, мкр.Северный, дороги на Новомихайловку и ул.Северной)</t>
  </si>
  <si>
    <t>30.12.2014; 23.08.2017; 24.05.2022</t>
  </si>
  <si>
    <t>1239; 787; 376</t>
  </si>
  <si>
    <t>постановление; выписка из ЕГРН</t>
  </si>
  <si>
    <t>28.12.1999; 20.05.2022</t>
  </si>
  <si>
    <t>2011; 22:72:040506:215-22/111/2022-1</t>
  </si>
  <si>
    <t>1.12.0121.К</t>
  </si>
  <si>
    <t>Водонапорная башня</t>
  </si>
  <si>
    <t>VIII-1997</t>
  </si>
  <si>
    <t>инв.89000702. Стальная, цилиндрич.V-25 м3, высота-19490 мм, диам.бака-2900 мм, емкость бака18,8м3</t>
  </si>
  <si>
    <t>Учхоз</t>
  </si>
  <si>
    <t>1.12.0122.К</t>
  </si>
  <si>
    <t>XII-1997</t>
  </si>
  <si>
    <t>инв.89000802. Стальная</t>
  </si>
  <si>
    <t>с Михайловка</t>
  </si>
  <si>
    <t>1.12.0125</t>
  </si>
  <si>
    <t>22:72:040606:218</t>
  </si>
  <si>
    <t xml:space="preserve">Корпус насосной станции 2 подъема 1-ой очереди </t>
  </si>
  <si>
    <t>инв. 89058102 (оценка 2011). Сборные-ж/б, перекрытия над подвалом, стены-кирпич керамический, S-185,8 м3, перегородки 35,1м3, полы цемент по бетону, кровля рулон</t>
  </si>
  <si>
    <t>Российская Федерация, Алтайский край, городской округ город Яровое, город Яровое, ул. Северная 2</t>
  </si>
  <si>
    <t>30.12.2014; 29.12.2022</t>
  </si>
  <si>
    <t>1239; 1241</t>
  </si>
  <si>
    <t>22:72:040606:218-22/111/2022-1</t>
  </si>
  <si>
    <t>1.12.0127</t>
  </si>
  <si>
    <t>Резервуар</t>
  </si>
  <si>
    <t>инв. 89059902 (оценка 2011). V=1000м3, ж/б</t>
  </si>
  <si>
    <t>ул. Северная,2 водозабор</t>
  </si>
  <si>
    <t>1.12.0128</t>
  </si>
  <si>
    <t xml:space="preserve">Резервуар </t>
  </si>
  <si>
    <t xml:space="preserve">инв. 89059802 (оценка 2011). V=600м3    </t>
  </si>
  <si>
    <t>1.12.0130</t>
  </si>
  <si>
    <t>22:72:040606:217</t>
  </si>
  <si>
    <t>Артезианская скважина №1-361 (26) с павильоном</t>
  </si>
  <si>
    <t>04-1983</t>
  </si>
  <si>
    <t>инв. 89058702 (оценка 2011). №1-361-11-160 в комплекте. Павильон над скважиной щитовой деревянный с мет.обивкой, огорожен колючей проволокой на ж/б столбах периметр 240 м, глубина 160 м</t>
  </si>
  <si>
    <t>Российская Федерация, Алтайский край, городской округ город Яровое, город Яровое, ул. Северная, дом 2, сооружение № 26 ск (район Учхоза)</t>
  </si>
  <si>
    <t>30.12.2014; 23.08.2017; 08.07.2022</t>
  </si>
  <si>
    <t>1239; 787; 523</t>
  </si>
  <si>
    <t>Выписка ЕГРН</t>
  </si>
  <si>
    <t>22:72:040606:217-22/111/2022-1</t>
  </si>
  <si>
    <t>1.12.0131</t>
  </si>
  <si>
    <t>22:72:090107:380</t>
  </si>
  <si>
    <r>
      <t>Скважина №3/1-383 с павильоном, с водонапорной башней</t>
    </r>
    <r>
      <rPr>
        <b/>
        <sz val="9"/>
        <rFont val="Times New Roman"/>
        <family val="1"/>
        <charset val="204"/>
      </rPr>
      <t xml:space="preserve"> </t>
    </r>
  </si>
  <si>
    <t>05-1983</t>
  </si>
  <si>
    <t>инв. 89057802. Глубина 282 м, V-40м3/час, ж/б плиты, фундамент-кирпич, покрытие-рулонное, самоизлевная, не используется</t>
  </si>
  <si>
    <t>Российская Федерация, Алтайский край, городской округ город Яровое, город Яровое, ул. Гагарина (район Учхоза)</t>
  </si>
  <si>
    <t>30.12.2014; 23.08.2017; 20.05.2022</t>
  </si>
  <si>
    <t>1239; 787; 370</t>
  </si>
  <si>
    <t>Ввыписка из ЕГРН</t>
  </si>
  <si>
    <t>22:72:090107:380-22/115/2022-1</t>
  </si>
  <si>
    <t>1.12.0309</t>
  </si>
  <si>
    <t>Металлоконструкция для хранения кислородных балонов</t>
  </si>
  <si>
    <t>VI - 1996</t>
  </si>
  <si>
    <t>инв.89000106. Зарешечено арматурой</t>
  </si>
  <si>
    <t>1.12.0310</t>
  </si>
  <si>
    <t>Маслостанция для преслитьевой машины</t>
  </si>
  <si>
    <t>инв. 89219006. 600х350х630 мм, Рном = 10 мПа,  Qном = 32 л/мин</t>
  </si>
  <si>
    <t>1.12.0365</t>
  </si>
  <si>
    <t xml:space="preserve">Сооружения </t>
  </si>
  <si>
    <t>инв.01100003</t>
  </si>
  <si>
    <t>1.12.0387.К</t>
  </si>
  <si>
    <t>Летний павильон Ветерок</t>
  </si>
  <si>
    <t>VI-2006</t>
  </si>
  <si>
    <t>инв.01100011</t>
  </si>
  <si>
    <t>договор аренды муниц.имущества</t>
  </si>
  <si>
    <t xml:space="preserve"> 07.10.2014</t>
  </si>
  <si>
    <t>14-10-05</t>
  </si>
  <si>
    <t>1.12.0388</t>
  </si>
  <si>
    <t>Стелла</t>
  </si>
  <si>
    <t>XII-2005</t>
  </si>
  <si>
    <t>инв.01100303. С мемориальными досками</t>
  </si>
  <si>
    <t>1.12.0389</t>
  </si>
  <si>
    <t>Малые формы для игровой площадки</t>
  </si>
  <si>
    <t>инв.01100002.  Хоккейная коробка - 1 шт., хоккейные ворота -2 шт., волейбольная площадка - 1 шт., стойки волейбольные - 2 шт., футбольные аорота - 2 шт.</t>
  </si>
  <si>
    <t>1.12.0406.К</t>
  </si>
  <si>
    <t>Касса в ПКиО</t>
  </si>
  <si>
    <t>XII/2008</t>
  </si>
  <si>
    <t>инв.01100304. Стены из кирпича и сайдинга,крыша-металлочер.дерев.корп.</t>
  </si>
  <si>
    <t>1.12.0407</t>
  </si>
  <si>
    <t>ТП-247, ВЛ-6,3 кВ-256,0м, ВЛ-0,4 кВ-250,0м с трансф.подстанц 6/0,4кВ 400кВА</t>
  </si>
  <si>
    <t>инв.10103201. Железное строение с совместной подвеской улич.освещ. неизолированными проводами и установкой подстанции КТП-КК 400-6/0,4кВ д/электроснабжения</t>
  </si>
  <si>
    <t>микрорайон Западный</t>
  </si>
  <si>
    <t xml:space="preserve">МУП "ЯТЭК"/ ООО "Заринская сетевая компания" </t>
  </si>
  <si>
    <t>распоряжение; акт приема-передачи</t>
  </si>
  <si>
    <t>05.08.2009; 05.08.2009</t>
  </si>
  <si>
    <t>138-р</t>
  </si>
  <si>
    <t>1.12.0512</t>
  </si>
  <si>
    <t>Резервуар воды емкостью 1000куб.м</t>
  </si>
  <si>
    <t>материал стен-ж/б панели, материал фундаментов-бетон монолитный, материал перекрытия-железобетон</t>
  </si>
  <si>
    <t>ул.Северная,2 водозабор</t>
  </si>
  <si>
    <t>1.12.0646.К</t>
  </si>
  <si>
    <t>22:72:010316:10</t>
  </si>
  <si>
    <t>Артезианская скважина №1-89</t>
  </si>
  <si>
    <t>Фильтровая, глубина 300м.</t>
  </si>
  <si>
    <t>г. Яровое, район СНТ "Химик", артез.скв. фильтровая № 1-89</t>
  </si>
  <si>
    <t>СНТ "Химик"</t>
  </si>
  <si>
    <t>безвозмезное пользование</t>
  </si>
  <si>
    <t>постановление; договор безвозм.пользования (ссуды)</t>
  </si>
  <si>
    <t>24.02.2014; 24.02.2014; 15.04.2020</t>
  </si>
  <si>
    <t>159; 14-02-02; 320</t>
  </si>
  <si>
    <t>постановление; распоряжение (край); выписка ЕГРН</t>
  </si>
  <si>
    <t>08.12.2011; 13.09.2011; 24.03.2010; 15.12.2011</t>
  </si>
  <si>
    <t>1231; 425; 22 АВ 177815; 22-22-29/028/2011-728</t>
  </si>
  <si>
    <t>1.12.0647.К</t>
  </si>
  <si>
    <t>22:72:010316:15</t>
  </si>
  <si>
    <t>Артезианская скважина №1-189</t>
  </si>
  <si>
    <t>С павильоном дачи, куст, глубина 300м.,павильон-площадь застройки 9,0кв.м.</t>
  </si>
  <si>
    <t>г. Яровое, район СНТ "Химик-1", артез.скв. фильтровая № 1-189</t>
  </si>
  <si>
    <t>СНТ "Химик -1"</t>
  </si>
  <si>
    <t>постановление; договор безвозм.пользования (ссуды); Постановление</t>
  </si>
  <si>
    <t xml:space="preserve">постановление; распоряжение (край); свидетельство; Выписка ЕГРН </t>
  </si>
  <si>
    <t>08.12.2011; 13.09.2011; 16.03.2010; 15.12.2011</t>
  </si>
  <si>
    <t>1231; 425; 22 АВ 164565; 22-22-29/028/2011-727</t>
  </si>
  <si>
    <t>1.12.0648.К</t>
  </si>
  <si>
    <t>22:72:010316:17</t>
  </si>
  <si>
    <t>Артезианская скважина №1-190</t>
  </si>
  <si>
    <t>г. Яровое, район СНТ "Химик", артез. скв. № 1-190 с павильоном</t>
  </si>
  <si>
    <t>08.12.2011; 13.09.2011; 16.03.2010;  15.12.2011</t>
  </si>
  <si>
    <t>1231; 425;  22 АВ 164564; 22-22-29/028/2011-726</t>
  </si>
  <si>
    <t>1.12.0649.К</t>
  </si>
  <si>
    <t>22:72:010316:12</t>
  </si>
  <si>
    <t>Артезианская скважина №1-337</t>
  </si>
  <si>
    <t>г. Яровое, район СНТ "Химик", артез. скв. № 1-337 с павильоном</t>
  </si>
  <si>
    <t>08.12.2011; 13.09.2011; 25.03.2010; 15.12.2011</t>
  </si>
  <si>
    <t>1231; 425;  22 АВ 178010; 22-22-29/028/2011-725</t>
  </si>
  <si>
    <t>1.12.0650.К</t>
  </si>
  <si>
    <t>22:72:010316:16</t>
  </si>
  <si>
    <t>Артезианская скважина №1-606</t>
  </si>
  <si>
    <t>Глубина 150м.</t>
  </si>
  <si>
    <t>г. Яровое, район СНТ "Химик", артез. скв. № 1-606, куст</t>
  </si>
  <si>
    <t>1231; 425; 22 АВ 164568; 22-22-29/028/2011-724</t>
  </si>
  <si>
    <t>1.12.0651.К</t>
  </si>
  <si>
    <t>22:72:010316:8</t>
  </si>
  <si>
    <t>Скважина №4638</t>
  </si>
  <si>
    <t>Глубина 70м.</t>
  </si>
  <si>
    <t xml:space="preserve">г.Яровое, район СНТ "Химик", скважина 4638 </t>
  </si>
  <si>
    <t>08.12.2011; 13.09.2011; 23.03.2010; 15.12.2011</t>
  </si>
  <si>
    <t>1231; 425; 22 АВ 166655; 22-22-29/028/2011-723</t>
  </si>
  <si>
    <t>1.12.0652.К</t>
  </si>
  <si>
    <t>22:72:020202:280</t>
  </si>
  <si>
    <t>Скважина №4639</t>
  </si>
  <si>
    <t xml:space="preserve">Глубина 70м. </t>
  </si>
  <si>
    <t>г.Яровое, район СНТ "Химик", скважина 4639</t>
  </si>
  <si>
    <t>1231; 425; 22 АВ 166650; 22-22-29/028/2011-722</t>
  </si>
  <si>
    <t>1.12.0653.К</t>
  </si>
  <si>
    <t>22:72:020202:246</t>
  </si>
  <si>
    <t>Скважина №4640</t>
  </si>
  <si>
    <t xml:space="preserve">глубина 70м. </t>
  </si>
  <si>
    <t>г.Яровое, район СНТ "Химик", скважина 4640</t>
  </si>
  <si>
    <t>1231; 425; 22 АВ 166651; 22-22-29/028/2011-721</t>
  </si>
  <si>
    <t>1.12.0654.К</t>
  </si>
  <si>
    <t>22:72:020202:262</t>
  </si>
  <si>
    <t>Скважина №4641</t>
  </si>
  <si>
    <t>г.Яровое, район СНТ "Химик", скважина 4641</t>
  </si>
  <si>
    <t>1231; 425; 22 АВ 166652; 22-22-29/028/2011-720</t>
  </si>
  <si>
    <t>1.12.0655.К</t>
  </si>
  <si>
    <t>22:72:010316:9</t>
  </si>
  <si>
    <t>Скважина №4642</t>
  </si>
  <si>
    <t>г.Яровое, район СНТ "Химик", скважина 4642</t>
  </si>
  <si>
    <t>1231; 425; 22 АВ 166653; 22-22-29/028/2011-719</t>
  </si>
  <si>
    <t>1.12.0656.К</t>
  </si>
  <si>
    <t>22:72:020101:85</t>
  </si>
  <si>
    <t>Скважина артезианская БР 212</t>
  </si>
  <si>
    <t>Литер XV. Куст, глубина 70м. инв.№ 01:430:003:000002430, (кадастр.номер зем.уч.22:72:020101:66, S = 25 м3)</t>
  </si>
  <si>
    <t>г.Яровое, ул. Гагарина, артез. скв. БР 212, куст</t>
  </si>
  <si>
    <t>15.12.2014; 15.04.2020</t>
  </si>
  <si>
    <t>1165; 320</t>
  </si>
  <si>
    <t>08.12.2011; 13.09.2011; 15.12.2011</t>
  </si>
  <si>
    <t>1231; 425; 22 АВ 860456; 22-22-29/028/2011-718</t>
  </si>
  <si>
    <t>1.12.0657.К</t>
  </si>
  <si>
    <t>22:72:010316:6</t>
  </si>
  <si>
    <t>Скважина №4686</t>
  </si>
  <si>
    <t>куст.глубина 800м.</t>
  </si>
  <si>
    <t>г. Яровое, район СНТ "Химик", скважина 4686(800м)</t>
  </si>
  <si>
    <t>постановление; распоряжение (край)</t>
  </si>
  <si>
    <t>08.12.2011; 13.09.2011; 15.04.2020</t>
  </si>
  <si>
    <t>1231;425 ; 320</t>
  </si>
  <si>
    <t>08.12.2011; 13.09.2011; 29.12.2010; 15.12.2011</t>
  </si>
  <si>
    <t>1231; 425; 22АВ 526314; 22-22-29/028/2011-717</t>
  </si>
  <si>
    <t>1.12.0658.К</t>
  </si>
  <si>
    <t>22:72:020202:462</t>
  </si>
  <si>
    <t>Скважина №4685</t>
  </si>
  <si>
    <t xml:space="preserve">глубина 800м. </t>
  </si>
  <si>
    <t>Промзона</t>
  </si>
  <si>
    <t>08.12.2011; 13.09.2011</t>
  </si>
  <si>
    <t xml:space="preserve">1231;425 </t>
  </si>
  <si>
    <t>08.12.2011; 13.09.2011; 12.07.2011; 15.12.2011</t>
  </si>
  <si>
    <t>1231; 425; 22АВ 883734 (рег.№ В12220009734); 22-22-29/028/2011-716</t>
  </si>
  <si>
    <t>1.12.0659</t>
  </si>
  <si>
    <t>ТП-284</t>
  </si>
  <si>
    <t>КТПН, сооружение металлическое (2,2*2,0) h=2,0</t>
  </si>
  <si>
    <t>ул.Заводская (коттеджи)</t>
  </si>
  <si>
    <t>постановление; акт</t>
  </si>
  <si>
    <t>06.10.2011;     29.09.2011</t>
  </si>
  <si>
    <t>1.12.0670</t>
  </si>
  <si>
    <t>ТП-260</t>
  </si>
  <si>
    <t>здание кирпичное, перекрытие ЖБИ, кровля мягкая (10,0*5,2) h=3,1, 6 шт ЩО-59</t>
  </si>
  <si>
    <t>западная сторона д.9 кв.А</t>
  </si>
  <si>
    <t>хозяйственное ведение (уставной фонд)/ аренда</t>
  </si>
  <si>
    <t>09.06.2012; 02.05.2017</t>
  </si>
  <si>
    <t>549; 37-юр</t>
  </si>
  <si>
    <t>1.12.0772</t>
  </si>
  <si>
    <t>Ворота с элементами забора ограждения</t>
  </si>
  <si>
    <t>2-е ворот размером 5*1,5м, две калитки 1*1,5м, элементы ограждения с северной стороны дл.14м и западной стороны дл.16м</t>
  </si>
  <si>
    <t>1.12.0773.К</t>
  </si>
  <si>
    <t>Карманы остановочные</t>
  </si>
  <si>
    <t>12-2012</t>
  </si>
  <si>
    <t>33,6 кв.м. Плиты на земле рядом с автобусными остановками</t>
  </si>
  <si>
    <t>ул.Мира, шк. 14</t>
  </si>
  <si>
    <t>1.12.0774.К</t>
  </si>
  <si>
    <t>29,4 кв.м. Плиты на земле рядом с автобусными остановками</t>
  </si>
  <si>
    <t>ул.Мира, шк. 19</t>
  </si>
  <si>
    <t>1.12.0775</t>
  </si>
  <si>
    <t>22:72:020101:306</t>
  </si>
  <si>
    <t>Скотомогильник</t>
  </si>
  <si>
    <t>объем 20 м3, вес 4,68 тн б/у</t>
  </si>
  <si>
    <t>Российская Федерация, Алтайский край, г.Яровое, ул.Трасса Яровое-Славгород, сооружение 7 (примерно в 2379 м по направлению на северо-восток от ул.Чапаева №2)</t>
  </si>
  <si>
    <t>29.11.2013; 12.05.2022</t>
  </si>
  <si>
    <t>1175; 345</t>
  </si>
  <si>
    <t>29.12.2012; 28.04.2022</t>
  </si>
  <si>
    <t>1278; 22:72:020101:306-22/133/2022-1</t>
  </si>
  <si>
    <t>1.12.0777.К</t>
  </si>
  <si>
    <t>Площадки посадочные</t>
  </si>
  <si>
    <t>Плиты на земле рядом с автобусными остановками</t>
  </si>
  <si>
    <t>ул.Садовая, 18</t>
  </si>
  <si>
    <t>1.12.0778.К</t>
  </si>
  <si>
    <t>ул.Первомайская, 57</t>
  </si>
  <si>
    <t>1.12.0779.К</t>
  </si>
  <si>
    <t>ул.Мира-Перекопская</t>
  </si>
  <si>
    <t>1.12.0780.К</t>
  </si>
  <si>
    <t>ул.Вольфа, 52</t>
  </si>
  <si>
    <t>1.12.0783</t>
  </si>
  <si>
    <t>ТП 278 - корпус ТП металлический</t>
  </si>
  <si>
    <t>сооружение металлическое</t>
  </si>
  <si>
    <t>ул.Гагарина, 1л</t>
  </si>
  <si>
    <t>1.12.0784</t>
  </si>
  <si>
    <t>ТП 281 - корпус КТПН</t>
  </si>
  <si>
    <t>ул.Гагарина, 1с</t>
  </si>
  <si>
    <t>1.12.0785</t>
  </si>
  <si>
    <t>перекресток ул.Заводская-ул.Алтайская</t>
  </si>
  <si>
    <t>1.12.0786</t>
  </si>
  <si>
    <t>ТП 286 - 4 ячейки кустарного производства</t>
  </si>
  <si>
    <t>сетчатое ограждение, металл.ячейки</t>
  </si>
  <si>
    <t>ул.Барнаульская, возле дома 19</t>
  </si>
  <si>
    <t>1.12.0787</t>
  </si>
  <si>
    <t>ТП 287 - 4 ячейки кустарного производства</t>
  </si>
  <si>
    <t>ул.Ленина, напротив стр.16</t>
  </si>
  <si>
    <t>1.12.0788</t>
  </si>
  <si>
    <t>ТП 289 - 8 ячейки кустарного производства</t>
  </si>
  <si>
    <t>ул.Северная, водозабор</t>
  </si>
  <si>
    <t>1.12.0789</t>
  </si>
  <si>
    <t>ТП-202 корпус РУ-6В из КТПН</t>
  </si>
  <si>
    <t>перекресток ул.Чапаева-ул.Менделеева</t>
  </si>
  <si>
    <t>1.12.0790</t>
  </si>
  <si>
    <t>ТП 279 - корпус КТПН</t>
  </si>
  <si>
    <t>ул.Гагарина, 1г</t>
  </si>
  <si>
    <t>1.12.0791</t>
  </si>
  <si>
    <t>ТП 299 - корпус КТПН</t>
  </si>
  <si>
    <t>перекресток ул.Мира-ул.Северная</t>
  </si>
  <si>
    <t>1.12.0792</t>
  </si>
  <si>
    <t>ЦРП 17- корпус ЦРП металлический</t>
  </si>
  <si>
    <t>перекресток ул.Гагарина-ул.Заводская</t>
  </si>
  <si>
    <t>1.12.0793</t>
  </si>
  <si>
    <t>Стелла "Яровое"</t>
  </si>
  <si>
    <t>инв. 89500315</t>
  </si>
  <si>
    <t>Яровское шоссе</t>
  </si>
  <si>
    <t>акт ввода в эксплуатацию</t>
  </si>
  <si>
    <t>1.12.0795.К</t>
  </si>
  <si>
    <t>22:72:060201:1573</t>
  </si>
  <si>
    <t>Артезианская скважина развед. - эксплуатац. № 1-94, куст</t>
  </si>
  <si>
    <t>Глубина 300 м</t>
  </si>
  <si>
    <t>г. Яровое, восточная часть города - водозабор</t>
  </si>
  <si>
    <t>26.02.2015; 15.04.2020</t>
  </si>
  <si>
    <t>225; 320</t>
  </si>
  <si>
    <t>15.02.2018; 15.12.2014; 19.01.2015</t>
  </si>
  <si>
    <t>22:72:060201:1573-22/024/2018-2; 784</t>
  </si>
  <si>
    <t>1.12.0796.К</t>
  </si>
  <si>
    <t>22:72:060201:1574</t>
  </si>
  <si>
    <t>Артезианская скважина развед. - эксплуатац. № 4804, куст</t>
  </si>
  <si>
    <t>Глубина 160 м</t>
  </si>
  <si>
    <t>22:72:060201:1574-22/024/2018-2; 784</t>
  </si>
  <si>
    <t>1.12.0797</t>
  </si>
  <si>
    <t>22:72:010202:68</t>
  </si>
  <si>
    <t>Скважина № 4803 куст -2</t>
  </si>
  <si>
    <t>Глубина 750 м</t>
  </si>
  <si>
    <t>г.Яровое, ул.Заводская, скважина № 4803</t>
  </si>
  <si>
    <t>22:72:010202:68-22/024/2018-3; 784</t>
  </si>
  <si>
    <t>1.12.0798.К</t>
  </si>
  <si>
    <t>22:72:010316:14</t>
  </si>
  <si>
    <t>Артезианская скважина №  1- 96 куст 5</t>
  </si>
  <si>
    <t>г. Яровое, район СНТ "Химик", артез.скважина № 1-96, куст 5</t>
  </si>
  <si>
    <t>22:72:010316:14-22/024/2018-2; 784</t>
  </si>
  <si>
    <t>1.12.0799.К</t>
  </si>
  <si>
    <t>22:72:010316:11</t>
  </si>
  <si>
    <t xml:space="preserve">Артезианская скважина №  1- 360 с павильоном дачи, куст </t>
  </si>
  <si>
    <t>Павильон - S застройки = 9,0 кв.м, глубина 300 м</t>
  </si>
  <si>
    <t>г.Яровое, район СНТ "Химик", артез.скважина № 1-360 с павильоном</t>
  </si>
  <si>
    <t>22:72:010316:11-22/024/2018-2; 784</t>
  </si>
  <si>
    <t>1.12.0800.К</t>
  </si>
  <si>
    <t>22:72:010316:18</t>
  </si>
  <si>
    <t xml:space="preserve">Артезианская скважина №  1- 200 с павильоном дачи, куст </t>
  </si>
  <si>
    <t>г.Яровое, район СНТ "Химик", артез.скважина № 1-200 с павильоном</t>
  </si>
  <si>
    <t>22:72:010316:18-22/024/2018-2; 784</t>
  </si>
  <si>
    <t>1.12.0801.К</t>
  </si>
  <si>
    <t>22:72:010202:70</t>
  </si>
  <si>
    <t>Скважина 4264 куст</t>
  </si>
  <si>
    <t>Глубина - 150 м</t>
  </si>
  <si>
    <t>г.Яровое, ул.Заводская, скважина 4264 (150 м) куст 2з</t>
  </si>
  <si>
    <t>22:72:010202:70-22/024/2018-2; 784</t>
  </si>
  <si>
    <t>1.12.0802.К</t>
  </si>
  <si>
    <t>22:72:010202:69</t>
  </si>
  <si>
    <t>Скважина 4263 куст</t>
  </si>
  <si>
    <t>Глубина - 300 м</t>
  </si>
  <si>
    <t>г.Яровое, ул.Заводская, скважина 4263 (300 м) куст 2а</t>
  </si>
  <si>
    <t>22:72:010202:69-22/024/2018-2; 784</t>
  </si>
  <si>
    <t>1.12.0803.К</t>
  </si>
  <si>
    <t>22:72:080101:43</t>
  </si>
  <si>
    <t>Скважина 4657 куст</t>
  </si>
  <si>
    <t>г.Яровое, ул.Заводская, скважина 4657 (150 м) куст 1з</t>
  </si>
  <si>
    <t>22:72:080101:43-22/024/2018-2; 784</t>
  </si>
  <si>
    <t>1.12.0804.К</t>
  </si>
  <si>
    <t>22:72:020101:79</t>
  </si>
  <si>
    <t>Скважина 4141 куст</t>
  </si>
  <si>
    <t xml:space="preserve">г.Яровое, восточная часть города, скважина 4141 (150 м) куст 6а </t>
  </si>
  <si>
    <t>22:72:020101:79-22/024/2018-2; 784</t>
  </si>
  <si>
    <t>1.12.0805.К</t>
  </si>
  <si>
    <t>22:72:010316:7</t>
  </si>
  <si>
    <t xml:space="preserve">Артезианская скважина №  1- 191 с павильоном дачи  </t>
  </si>
  <si>
    <t>Павильон - S застройки = 9,0 кв.м</t>
  </si>
  <si>
    <t>г.Яровое, район СНТ "Химик", артез.скважина № 1-191 с павильоном</t>
  </si>
  <si>
    <t xml:space="preserve"> 15.02.2018; 15.12.2014; 19.01.2015</t>
  </si>
  <si>
    <t>22:72:010316:7 22/024/2018-2; 784</t>
  </si>
  <si>
    <t>1.12.0806</t>
  </si>
  <si>
    <t>22:72:060201:1563</t>
  </si>
  <si>
    <t>Ограждение территории водозаборных сооружений</t>
  </si>
  <si>
    <t>восточная часть города- водозабор</t>
  </si>
  <si>
    <t>19.10.2016; 27.03.2020</t>
  </si>
  <si>
    <t>1102; 280</t>
  </si>
  <si>
    <t>22:72:060201:1563 -22/024/2018-2; 784</t>
  </si>
  <si>
    <t>1.12.0809</t>
  </si>
  <si>
    <t>Тепловой пункт</t>
  </si>
  <si>
    <t xml:space="preserve">Повысительная сетевая насосная станция (ПСНС) «Западная». 
1.1.  Помещение: Размер 570х570см, фундамент – бетон, стены – ж/б панели, перекрытие – ж/б плиты - пустотки, кровля наплавля-емая мягкая,  дверь металлическая стальная. 
</t>
  </si>
  <si>
    <t>Расположена по ул.Мира, с юго-западной стороны МБУ СОШ № 19, на магистральной тепловой сети в р-не ТК-334.</t>
  </si>
  <si>
    <t>1.12.0810</t>
  </si>
  <si>
    <t>Помещение поста охраны (проходная)</t>
  </si>
  <si>
    <t xml:space="preserve">инв.13601462. Модуль проходная. Размер 6,00х2,5х2,65 </t>
  </si>
  <si>
    <t>Предзаводская пл.2</t>
  </si>
  <si>
    <t>1.12.0811</t>
  </si>
  <si>
    <t>Фонтан</t>
  </si>
  <si>
    <t>площадь им.Ленина</t>
  </si>
  <si>
    <t>Постановление ВС РФ</t>
  </si>
  <si>
    <t>3020-1</t>
  </si>
  <si>
    <t>1.12.0812</t>
  </si>
  <si>
    <t>Площадка сценическая</t>
  </si>
  <si>
    <t>11-2017</t>
  </si>
  <si>
    <t xml:space="preserve">Сценическая площадка, установленная на  площади им. Ленина в городе Яровое Алтайского края представляет собой металлическую конструкцию арочного типа с облицовкой оцинкованными профилированными листами  С21-1000-0,5 с полимерным покрытием.
Фундаменты: железобетонные 
бетон: класс В12,5, М150,
арматура: сетка из горячекатанной арматурной стали гладкой  класс А-1 диаметр 16мм.
Металлоконструкции: опорные стойки из трубы ст. Ø57х3,5мм,
прогоны под помост сцены- балки из швеллера 14 и двутавра 14,
связи из уголка ст.L35х35 и ст. L45х45;
арочные конструкции ферм -профиль ст.□ 20х50х3; труба ст.Ø76х3,5;  Ø32х2,8; Ø57х3,5; Ø25х3; 
прогоны по фермам из ст.□ 20х40х2.5;
лестницы - ст.L55х55;сСт. швеллер 12; поручень- профиль ст. □ 20х20х2,5.
Покрытие сцены: влагостойкая фанера толщиной 21мм, сорт F/F по лагам  из бруса обрезного 50х70 (лиственница, сорт 1-2),
</t>
  </si>
  <si>
    <t>ЭА-0120170117</t>
  </si>
  <si>
    <t>1.12.0813.К</t>
  </si>
  <si>
    <t>ул.Комарова (напротив д.17 кв."А"), пл.Предзаводская, 1</t>
  </si>
  <si>
    <t>1.12.0813</t>
  </si>
  <si>
    <t>1. ул.Мира (напротив д.9 кв."В"), 2. ул.Михайловская, 3.,4. ул.Северная (напротив водозабора)- 2 шт., 5. ул.40 лет Октября напротив д.14 кв."В"), 6. ул.Алтайская, 7. ул.Алтайская-ул.40 лет Октября, 8. ул.40 лет Октября (напротив магазина "Стройматериалы"), 9. Трасса Яровое- Славгород ( первая от стеллы "Яровое")</t>
  </si>
  <si>
    <t>06.04.2018, 17.11.2020</t>
  </si>
  <si>
    <t>272, 956</t>
  </si>
  <si>
    <t>1.12.0814</t>
  </si>
  <si>
    <t>Система автоматического полива городского парка культуры и отдыха</t>
  </si>
  <si>
    <t xml:space="preserve">Основные блоки системы автоматического полива:
1) Щит управления системой с контроллером Rain Bird ESP-RZXe-1шт.; 2) Емкость гидроаккумулятора с электромагнитным клапаном автонаполнения-1 шт.; .3) Система трубопроводов -1 шт.
4) Электрогидроклапаны с подключеными роторами-дождевателями-по 6шт.
5) Система кабельных линий, связывающие электрогидроклапана и щит управления-1 шт.
6) Насос Grundfos CR10-10, производительностью 10м3 в час и давлением в 10мПа
</t>
  </si>
  <si>
    <t>г.Яровое, Парк Культуры и Отдыха</t>
  </si>
  <si>
    <t>07.06.2018; 19.09.2018</t>
  </si>
  <si>
    <t>537; 896</t>
  </si>
  <si>
    <t>30.05.2018; 30.08.2018</t>
  </si>
  <si>
    <t xml:space="preserve">результаты инвентаризации; акт ввода в эксплуатацию </t>
  </si>
  <si>
    <t>ЭА-0120180102</t>
  </si>
  <si>
    <t>1.12.0815</t>
  </si>
  <si>
    <t xml:space="preserve">Скамья на железобетонных ножках </t>
  </si>
  <si>
    <t>г.Яровое, площадь им.Ленина</t>
  </si>
  <si>
    <t>результаты инвентаризации</t>
  </si>
  <si>
    <t>1.12.0816</t>
  </si>
  <si>
    <t>Система автоматического полива городского парка Культуры и Отдыха 2-ая очередь</t>
  </si>
  <si>
    <t>инв.10113135. Основные блоки системы: 1). Контроллер Rain Bird ESP-1 шт.; 2). Электромагнитный клапан -6 шт.; 3). Датчик дождя - 1 шт.; 4). Ротор - 6 шт.; 5). Седельный отвод 63*1- 6 шт.; 6). Угловой фитинг - 2 шт.; 7). Т-образный фитинг - 2 шт.; 8). Соединительный фитинг - 3 шт.; 9). Заглушка - 2 шт.</t>
  </si>
  <si>
    <t>1.12.0817.К</t>
  </si>
  <si>
    <t xml:space="preserve">Скамья индивидуальная </t>
  </si>
  <si>
    <t>инв.11013000026.</t>
  </si>
  <si>
    <t>г.Яровое, кв.Б (по периметру клумбы возле магазина "Базис, Мария-Ра)</t>
  </si>
  <si>
    <t>1.12.0818</t>
  </si>
  <si>
    <t xml:space="preserve">Подъезды, отмостка (ТЭЦ промышленно-отопительная),
Литер А2
</t>
  </si>
  <si>
    <t>инв.10001278. Фундамент - асфальт</t>
  </si>
  <si>
    <t>29/08-2020</t>
  </si>
  <si>
    <t>1.12.0819</t>
  </si>
  <si>
    <t xml:space="preserve">Галерея ТЭЦ 3-я очередь,
Литер А5
</t>
  </si>
  <si>
    <t xml:space="preserve">инв.10001281. Фундамент – бетонный, стены – кирпич, перекрытия -  ЖБИ, кровля – мягкая, коммуникации – свет.
</t>
  </si>
  <si>
    <t>1.12.0820</t>
  </si>
  <si>
    <t>22:72:000000:31</t>
  </si>
  <si>
    <t>Рапонасосное сооружение (насосная станция, рапонасосное отделение), Литер Б-Б1</t>
  </si>
  <si>
    <t xml:space="preserve">инв.10001282. Фундамент – бетонный, стены – кирпич, перекрытия -  ЖБИ, 
кровля – мягкая, коммуникации – свет. Объект поставлен на кадастровый учет в комплексе ТЭЦ как единое нежвижимое имущество и зарегистроровано хоз.ведении МУП "ЯТЭК", поэтому постановка на учет как отдельные объекты невоможна. (скан в пульс про)
</t>
  </si>
  <si>
    <t xml:space="preserve">Российская Федерация, Алтайский край, г. Яровое, пл Предзаводская, 2/19 (ТЭЦ) </t>
  </si>
  <si>
    <t>отчет об оценке рыночной стоимости имущества; св-во госуд.регистрации</t>
  </si>
  <si>
    <t>14.08.2020; 26.09.2012</t>
  </si>
  <si>
    <t>29/08-2020; 22 АГ 255629</t>
  </si>
  <si>
    <t>1.12.0821</t>
  </si>
  <si>
    <t>Рапоподводящий канал (рапонасосное отделение), Литер Б-Б1</t>
  </si>
  <si>
    <t xml:space="preserve">инв.10001283. Фундамент – бетонный. Объект поставлен на кадастровый учет в комплексе ТЭЦ как единое нежвижимое имущество и зарегистроровано хоз.ведении МУП "ЯТЭК", поэтому постановка на учет как отдельные объекты невоможна. (скан в пульс про)
</t>
  </si>
  <si>
    <t>1.12.0822</t>
  </si>
  <si>
    <t>Эстакада 2-го подъема (дробильное отделение), Литер Ж</t>
  </si>
  <si>
    <t xml:space="preserve">инв.10001289. Фундамент – бетонный, стены – кирпич, перекрытия -  ЖБИ, кровля – мягкая, коммуникации – свет.
</t>
  </si>
  <si>
    <t>1.12.0823</t>
  </si>
  <si>
    <t>Безъемкостное сооружение 3-я очередь углеподача, Литер З-З2</t>
  </si>
  <si>
    <t xml:space="preserve">инв.10001290. Фундамент – бетонный, стены – кирпич, перекрытия -  ЖБИ, кровля – мягкая, коммуникации – все.
</t>
  </si>
  <si>
    <t>1.12.0824</t>
  </si>
  <si>
    <t>Золоотвал гидрозолоудаление ТЭЦ 3-я очередь (золошлакоотвод, земляная дамба), Литер 1, 3</t>
  </si>
  <si>
    <t xml:space="preserve">инв.10001293. Фундамент – бетонный, стены – металл
</t>
  </si>
  <si>
    <t>1.12.0825</t>
  </si>
  <si>
    <t>Автодорога, подъезды (железная дорога), Литер 2</t>
  </si>
  <si>
    <t>инв.10001294</t>
  </si>
  <si>
    <t>1.12.0826</t>
  </si>
  <si>
    <t>Дымовая труба ж/б 3-я очередь (башни дымоходов 150м, 40м), Литер 4, 6</t>
  </si>
  <si>
    <t xml:space="preserve">инв.10001295. Фундамент – бетонный, 
стены – кирпич.
</t>
  </si>
  <si>
    <t>1.12.0827</t>
  </si>
  <si>
    <t>Металлоконструкции для бсл.обор.(к/парк)</t>
  </si>
  <si>
    <t>инв.37046809. Металлоконструкция для обслуживания емкостей Е1 и Е2</t>
  </si>
  <si>
    <t>1.12.0828</t>
  </si>
  <si>
    <t>Трубопроводы машинного зала</t>
  </si>
  <si>
    <t>инв.37022507. Трубопровод 6 атм. 6п-20</t>
  </si>
  <si>
    <t>1.12.0829</t>
  </si>
  <si>
    <t>Трубопроводы питательных установок</t>
  </si>
  <si>
    <t>инв.37022007. Линия ОД.Всасывающая линия питательных насосов.</t>
  </si>
  <si>
    <t>Подраздел 1.13 "Автомобильные дороги"</t>
  </si>
  <si>
    <t>1.13.00001.К</t>
  </si>
  <si>
    <t>Автомобильная дорога</t>
  </si>
  <si>
    <t>Покрытие: асфальто-бетонное - 2,5 км; грунтовое -2,1 км</t>
  </si>
  <si>
    <t>ул.Мира</t>
  </si>
  <si>
    <t>31.01.2019; 03.12.2019</t>
  </si>
  <si>
    <t>112; 994</t>
  </si>
  <si>
    <t>1.13.00002.К</t>
  </si>
  <si>
    <t>Покрытие: асфальто-бетонное - 2,2 км; грунтовое -1,2 км</t>
  </si>
  <si>
    <t>1.13.00003.К</t>
  </si>
  <si>
    <t>Покрытие: асфальто-бетонное - 0,8 км; грунтовое -2,4 км</t>
  </si>
  <si>
    <t>ул.Комарова</t>
  </si>
  <si>
    <t>1.13.00004.К</t>
  </si>
  <si>
    <t>Покрытие: асфальто-бетонное - 0,9 км</t>
  </si>
  <si>
    <t>ул.Каниболотского</t>
  </si>
  <si>
    <t>31.01.2019; 03.12.2019; 27.09.2021</t>
  </si>
  <si>
    <t>112; 994; 701</t>
  </si>
  <si>
    <t>1.13.00005.К</t>
  </si>
  <si>
    <t>Покрытие: асфальто-бетонное - 1,9 км</t>
  </si>
  <si>
    <t>1.13.00006.К</t>
  </si>
  <si>
    <t>1.13.00007.К</t>
  </si>
  <si>
    <t>Покрытие: асфальто-бетонное - 1,8 км</t>
  </si>
  <si>
    <t>1.13.00008.К</t>
  </si>
  <si>
    <t>1.13.00009.К</t>
  </si>
  <si>
    <t>1.13.0010.К</t>
  </si>
  <si>
    <t>Покрытие: грунтовое - 0,6 км</t>
  </si>
  <si>
    <t>1.13.0011.К</t>
  </si>
  <si>
    <t>1.13.0012.К</t>
  </si>
  <si>
    <t>Покрытие: асфальто-бетонное - 0,2 км</t>
  </si>
  <si>
    <t>ул.Зеленая</t>
  </si>
  <si>
    <t>1.13.0013.К</t>
  </si>
  <si>
    <t>Покрытие: асфальто-бетонное - 2,4 км</t>
  </si>
  <si>
    <t>1.13.0014.К</t>
  </si>
  <si>
    <t>Покрытие: асфальто-бетонное - 1,3 км</t>
  </si>
  <si>
    <t xml:space="preserve">ул.Алтайская </t>
  </si>
  <si>
    <t>1.13.0015.К</t>
  </si>
  <si>
    <t>Покрытие: асфальто-бетонное - 1,4 км</t>
  </si>
  <si>
    <t>1.13.0016.К</t>
  </si>
  <si>
    <t>Покрытие: асфальто-бетонное - 2,6 км</t>
  </si>
  <si>
    <t>1.13.0017.К</t>
  </si>
  <si>
    <t>Покрытие: асфальто-бетонное - 3,0 км</t>
  </si>
  <si>
    <t>ул.Северная</t>
  </si>
  <si>
    <t>1.13.0018.К</t>
  </si>
  <si>
    <t>Покрытие: асфальто-бетонное - 0,45 км; грунтовое - 0,45 км</t>
  </si>
  <si>
    <t>ул.Шукшина</t>
  </si>
  <si>
    <t>1.13.0019.К</t>
  </si>
  <si>
    <t>Покрытие: грунтовое - 0,9 км</t>
  </si>
  <si>
    <t>ул.Пограничная</t>
  </si>
  <si>
    <t>1.13.0020.К</t>
  </si>
  <si>
    <t>1.13.0021.К</t>
  </si>
  <si>
    <t>ул.Химиков</t>
  </si>
  <si>
    <t>1.13.0022.К</t>
  </si>
  <si>
    <t>ул.Солнечная</t>
  </si>
  <si>
    <t>1.13.0023.К</t>
  </si>
  <si>
    <t>ул.Комсомольская</t>
  </si>
  <si>
    <t>1.13.0024.К</t>
  </si>
  <si>
    <t>ул.Социалистическая</t>
  </si>
  <si>
    <t>1.13.0025.К</t>
  </si>
  <si>
    <t>1.13.0026.К</t>
  </si>
  <si>
    <t>ул.Бийская</t>
  </si>
  <si>
    <t>1.13.0027.К</t>
  </si>
  <si>
    <t>Покрытие: грунтовое - 1,0 км</t>
  </si>
  <si>
    <t>ул.Крымская</t>
  </si>
  <si>
    <t>1.13.0028.К</t>
  </si>
  <si>
    <t>ул.Звездная</t>
  </si>
  <si>
    <t>1.13.0029.К</t>
  </si>
  <si>
    <t>ул.Полевая</t>
  </si>
  <si>
    <t>1.13.0030.К</t>
  </si>
  <si>
    <t>ул.Сибирская</t>
  </si>
  <si>
    <t>1.13.0031.К</t>
  </si>
  <si>
    <t>ул.Российская</t>
  </si>
  <si>
    <t>1.13.0032.К</t>
  </si>
  <si>
    <t>ул.Михайловская</t>
  </si>
  <si>
    <t>1.13.0033.К</t>
  </si>
  <si>
    <t>ул.Целинная</t>
  </si>
  <si>
    <t>1.13.0034.К</t>
  </si>
  <si>
    <t>Покрытие: грунтовое - 0,4 км</t>
  </si>
  <si>
    <t>ул.Новая</t>
  </si>
  <si>
    <t>1.13.0035.К</t>
  </si>
  <si>
    <t>ул.Советская</t>
  </si>
  <si>
    <t>1.13.0036.К</t>
  </si>
  <si>
    <t>Покрытие: грунтовое - 0,2 км</t>
  </si>
  <si>
    <t>ул.Больничная</t>
  </si>
  <si>
    <t>1.13.0037.К</t>
  </si>
  <si>
    <t>ул.Центральная</t>
  </si>
  <si>
    <t>1.13.0038.К</t>
  </si>
  <si>
    <t>Покрытие: грунтовое - 0,5 км</t>
  </si>
  <si>
    <t>ул.Западная</t>
  </si>
  <si>
    <t>1.13.0039.К</t>
  </si>
  <si>
    <t>ул.Снежная</t>
  </si>
  <si>
    <t>1.13.0040.К</t>
  </si>
  <si>
    <t>ул.Парковая</t>
  </si>
  <si>
    <t>1.13.0041.К</t>
  </si>
  <si>
    <t>ул.Покровский бульвар</t>
  </si>
  <si>
    <t>1.13.0042.К</t>
  </si>
  <si>
    <t>ул.Партизанская</t>
  </si>
  <si>
    <t>1.13.0043.К</t>
  </si>
  <si>
    <t>ул.Цветочная</t>
  </si>
  <si>
    <t>1.13.0044.К</t>
  </si>
  <si>
    <t>ул.Вольфа</t>
  </si>
  <si>
    <t>1.13.0045.К</t>
  </si>
  <si>
    <t>Покрытие: асфальто-бетонное - 2,8 км. От поста ГАИ до свинокомплекса</t>
  </si>
  <si>
    <t>Промышленная магистраль</t>
  </si>
  <si>
    <t>1.13.0046.К</t>
  </si>
  <si>
    <t>Покрытие: грунтовое - 0,8 км</t>
  </si>
  <si>
    <t>дорога на полигон ТБО</t>
  </si>
  <si>
    <t>1.13.0047.К</t>
  </si>
  <si>
    <t>Покрытие: грунтовое - 3,0 км</t>
  </si>
  <si>
    <t>объездная дорога на Славгород</t>
  </si>
  <si>
    <t>1.13.0048.К</t>
  </si>
  <si>
    <t>Покрытие: грунтовое - 4,9 км</t>
  </si>
  <si>
    <t>дороги садово-товарищеского общества</t>
  </si>
  <si>
    <t>1.13.0049.К</t>
  </si>
  <si>
    <t>Покрытие: асфальто-бетонное - 2,5 км</t>
  </si>
  <si>
    <t>дорога на кладбище</t>
  </si>
  <si>
    <t>1.13.0050.К</t>
  </si>
  <si>
    <t>Покрытие: асфальто-бетонное - 0,5 км</t>
  </si>
  <si>
    <t>дорога на АХП, ЯТЭК от трассы</t>
  </si>
  <si>
    <t>1.13.0051.К</t>
  </si>
  <si>
    <t>Покрытие: асфальто-бетонное - 0,7 км</t>
  </si>
  <si>
    <t>дорога от Предзаводской площади вдоль забора АХП на озеро</t>
  </si>
  <si>
    <t>1.13.0052.К</t>
  </si>
  <si>
    <t>Покрытие: асфальто-бетонное - 0,3 км</t>
  </si>
  <si>
    <t>дорога до ц.33 АХП</t>
  </si>
  <si>
    <t>1.13.0053.К</t>
  </si>
  <si>
    <t>дорога на АХП (пост № 3)</t>
  </si>
  <si>
    <t>1.13.0054.К</t>
  </si>
  <si>
    <t>Покрытие: грунтовое - 3,2 км</t>
  </si>
  <si>
    <t>объездная дорога вокруг АХП от ц.43 до проходной</t>
  </si>
  <si>
    <t>1.13.0055.К</t>
  </si>
  <si>
    <t>Покрытие: грунтовое - 4,0 км</t>
  </si>
  <si>
    <t>проезд индустриальный</t>
  </si>
  <si>
    <t>1.13.0056.К</t>
  </si>
  <si>
    <t>Покрытие: грунтовое - 4,7 км</t>
  </si>
  <si>
    <t>дорога от промплощадки треста до очистных сооружений</t>
  </si>
  <si>
    <t>1.13.0057.К</t>
  </si>
  <si>
    <t>Покрытие: грунтовое - 1,6 км</t>
  </si>
  <si>
    <t>дорога на выезд к преезду в Табуны</t>
  </si>
  <si>
    <t>1.13.0058.К</t>
  </si>
  <si>
    <t>дорога между дорогами на Райгород  и Екатериновку</t>
  </si>
  <si>
    <t>1.13.0059.К</t>
  </si>
  <si>
    <t>дорога от ул.Шукшина в сторону объездной на Райгород</t>
  </si>
  <si>
    <t>1.13.0060.К</t>
  </si>
  <si>
    <t>Покрытие: грунтовое - 6,4 км</t>
  </si>
  <si>
    <t>объездная дорога Славгоро-Райгород</t>
  </si>
  <si>
    <t>1.13.0061.К</t>
  </si>
  <si>
    <t>Покрытие: грунтовое - 3,5 км</t>
  </si>
  <si>
    <t xml:space="preserve">дорога с квартала "А" на Райгород </t>
  </si>
  <si>
    <t>1.13.0062.К</t>
  </si>
  <si>
    <t>Покрытие: грунтовое - 8,4 км</t>
  </si>
  <si>
    <t>дорога с кладбища на Екатериновку (Теплый ключ)</t>
  </si>
  <si>
    <t>1.13.0063.К</t>
  </si>
  <si>
    <t>ул.Яровская</t>
  </si>
  <si>
    <t>1.13.0064.К</t>
  </si>
  <si>
    <t>ул.Набережная</t>
  </si>
  <si>
    <t>1.13.0065.К</t>
  </si>
  <si>
    <t>ул.Молодежная</t>
  </si>
  <si>
    <t>1.13.0066.К</t>
  </si>
  <si>
    <t>Х-1964</t>
  </si>
  <si>
    <t>Проезды по ул.Верещагина</t>
  </si>
  <si>
    <t>01.01.10г.</t>
  </si>
  <si>
    <t>1.13.0067.К</t>
  </si>
  <si>
    <t>Проезды по ул.Менделеева</t>
  </si>
  <si>
    <t>1.13.0068.К</t>
  </si>
  <si>
    <t>Покрытие: асфальто-бетонное - 5,8 км</t>
  </si>
  <si>
    <t>Внутридворовые проезды квартала "Б"</t>
  </si>
  <si>
    <t>1.13.0069.К</t>
  </si>
  <si>
    <t xml:space="preserve">Проезды по ул.Заводская </t>
  </si>
  <si>
    <t>1.13.0070.К</t>
  </si>
  <si>
    <t>Покрытие: асфальто-бетонное - 4,5 км</t>
  </si>
  <si>
    <t>Внутридворовые проезды квартала "А"</t>
  </si>
  <si>
    <t>1.13.0071.К</t>
  </si>
  <si>
    <t>Внутридворовые проезды квартала "В"</t>
  </si>
  <si>
    <t>подраздел 1.14 "Незавершенное капитальное строительство"</t>
  </si>
  <si>
    <t>Год начала строительства</t>
  </si>
  <si>
    <t>Описание объекта незавершенного строительства ( площадь застройки, этажность, иные параметры)</t>
  </si>
  <si>
    <t>Адрес</t>
  </si>
  <si>
    <t>Реквизиты документа разрешающего строительство  объекта</t>
  </si>
  <si>
    <t>Правоустанавливающий документ на земельный участок под объектом незавершенного строительства</t>
  </si>
  <si>
    <t>Реквизиты документа подтверждающего право  владения объектом</t>
  </si>
  <si>
    <t>Балансовая стоимость, руб.</t>
  </si>
  <si>
    <t>Остаточная стоимость, руб.</t>
  </si>
  <si>
    <t>Фактически выполненный объем работ, руб.</t>
  </si>
  <si>
    <t xml:space="preserve">Реквизиты документа, подтверждающего возникновение  права муниципальной собственности </t>
  </si>
  <si>
    <t xml:space="preserve">Реквизиты документа, подтверждающего прекращение  права муниципальной собственности </t>
  </si>
  <si>
    <t>1.14.0004.К</t>
  </si>
  <si>
    <t>Незавершенный строительством объект (Инженерные коммуникации второй очереди микрорайона индивидуальной застройки "Северный" в г. Яровое. Тепловые сети).</t>
  </si>
  <si>
    <t>ул. Мира (от пересечения улиц Мира-Бийская по направлению на север 150 м )</t>
  </si>
  <si>
    <t>№0120110200</t>
  </si>
  <si>
    <t>1.14.0005.К</t>
  </si>
  <si>
    <t>Незавершенный строительством объект "Реконструкция биологических очистных сооружений "Реконструкция БОС-1 на 10 тыс.м.куб в сут."</t>
  </si>
  <si>
    <t>Реконструкция биологических очистных сооружений «Ре-конструкция БОС-1 на 10 тыс.м,куб в сут.»</t>
  </si>
  <si>
    <t>12.07.2019; 01.11.2019; 01.11.2019</t>
  </si>
  <si>
    <t>ЭК-0120190120; 916/ЕП6-0120190174; 917/Ф/ЕП4-0120190175</t>
  </si>
  <si>
    <t>1.14.0006.К</t>
  </si>
  <si>
    <t xml:space="preserve">22:72:020202:798 22:72:020202:799 22:72:020202:800  </t>
  </si>
  <si>
    <t>Незавершенный строительством объект «Инже-нерная защита берега озера Большое Яровое»</t>
  </si>
  <si>
    <t>Инженерная защита берега озера Большое Яровое в районе законсервированного участка захоронения химических отходов в г.Яровое Алтайского края</t>
  </si>
  <si>
    <t>постановление; распоряжение</t>
  </si>
  <si>
    <t>25.08.2021; 06.06.2021</t>
  </si>
  <si>
    <t>614; 84-р</t>
  </si>
  <si>
    <t>07.11.2016; 30.03.2017; 30.03.2017; 21.08.2017</t>
  </si>
  <si>
    <t>ОК-0120160136; 158/Ф/ЕП6-0120170053; 157/ЕП6-0120170052; ЕП9-0120170114</t>
  </si>
  <si>
    <t>п/п №</t>
  </si>
  <si>
    <t>Земельные участки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</si>
</sst>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quot;р.&quot;_-;\-* #,##0.00&quot;р.&quot;_-;_-* &quot;-&quot;??&quot;р.&quot;_-;_-@_-"/>
    <numFmt numFmtId="166" formatCode="d/m/yy;@"/>
    <numFmt numFmtId="167" formatCode="dd/mm/yy"/>
    <numFmt numFmtId="168" formatCode="0.0"/>
    <numFmt numFmtId="169" formatCode="[$-419]mmmm\ yyyy;@"/>
    <numFmt numFmtId="170" formatCode="#,##0.00\ _₽"/>
    <numFmt numFmtId="171" formatCode="#,##0.000"/>
    <numFmt numFmtId="172" formatCode="0.000"/>
    <numFmt numFmtId="173" formatCode="000000"/>
    <numFmt numFmtId="174" formatCode="_(&quot;$&quot;* #,##0.00_);_(&quot;$&quot;* \(#,##0.00\);_(&quot;$&quot;* &quot;-&quot;??_);_(@_)"/>
    <numFmt numFmtId="175" formatCode="#,##0.0"/>
    <numFmt numFmtId="176" formatCode="_-* #,##0.00_р_._-;\-* #,##0.00_р_._-;_-* &quot;-&quot;??_р_._-;_-@_-"/>
  </numFmts>
  <fonts count="50" x14ac:knownFonts="1">
    <font>
      <sz val="10"/>
      <name val="MS Sans Serif"/>
      <charset val="204"/>
    </font>
    <font>
      <sz val="10"/>
      <name val="MS Sans Serif"/>
      <family val="2"/>
      <charset val="204"/>
    </font>
    <font>
      <sz val="8"/>
      <name val="Arial"/>
      <family val="2"/>
      <charset val="204"/>
    </font>
    <font>
      <sz val="8"/>
      <name val="MS Sans Serif"/>
      <family val="2"/>
      <charset val="204"/>
    </font>
    <font>
      <sz val="10"/>
      <name val="Arial Cyr"/>
      <charset val="204"/>
    </font>
    <font>
      <sz val="8"/>
      <name val="Tahoma"/>
      <family val="2"/>
      <charset val="204"/>
    </font>
    <font>
      <sz val="10"/>
      <name val="Times New Roman"/>
      <family val="1"/>
      <charset val="204"/>
    </font>
    <font>
      <sz val="8"/>
      <color indexed="81"/>
      <name val="Tahoma"/>
      <family val="2"/>
      <charset val="204"/>
    </font>
    <font>
      <b/>
      <sz val="8"/>
      <color indexed="81"/>
      <name val="Tahoma"/>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0"/>
      <name val="Times New Roman"/>
      <family val="1"/>
      <charset val="204"/>
    </font>
    <font>
      <b/>
      <sz val="8"/>
      <name val="Times New Roman"/>
      <family val="1"/>
      <charset val="204"/>
    </font>
    <font>
      <sz val="8"/>
      <name val="Times New Roman"/>
      <family val="1"/>
      <charset val="204"/>
    </font>
    <font>
      <b/>
      <sz val="12"/>
      <name val="Times New Roman"/>
      <family val="1"/>
      <charset val="204"/>
    </font>
    <font>
      <sz val="9"/>
      <name val="Times New Roman"/>
      <family val="1"/>
      <charset val="204"/>
    </font>
    <font>
      <b/>
      <sz val="9"/>
      <name val="Times New Roman"/>
      <family val="1"/>
      <charset val="204"/>
    </font>
    <font>
      <sz val="12"/>
      <name val="Times New Roman"/>
      <family val="1"/>
      <charset val="204"/>
    </font>
    <font>
      <sz val="11"/>
      <name val="Times New Roman"/>
      <family val="1"/>
      <charset val="204"/>
    </font>
    <font>
      <sz val="8.5"/>
      <name val="Times New Roman"/>
      <family val="1"/>
      <charset val="204"/>
    </font>
    <font>
      <b/>
      <sz val="8.5"/>
      <name val="Times New Roman"/>
      <family val="1"/>
      <charset val="204"/>
    </font>
    <font>
      <b/>
      <sz val="11"/>
      <name val="Times New Roman"/>
      <family val="1"/>
      <charset val="204"/>
    </font>
    <font>
      <b/>
      <sz val="14"/>
      <name val="Times New Roman"/>
      <family val="1"/>
      <charset val="204"/>
    </font>
    <font>
      <sz val="9"/>
      <name val="Tahoma"/>
      <family val="2"/>
      <charset val="204"/>
    </font>
    <font>
      <sz val="9"/>
      <name val="MS Sans Serif"/>
      <family val="2"/>
      <charset val="204"/>
    </font>
    <font>
      <sz val="14"/>
      <name val="Times New Roman"/>
      <family val="1"/>
      <charset val="204"/>
    </font>
    <font>
      <sz val="7.5"/>
      <name val="Times New Roman"/>
      <family val="1"/>
      <charset val="204"/>
    </font>
    <font>
      <sz val="6"/>
      <name val="Times New Roman"/>
      <family val="1"/>
      <charset val="204"/>
    </font>
    <font>
      <sz val="7"/>
      <name val="Times New Roman"/>
      <family val="1"/>
      <charset val="204"/>
    </font>
    <font>
      <u/>
      <sz val="8"/>
      <name val="Times New Roman"/>
      <family val="1"/>
      <charset val="204"/>
    </font>
    <font>
      <sz val="10"/>
      <name val="Arial"/>
      <family val="2"/>
      <charset val="204"/>
    </font>
    <font>
      <i/>
      <sz val="9"/>
      <name val="Times New Roman"/>
      <family val="1"/>
      <charset val="204"/>
    </font>
    <font>
      <i/>
      <sz val="8"/>
      <name val="Times New Roman"/>
      <family val="1"/>
      <charset val="204"/>
    </font>
    <font>
      <u/>
      <sz val="9"/>
      <name val="Times New Roman"/>
      <family val="1"/>
      <charset val="204"/>
    </font>
    <font>
      <sz val="11"/>
      <name val="Calibri"/>
      <family val="2"/>
      <charset val="204"/>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29"/>
      </left>
      <right style="thin">
        <color indexed="29"/>
      </right>
      <top style="thin">
        <color indexed="29"/>
      </top>
      <bottom style="thin">
        <color indexed="29"/>
      </bottom>
      <diagonal/>
    </border>
    <border>
      <left style="thin">
        <color indexed="29"/>
      </left>
      <right style="thin">
        <color indexed="29"/>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s>
  <cellStyleXfs count="47">
    <xf numFmtId="0" fontId="0" fillId="0" borderId="0" applyNumberFormat="0" applyFont="0" applyFill="0" applyBorder="0" applyAlignment="0" applyProtection="0">
      <alignment vertical="top"/>
    </xf>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7" borderId="1" applyNumberFormat="0" applyAlignment="0" applyProtection="0"/>
    <xf numFmtId="0" fontId="12" fillId="20" borderId="2" applyNumberFormat="0" applyAlignment="0" applyProtection="0"/>
    <xf numFmtId="0" fontId="13" fillId="20" borderId="1" applyNumberFormat="0" applyAlignment="0" applyProtection="0"/>
    <xf numFmtId="164" fontId="4" fillId="0" borderId="0" applyFon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6" applyNumberFormat="0" applyFill="0" applyAlignment="0" applyProtection="0"/>
    <xf numFmtId="0" fontId="18" fillId="21" borderId="7" applyNumberFormat="0" applyAlignment="0" applyProtection="0"/>
    <xf numFmtId="0" fontId="19" fillId="0" borderId="0" applyNumberFormat="0" applyFill="0" applyBorder="0" applyAlignment="0" applyProtection="0"/>
    <xf numFmtId="0" fontId="20" fillId="22" borderId="0" applyNumberFormat="0" applyBorder="0" applyAlignment="0" applyProtection="0"/>
    <xf numFmtId="0" fontId="1" fillId="0" borderId="0" applyNumberFormat="0" applyFont="0" applyFill="0" applyBorder="0" applyAlignment="0" applyProtection="0">
      <alignment vertical="top"/>
    </xf>
    <xf numFmtId="0" fontId="4" fillId="0" borderId="0"/>
    <xf numFmtId="0" fontId="21" fillId="3" borderId="0" applyNumberFormat="0" applyBorder="0" applyAlignment="0" applyProtection="0"/>
    <xf numFmtId="0" fontId="22" fillId="0" borderId="0" applyNumberFormat="0" applyFill="0" applyBorder="0" applyAlignment="0" applyProtection="0"/>
    <xf numFmtId="0" fontId="9" fillId="23" borderId="8" applyNumberFormat="0" applyFont="0" applyAlignment="0" applyProtection="0"/>
    <xf numFmtId="0" fontId="23" fillId="0" borderId="9"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45" fillId="0" borderId="0"/>
    <xf numFmtId="174" fontId="45" fillId="0" borderId="0" applyFont="0" applyFill="0" applyBorder="0" applyAlignment="0" applyProtection="0"/>
  </cellStyleXfs>
  <cellXfs count="877">
    <xf numFmtId="0" fontId="0" fillId="0" borderId="0" xfId="0" applyNumberFormat="1" applyFont="1" applyFill="1" applyBorder="1" applyAlignment="1" applyProtection="1">
      <alignment vertical="top"/>
    </xf>
    <xf numFmtId="4" fontId="5" fillId="24" borderId="10" xfId="0" applyNumberFormat="1" applyFont="1" applyFill="1" applyBorder="1" applyAlignment="1" applyProtection="1">
      <alignment horizontal="center" vertical="top"/>
    </xf>
    <xf numFmtId="0" fontId="0" fillId="24" borderId="10" xfId="0" applyNumberFormat="1" applyFont="1" applyFill="1" applyBorder="1" applyAlignment="1" applyProtection="1">
      <alignment vertical="top"/>
    </xf>
    <xf numFmtId="0" fontId="0" fillId="24" borderId="0" xfId="0" applyNumberFormat="1" applyFont="1" applyFill="1" applyBorder="1" applyAlignment="1" applyProtection="1">
      <alignment vertical="top"/>
    </xf>
    <xf numFmtId="49" fontId="6" fillId="24" borderId="10" xfId="0" applyNumberFormat="1" applyFont="1" applyFill="1" applyBorder="1" applyAlignment="1" applyProtection="1">
      <alignment horizontal="center" vertical="top"/>
    </xf>
    <xf numFmtId="0" fontId="27" fillId="24" borderId="0" xfId="0" applyNumberFormat="1" applyFont="1" applyFill="1" applyBorder="1" applyAlignment="1" applyProtection="1">
      <alignment horizontal="center" vertical="top"/>
    </xf>
    <xf numFmtId="0" fontId="6" fillId="24" borderId="0" xfId="0" applyNumberFormat="1" applyFont="1" applyFill="1" applyBorder="1" applyAlignment="1" applyProtection="1">
      <alignment vertical="top"/>
    </xf>
    <xf numFmtId="0" fontId="28" fillId="24" borderId="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vertical="top" wrapText="1"/>
    </xf>
    <xf numFmtId="0" fontId="30" fillId="0" borderId="10" xfId="0" applyNumberFormat="1" applyFont="1" applyFill="1" applyBorder="1" applyAlignment="1" applyProtection="1">
      <alignment vertical="top" wrapText="1"/>
    </xf>
    <xf numFmtId="4" fontId="30" fillId="0" borderId="10" xfId="0" applyNumberFormat="1" applyFont="1" applyFill="1" applyBorder="1" applyAlignment="1" applyProtection="1">
      <alignment horizontal="center" vertical="top" wrapText="1"/>
    </xf>
    <xf numFmtId="49" fontId="30" fillId="24" borderId="1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left" vertical="top" wrapText="1"/>
    </xf>
    <xf numFmtId="14" fontId="30" fillId="24" borderId="10" xfId="0" applyNumberFormat="1" applyFont="1" applyFill="1" applyBorder="1" applyAlignment="1" applyProtection="1">
      <alignment horizontal="center" vertical="top" wrapText="1"/>
    </xf>
    <xf numFmtId="14" fontId="30" fillId="24" borderId="10" xfId="0" applyNumberFormat="1" applyFont="1" applyFill="1" applyBorder="1" applyAlignment="1" applyProtection="1">
      <alignment horizontal="center" vertical="top"/>
    </xf>
    <xf numFmtId="2" fontId="30" fillId="24" borderId="10" xfId="0" applyNumberFormat="1" applyFont="1" applyFill="1" applyBorder="1" applyAlignment="1" applyProtection="1">
      <alignment horizontal="center" vertical="top"/>
    </xf>
    <xf numFmtId="4" fontId="30" fillId="24" borderId="10"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vertical="top"/>
    </xf>
    <xf numFmtId="0" fontId="30" fillId="24" borderId="0" xfId="0" applyNumberFormat="1" applyFont="1" applyFill="1" applyBorder="1" applyAlignment="1" applyProtection="1">
      <alignment vertical="top"/>
    </xf>
    <xf numFmtId="0" fontId="30" fillId="24" borderId="12" xfId="0" applyNumberFormat="1" applyFont="1" applyFill="1" applyBorder="1" applyAlignment="1" applyProtection="1">
      <alignment horizontal="center" vertical="top"/>
    </xf>
    <xf numFmtId="0" fontId="30" fillId="24" borderId="13" xfId="0" applyNumberFormat="1" applyFont="1" applyFill="1" applyBorder="1" applyAlignment="1" applyProtection="1">
      <alignment horizontal="center" vertical="top"/>
    </xf>
    <xf numFmtId="49" fontId="30" fillId="24" borderId="10" xfId="0" applyNumberFormat="1" applyFont="1" applyFill="1" applyBorder="1" applyAlignment="1" applyProtection="1">
      <alignment horizontal="center" vertical="top" wrapText="1"/>
    </xf>
    <xf numFmtId="49" fontId="30" fillId="24" borderId="10" xfId="0" applyNumberFormat="1" applyFont="1" applyFill="1" applyBorder="1" applyAlignment="1" applyProtection="1">
      <alignment horizontal="left" vertical="top" wrapText="1"/>
    </xf>
    <xf numFmtId="2" fontId="30" fillId="24" borderId="10" xfId="0" applyNumberFormat="1" applyFont="1" applyFill="1" applyBorder="1" applyAlignment="1" applyProtection="1">
      <alignment horizontal="center" vertical="top" wrapText="1"/>
    </xf>
    <xf numFmtId="14" fontId="30" fillId="24" borderId="14" xfId="0" applyNumberFormat="1" applyFont="1" applyFill="1" applyBorder="1" applyAlignment="1" applyProtection="1">
      <alignment horizontal="left" vertical="top" wrapText="1"/>
    </xf>
    <xf numFmtId="0" fontId="30" fillId="24" borderId="14" xfId="0" applyNumberFormat="1" applyFont="1" applyFill="1" applyBorder="1" applyAlignment="1" applyProtection="1">
      <alignment horizontal="left" vertical="top" wrapText="1"/>
    </xf>
    <xf numFmtId="49" fontId="30" fillId="24" borderId="10" xfId="0" applyNumberFormat="1" applyFont="1" applyFill="1" applyBorder="1" applyAlignment="1" applyProtection="1">
      <alignment vertical="top" wrapText="1"/>
    </xf>
    <xf numFmtId="0" fontId="30" fillId="24" borderId="10" xfId="0" applyNumberFormat="1" applyFont="1" applyFill="1" applyBorder="1" applyAlignment="1" applyProtection="1">
      <alignment horizontal="left" vertical="top"/>
    </xf>
    <xf numFmtId="0" fontId="30" fillId="24" borderId="14" xfId="0" applyNumberFormat="1" applyFont="1" applyFill="1" applyBorder="1" applyAlignment="1" applyProtection="1">
      <alignment horizontal="center" vertical="top" wrapText="1"/>
    </xf>
    <xf numFmtId="0" fontId="30" fillId="24" borderId="11" xfId="0" applyNumberFormat="1" applyFont="1" applyFill="1" applyBorder="1" applyAlignment="1" applyProtection="1">
      <alignment horizontal="center" vertical="top"/>
    </xf>
    <xf numFmtId="17" fontId="30" fillId="24" borderId="10" xfId="0" applyNumberFormat="1" applyFont="1" applyFill="1" applyBorder="1" applyAlignment="1" applyProtection="1">
      <alignment horizontal="center" vertical="top"/>
    </xf>
    <xf numFmtId="14" fontId="30" fillId="24" borderId="12" xfId="0" applyNumberFormat="1" applyFont="1" applyFill="1" applyBorder="1" applyAlignment="1" applyProtection="1">
      <alignment horizontal="center" vertical="top" wrapText="1"/>
    </xf>
    <xf numFmtId="2" fontId="30" fillId="24" borderId="12" xfId="0" applyNumberFormat="1" applyFont="1" applyFill="1" applyBorder="1" applyAlignment="1" applyProtection="1">
      <alignment horizontal="center" vertical="top" wrapText="1"/>
    </xf>
    <xf numFmtId="4" fontId="30" fillId="24" borderId="12" xfId="0" applyNumberFormat="1" applyFont="1" applyFill="1" applyBorder="1" applyAlignment="1" applyProtection="1">
      <alignment horizontal="center" vertical="top" wrapText="1"/>
    </xf>
    <xf numFmtId="17" fontId="30" fillId="24" borderId="13" xfId="0" applyNumberFormat="1" applyFont="1" applyFill="1" applyBorder="1" applyAlignment="1" applyProtection="1">
      <alignment horizontal="center" vertical="top"/>
    </xf>
    <xf numFmtId="2" fontId="30" fillId="24" borderId="10" xfId="0" applyNumberFormat="1" applyFont="1" applyFill="1" applyBorder="1" applyAlignment="1" applyProtection="1">
      <alignment vertical="top" wrapText="1"/>
    </xf>
    <xf numFmtId="0" fontId="30" fillId="24" borderId="12" xfId="0" applyNumberFormat="1" applyFont="1" applyFill="1" applyBorder="1" applyAlignment="1" applyProtection="1">
      <alignment horizontal="center" vertical="top" wrapText="1"/>
    </xf>
    <xf numFmtId="14" fontId="30" fillId="24" borderId="0" xfId="0" applyNumberFormat="1" applyFont="1" applyFill="1" applyBorder="1" applyAlignment="1" applyProtection="1">
      <alignment horizontal="center" vertical="top"/>
    </xf>
    <xf numFmtId="0" fontId="30" fillId="24" borderId="0" xfId="0" applyNumberFormat="1" applyFont="1" applyFill="1" applyBorder="1" applyAlignment="1" applyProtection="1">
      <alignment horizontal="center" vertical="top"/>
    </xf>
    <xf numFmtId="4" fontId="30" fillId="24" borderId="10" xfId="0" applyNumberFormat="1" applyFont="1" applyFill="1" applyBorder="1" applyAlignment="1" applyProtection="1">
      <alignment horizontal="center" vertical="top"/>
    </xf>
    <xf numFmtId="0" fontId="30" fillId="24" borderId="0" xfId="0" applyNumberFormat="1" applyFont="1" applyFill="1" applyBorder="1" applyAlignment="1" applyProtection="1">
      <alignment vertical="top" wrapText="1"/>
    </xf>
    <xf numFmtId="49" fontId="30" fillId="24" borderId="11" xfId="0" applyNumberFormat="1" applyFont="1" applyFill="1" applyBorder="1" applyAlignment="1" applyProtection="1">
      <alignment horizontal="center" vertical="top"/>
    </xf>
    <xf numFmtId="49" fontId="30" fillId="24" borderId="0" xfId="0" applyNumberFormat="1" applyFont="1" applyFill="1" applyBorder="1" applyAlignment="1" applyProtection="1">
      <alignment horizontal="center" vertical="top"/>
    </xf>
    <xf numFmtId="2" fontId="30" fillId="24" borderId="12" xfId="0" applyNumberFormat="1" applyFont="1" applyFill="1" applyBorder="1" applyAlignment="1" applyProtection="1">
      <alignment horizontal="center" vertical="top"/>
    </xf>
    <xf numFmtId="16" fontId="30" fillId="24" borderId="10" xfId="0" applyNumberFormat="1" applyFont="1" applyFill="1" applyBorder="1" applyAlignment="1" applyProtection="1">
      <alignment horizontal="center" vertical="top"/>
    </xf>
    <xf numFmtId="0" fontId="30" fillId="24" borderId="11" xfId="0" applyNumberFormat="1" applyFont="1" applyFill="1" applyBorder="1" applyAlignment="1" applyProtection="1">
      <alignment vertical="top" wrapText="1"/>
    </xf>
    <xf numFmtId="0" fontId="30" fillId="24" borderId="11" xfId="0" applyNumberFormat="1" applyFont="1" applyFill="1" applyBorder="1" applyAlignment="1" applyProtection="1">
      <alignment horizontal="left" vertical="top" wrapText="1"/>
    </xf>
    <xf numFmtId="4" fontId="30" fillId="24" borderId="11" xfId="0" applyNumberFormat="1" applyFont="1" applyFill="1" applyBorder="1" applyAlignment="1" applyProtection="1">
      <alignment horizontal="center" vertical="top" wrapText="1"/>
    </xf>
    <xf numFmtId="0" fontId="30" fillId="24" borderId="11" xfId="0" applyNumberFormat="1" applyFont="1" applyFill="1" applyBorder="1" applyAlignment="1" applyProtection="1">
      <alignment horizontal="center" vertical="top" wrapText="1"/>
    </xf>
    <xf numFmtId="0" fontId="30" fillId="24" borderId="11" xfId="0" applyNumberFormat="1" applyFont="1" applyFill="1" applyBorder="1" applyAlignment="1" applyProtection="1">
      <alignment vertical="top"/>
    </xf>
    <xf numFmtId="14" fontId="30" fillId="24" borderId="11" xfId="0" applyNumberFormat="1" applyFont="1" applyFill="1" applyBorder="1" applyAlignment="1" applyProtection="1">
      <alignment horizontal="center" vertical="top"/>
    </xf>
    <xf numFmtId="2" fontId="30" fillId="24" borderId="11" xfId="0" applyNumberFormat="1" applyFont="1" applyFill="1" applyBorder="1" applyAlignment="1" applyProtection="1">
      <alignment horizontal="center" vertical="top" wrapText="1"/>
    </xf>
    <xf numFmtId="14" fontId="30" fillId="24" borderId="11" xfId="0" applyNumberFormat="1" applyFont="1" applyFill="1" applyBorder="1" applyAlignment="1" applyProtection="1">
      <alignment horizontal="center" vertical="top" wrapText="1"/>
    </xf>
    <xf numFmtId="0" fontId="30" fillId="24" borderId="12" xfId="0" applyNumberFormat="1" applyFont="1" applyFill="1" applyBorder="1" applyAlignment="1" applyProtection="1">
      <alignment vertical="top" wrapText="1"/>
    </xf>
    <xf numFmtId="0" fontId="30" fillId="24" borderId="12" xfId="0" applyNumberFormat="1" applyFont="1" applyFill="1" applyBorder="1" applyAlignment="1" applyProtection="1">
      <alignment horizontal="left" vertical="top" wrapText="1"/>
    </xf>
    <xf numFmtId="0" fontId="30" fillId="24" borderId="10" xfId="37" applyNumberFormat="1" applyFont="1" applyFill="1" applyBorder="1" applyAlignment="1" applyProtection="1">
      <alignment horizontal="center" vertical="top" wrapText="1"/>
    </xf>
    <xf numFmtId="14" fontId="30" fillId="24" borderId="12" xfId="0" applyNumberFormat="1" applyFont="1" applyFill="1" applyBorder="1" applyAlignment="1" applyProtection="1">
      <alignment horizontal="center" vertical="top"/>
    </xf>
    <xf numFmtId="0" fontId="30" fillId="24" borderId="13" xfId="0" applyNumberFormat="1" applyFont="1" applyFill="1" applyBorder="1" applyAlignment="1" applyProtection="1">
      <alignment vertical="top"/>
    </xf>
    <xf numFmtId="0" fontId="30" fillId="24" borderId="12" xfId="0" applyNumberFormat="1" applyFont="1" applyFill="1" applyBorder="1" applyAlignment="1" applyProtection="1">
      <alignment vertical="top"/>
    </xf>
    <xf numFmtId="49" fontId="30" fillId="24" borderId="12" xfId="0" applyNumberFormat="1" applyFont="1" applyFill="1" applyBorder="1" applyAlignment="1" applyProtection="1">
      <alignment horizontal="center" vertical="top"/>
    </xf>
    <xf numFmtId="4" fontId="30" fillId="24" borderId="12" xfId="38" applyNumberFormat="1" applyFont="1" applyFill="1" applyBorder="1" applyAlignment="1">
      <alignment horizontal="center" vertical="top" wrapText="1"/>
    </xf>
    <xf numFmtId="4" fontId="30" fillId="24" borderId="12" xfId="0" applyNumberFormat="1" applyFont="1" applyFill="1" applyBorder="1" applyAlignment="1" applyProtection="1">
      <alignment horizontal="center" vertical="top"/>
    </xf>
    <xf numFmtId="4" fontId="30" fillId="24" borderId="10" xfId="38" applyNumberFormat="1" applyFont="1" applyFill="1" applyBorder="1" applyAlignment="1">
      <alignment horizontal="center" vertical="top" wrapText="1"/>
    </xf>
    <xf numFmtId="49" fontId="30" fillId="24" borderId="10" xfId="0" applyNumberFormat="1" applyFont="1" applyFill="1" applyBorder="1" applyAlignment="1" applyProtection="1">
      <alignment vertical="top"/>
    </xf>
    <xf numFmtId="49" fontId="30" fillId="24" borderId="12" xfId="0" applyNumberFormat="1" applyFont="1" applyFill="1" applyBorder="1" applyAlignment="1" applyProtection="1">
      <alignment horizontal="center" vertical="top" wrapText="1"/>
    </xf>
    <xf numFmtId="49" fontId="30" fillId="24" borderId="10" xfId="0" applyNumberFormat="1" applyFont="1" applyFill="1" applyBorder="1" applyAlignment="1" applyProtection="1">
      <alignment horizontal="left" vertical="top"/>
    </xf>
    <xf numFmtId="49" fontId="30" fillId="24" borderId="0" xfId="0" applyNumberFormat="1" applyFont="1" applyFill="1" applyBorder="1" applyAlignment="1" applyProtection="1">
      <alignment vertical="top"/>
    </xf>
    <xf numFmtId="0" fontId="30" fillId="24" borderId="15" xfId="0" applyNumberFormat="1" applyFont="1" applyFill="1" applyBorder="1" applyAlignment="1" applyProtection="1">
      <alignment horizontal="center" vertical="top" wrapText="1"/>
    </xf>
    <xf numFmtId="1" fontId="30" fillId="24" borderId="12" xfId="0" applyNumberFormat="1" applyFont="1" applyFill="1" applyBorder="1" applyAlignment="1" applyProtection="1">
      <alignment horizontal="left" vertical="top"/>
    </xf>
    <xf numFmtId="1" fontId="30" fillId="24" borderId="10" xfId="0" applyNumberFormat="1" applyFont="1" applyFill="1" applyBorder="1" applyAlignment="1" applyProtection="1">
      <alignment horizontal="center" vertical="top" wrapText="1"/>
    </xf>
    <xf numFmtId="0" fontId="30" fillId="24" borderId="25" xfId="0" applyNumberFormat="1" applyFont="1" applyFill="1" applyBorder="1" applyAlignment="1" applyProtection="1">
      <alignment horizontal="center" vertical="top" wrapText="1"/>
    </xf>
    <xf numFmtId="0" fontId="30" fillId="24" borderId="14"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vertical="center" wrapText="1"/>
    </xf>
    <xf numFmtId="14" fontId="30" fillId="24" borderId="0" xfId="0" applyNumberFormat="1" applyFont="1" applyFill="1" applyBorder="1" applyAlignment="1" applyProtection="1">
      <alignment horizontal="center" vertical="top" wrapText="1"/>
    </xf>
    <xf numFmtId="49" fontId="30" fillId="24" borderId="0" xfId="0" applyNumberFormat="1" applyFont="1" applyFill="1" applyBorder="1" applyAlignment="1" applyProtection="1">
      <alignment horizontal="center" vertical="top" wrapText="1"/>
    </xf>
    <xf numFmtId="0" fontId="30" fillId="24" borderId="14" xfId="0" applyNumberFormat="1" applyFont="1" applyFill="1" applyBorder="1" applyAlignment="1" applyProtection="1">
      <alignment vertical="top" wrapText="1"/>
    </xf>
    <xf numFmtId="49" fontId="30" fillId="24" borderId="10" xfId="37" applyNumberFormat="1" applyFont="1" applyFill="1" applyBorder="1" applyAlignment="1" applyProtection="1">
      <alignment horizontal="center" vertical="top"/>
    </xf>
    <xf numFmtId="0" fontId="30" fillId="24" borderId="14" xfId="0" applyNumberFormat="1" applyFont="1" applyFill="1" applyBorder="1" applyAlignment="1" applyProtection="1">
      <alignment vertical="top"/>
    </xf>
    <xf numFmtId="0" fontId="30" fillId="24" borderId="13" xfId="0" applyNumberFormat="1" applyFont="1" applyFill="1" applyBorder="1" applyAlignment="1" applyProtection="1">
      <alignment vertical="top" wrapText="1"/>
    </xf>
    <xf numFmtId="1" fontId="30" fillId="24" borderId="10" xfId="0" applyNumberFormat="1" applyFont="1" applyFill="1" applyBorder="1" applyAlignment="1" applyProtection="1">
      <alignment horizontal="left" vertical="top"/>
    </xf>
    <xf numFmtId="1" fontId="30" fillId="24" borderId="10" xfId="0" applyNumberFormat="1" applyFont="1" applyFill="1" applyBorder="1" applyAlignment="1" applyProtection="1">
      <alignment horizontal="left" vertical="top" wrapText="1"/>
    </xf>
    <xf numFmtId="1" fontId="30" fillId="24" borderId="12" xfId="0" applyNumberFormat="1" applyFont="1" applyFill="1" applyBorder="1" applyAlignment="1" applyProtection="1">
      <alignment horizontal="left" vertical="top" wrapText="1"/>
    </xf>
    <xf numFmtId="14" fontId="30" fillId="24" borderId="10" xfId="0" applyNumberFormat="1" applyFont="1" applyFill="1" applyBorder="1" applyAlignment="1" applyProtection="1">
      <alignment vertical="top"/>
    </xf>
    <xf numFmtId="1" fontId="30" fillId="24" borderId="10" xfId="0" applyNumberFormat="1" applyFont="1" applyFill="1" applyBorder="1" applyAlignment="1" applyProtection="1">
      <alignment horizontal="left" vertical="top" wrapText="1" shrinkToFit="1"/>
    </xf>
    <xf numFmtId="0" fontId="6" fillId="24" borderId="10" xfId="0" applyNumberFormat="1" applyFont="1" applyFill="1" applyBorder="1" applyAlignment="1" applyProtection="1">
      <alignment vertical="top" wrapText="1"/>
    </xf>
    <xf numFmtId="49" fontId="30" fillId="24" borderId="12" xfId="0" applyNumberFormat="1" applyFont="1" applyFill="1" applyBorder="1" applyAlignment="1" applyProtection="1">
      <alignment vertical="top" wrapText="1"/>
    </xf>
    <xf numFmtId="2" fontId="30" fillId="24" borderId="12" xfId="0" applyNumberFormat="1" applyFont="1" applyFill="1" applyBorder="1" applyAlignment="1" applyProtection="1">
      <alignment vertical="top" wrapText="1"/>
    </xf>
    <xf numFmtId="167" fontId="30" fillId="24" borderId="12" xfId="0" applyNumberFormat="1" applyFont="1" applyFill="1" applyBorder="1" applyAlignment="1" applyProtection="1">
      <alignment horizontal="center" vertical="top"/>
    </xf>
    <xf numFmtId="0" fontId="33" fillId="24" borderId="0" xfId="0" applyNumberFormat="1" applyFont="1" applyFill="1" applyBorder="1" applyAlignment="1" applyProtection="1">
      <alignment vertical="top"/>
    </xf>
    <xf numFmtId="0" fontId="6" fillId="24" borderId="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vertical="top"/>
    </xf>
    <xf numFmtId="0" fontId="26" fillId="24" borderId="0" xfId="0" applyNumberFormat="1" applyFont="1" applyFill="1" applyBorder="1" applyAlignment="1" applyProtection="1">
      <alignment vertical="top"/>
    </xf>
    <xf numFmtId="0" fontId="30" fillId="24" borderId="18" xfId="0" applyNumberFormat="1" applyFont="1" applyFill="1" applyBorder="1" applyAlignment="1" applyProtection="1">
      <alignment horizontal="center" vertical="top" wrapText="1"/>
    </xf>
    <xf numFmtId="0" fontId="30" fillId="24" borderId="18" xfId="0" applyNumberFormat="1" applyFont="1" applyFill="1" applyBorder="1" applyAlignment="1" applyProtection="1">
      <alignment horizontal="center" vertical="top"/>
    </xf>
    <xf numFmtId="0" fontId="30" fillId="24" borderId="12" xfId="0" applyNumberFormat="1" applyFont="1" applyFill="1" applyBorder="1" applyAlignment="1" applyProtection="1">
      <alignment vertical="top" wrapText="1" shrinkToFit="1"/>
    </xf>
    <xf numFmtId="4" fontId="30" fillId="24" borderId="15" xfId="0" applyNumberFormat="1" applyFont="1" applyFill="1" applyBorder="1" applyAlignment="1" applyProtection="1">
      <alignment horizontal="center" vertical="top"/>
    </xf>
    <xf numFmtId="14" fontId="30" fillId="24" borderId="16" xfId="0" applyNumberFormat="1" applyFont="1" applyFill="1" applyBorder="1" applyAlignment="1" applyProtection="1">
      <alignment horizontal="center" vertical="top"/>
    </xf>
    <xf numFmtId="49" fontId="30" fillId="24" borderId="11" xfId="0" applyNumberFormat="1" applyFont="1" applyFill="1" applyBorder="1" applyAlignment="1" applyProtection="1">
      <alignment vertical="top" wrapText="1"/>
    </xf>
    <xf numFmtId="1" fontId="30" fillId="24" borderId="11" xfId="0" applyNumberFormat="1" applyFont="1" applyFill="1" applyBorder="1" applyAlignment="1" applyProtection="1">
      <alignment horizontal="left" vertical="top" wrapText="1"/>
    </xf>
    <xf numFmtId="4" fontId="30" fillId="24" borderId="11" xfId="0" applyNumberFormat="1" applyFont="1" applyFill="1" applyBorder="1" applyAlignment="1" applyProtection="1">
      <alignment horizontal="center" vertical="top"/>
    </xf>
    <xf numFmtId="4" fontId="30" fillId="24" borderId="0" xfId="0" applyNumberFormat="1" applyFont="1" applyFill="1" applyBorder="1" applyAlignment="1" applyProtection="1">
      <alignment horizontal="center" vertical="top"/>
    </xf>
    <xf numFmtId="1" fontId="30" fillId="24" borderId="0" xfId="0" applyNumberFormat="1" applyFont="1" applyFill="1" applyBorder="1" applyAlignment="1" applyProtection="1">
      <alignment horizontal="left" vertical="top"/>
    </xf>
    <xf numFmtId="0" fontId="26" fillId="24" borderId="0" xfId="0" applyNumberFormat="1" applyFont="1" applyFill="1" applyBorder="1" applyAlignment="1" applyProtection="1">
      <alignment horizontal="center" vertical="top"/>
    </xf>
    <xf numFmtId="0" fontId="34" fillId="24" borderId="0" xfId="0" applyNumberFormat="1" applyFont="1" applyFill="1" applyBorder="1" applyAlignment="1" applyProtection="1">
      <alignment horizontal="center" vertical="top"/>
    </xf>
    <xf numFmtId="0" fontId="35" fillId="24" borderId="0" xfId="0" applyNumberFormat="1" applyFont="1" applyFill="1" applyBorder="1" applyAlignment="1" applyProtection="1">
      <alignment vertical="top"/>
    </xf>
    <xf numFmtId="0" fontId="35" fillId="24" borderId="0" xfId="0" applyNumberFormat="1" applyFont="1" applyFill="1" applyBorder="1" applyAlignment="1" applyProtection="1">
      <alignment horizontal="center" vertical="top"/>
    </xf>
    <xf numFmtId="4" fontId="30" fillId="24" borderId="0" xfId="0" applyNumberFormat="1" applyFont="1" applyFill="1" applyBorder="1" applyAlignment="1" applyProtection="1">
      <alignment horizontal="center" vertical="top" wrapText="1"/>
    </xf>
    <xf numFmtId="2" fontId="30" fillId="24" borderId="0" xfId="0" applyNumberFormat="1" applyFont="1" applyFill="1" applyBorder="1" applyAlignment="1" applyProtection="1">
      <alignment horizontal="center" vertical="top"/>
    </xf>
    <xf numFmtId="49" fontId="30" fillId="24" borderId="14" xfId="0" applyNumberFormat="1" applyFont="1" applyFill="1" applyBorder="1" applyAlignment="1" applyProtection="1">
      <alignment horizontal="center" vertical="top" wrapText="1"/>
    </xf>
    <xf numFmtId="0" fontId="30" fillId="24" borderId="35" xfId="0" applyNumberFormat="1" applyFont="1" applyFill="1" applyBorder="1" applyAlignment="1" applyProtection="1">
      <alignment horizontal="left" vertical="top" wrapText="1"/>
    </xf>
    <xf numFmtId="0" fontId="30" fillId="24" borderId="0" xfId="0" applyNumberFormat="1" applyFont="1" applyFill="1" applyBorder="1" applyAlignment="1" applyProtection="1">
      <alignment horizontal="left" vertical="top"/>
    </xf>
    <xf numFmtId="0" fontId="32" fillId="24" borderId="0" xfId="0" applyNumberFormat="1" applyFont="1" applyFill="1" applyBorder="1" applyAlignment="1" applyProtection="1">
      <alignment vertical="top"/>
    </xf>
    <xf numFmtId="0" fontId="30" fillId="24" borderId="23" xfId="0" applyNumberFormat="1" applyFont="1" applyFill="1" applyBorder="1" applyAlignment="1" applyProtection="1">
      <alignment horizontal="center" vertical="top"/>
    </xf>
    <xf numFmtId="0" fontId="30" fillId="24" borderId="10" xfId="37" applyNumberFormat="1" applyFont="1" applyFill="1" applyBorder="1" applyAlignment="1" applyProtection="1">
      <alignment vertical="top" wrapText="1"/>
    </xf>
    <xf numFmtId="49" fontId="30" fillId="24" borderId="10" xfId="37" applyNumberFormat="1" applyFont="1" applyFill="1" applyBorder="1" applyAlignment="1" applyProtection="1">
      <alignment horizontal="center" vertical="top" wrapText="1"/>
    </xf>
    <xf numFmtId="14" fontId="30" fillId="24" borderId="10" xfId="37" applyNumberFormat="1" applyFont="1" applyFill="1" applyBorder="1" applyAlignment="1" applyProtection="1">
      <alignment horizontal="center" vertical="top"/>
    </xf>
    <xf numFmtId="4" fontId="30" fillId="24" borderId="10" xfId="37" applyNumberFormat="1" applyFont="1" applyFill="1" applyBorder="1" applyAlignment="1" applyProtection="1">
      <alignment horizontal="center" vertical="top"/>
    </xf>
    <xf numFmtId="170" fontId="30" fillId="24" borderId="10" xfId="0" applyNumberFormat="1" applyFont="1" applyFill="1" applyBorder="1" applyAlignment="1" applyProtection="1">
      <alignment horizontal="center" vertical="top"/>
    </xf>
    <xf numFmtId="49" fontId="30" fillId="24" borderId="11" xfId="0" applyNumberFormat="1" applyFont="1" applyFill="1" applyBorder="1" applyAlignment="1" applyProtection="1">
      <alignment horizontal="center" vertical="top" wrapText="1"/>
    </xf>
    <xf numFmtId="2" fontId="30" fillId="24" borderId="11" xfId="0" applyNumberFormat="1" applyFont="1" applyFill="1" applyBorder="1" applyAlignment="1" applyProtection="1">
      <alignment horizontal="center" vertical="top"/>
    </xf>
    <xf numFmtId="0" fontId="30" fillId="24" borderId="25" xfId="0" applyNumberFormat="1" applyFont="1" applyFill="1" applyBorder="1" applyAlignment="1" applyProtection="1">
      <alignment vertical="top" wrapText="1"/>
    </xf>
    <xf numFmtId="0" fontId="30" fillId="24" borderId="0" xfId="0" applyNumberFormat="1" applyFont="1" applyFill="1" applyBorder="1" applyAlignment="1" applyProtection="1">
      <alignment horizontal="left" vertical="top" wrapText="1"/>
    </xf>
    <xf numFmtId="0" fontId="30" fillId="24" borderId="10" xfId="0" applyNumberFormat="1" applyFont="1" applyFill="1" applyBorder="1" applyAlignment="1" applyProtection="1">
      <alignment horizontal="center" wrapText="1"/>
    </xf>
    <xf numFmtId="0" fontId="6" fillId="24" borderId="10" xfId="0" applyNumberFormat="1" applyFont="1" applyFill="1" applyBorder="1" applyAlignment="1" applyProtection="1"/>
    <xf numFmtId="14" fontId="30" fillId="24" borderId="10" xfId="0" applyNumberFormat="1" applyFont="1" applyFill="1" applyBorder="1" applyAlignment="1" applyProtection="1">
      <alignment horizontal="center" wrapText="1"/>
    </xf>
    <xf numFmtId="0" fontId="6" fillId="24" borderId="10" xfId="0" applyNumberFormat="1" applyFont="1" applyFill="1" applyBorder="1" applyAlignment="1" applyProtection="1">
      <alignment horizontal="center"/>
    </xf>
    <xf numFmtId="0" fontId="6" fillId="24" borderId="10" xfId="0" applyNumberFormat="1" applyFont="1" applyFill="1" applyBorder="1" applyAlignment="1" applyProtection="1">
      <alignment wrapText="1"/>
    </xf>
    <xf numFmtId="14" fontId="6" fillId="24" borderId="10" xfId="0" applyNumberFormat="1" applyFont="1" applyFill="1" applyBorder="1" applyAlignment="1" applyProtection="1">
      <alignment horizontal="center"/>
    </xf>
    <xf numFmtId="4" fontId="6" fillId="24" borderId="10" xfId="0" applyNumberFormat="1" applyFont="1" applyFill="1" applyBorder="1" applyAlignment="1" applyProtection="1">
      <alignment horizontal="center"/>
    </xf>
    <xf numFmtId="171" fontId="6" fillId="24" borderId="10" xfId="0" applyNumberFormat="1" applyFont="1" applyFill="1" applyBorder="1" applyAlignment="1" applyProtection="1">
      <alignment horizontal="center"/>
    </xf>
    <xf numFmtId="0" fontId="6" fillId="24" borderId="10" xfId="0" applyNumberFormat="1" applyFont="1" applyFill="1" applyBorder="1" applyAlignment="1" applyProtection="1">
      <alignment horizontal="center" wrapText="1"/>
    </xf>
    <xf numFmtId="14" fontId="30" fillId="24" borderId="10" xfId="0" applyNumberFormat="1" applyFont="1" applyFill="1" applyBorder="1" applyAlignment="1" applyProtection="1">
      <alignment horizontal="center"/>
    </xf>
    <xf numFmtId="0" fontId="30" fillId="24" borderId="10" xfId="0" applyNumberFormat="1" applyFont="1" applyFill="1" applyBorder="1" applyAlignment="1" applyProtection="1">
      <alignment horizontal="center"/>
    </xf>
    <xf numFmtId="4" fontId="37" fillId="24" borderId="0" xfId="0" applyNumberFormat="1" applyFont="1" applyFill="1" applyBorder="1" applyAlignment="1" applyProtection="1">
      <alignment horizontal="center" vertical="top"/>
    </xf>
    <xf numFmtId="4" fontId="6" fillId="24" borderId="0" xfId="0" applyNumberFormat="1" applyFont="1" applyFill="1" applyBorder="1" applyAlignment="1" applyProtection="1">
      <alignment horizontal="center" vertical="top"/>
    </xf>
    <xf numFmtId="1" fontId="30" fillId="24" borderId="12" xfId="0" applyNumberFormat="1" applyFont="1" applyFill="1" applyBorder="1" applyAlignment="1" applyProtection="1">
      <alignment horizontal="center" vertical="top" wrapText="1"/>
    </xf>
    <xf numFmtId="0" fontId="6" fillId="24" borderId="10" xfId="0" applyNumberFormat="1" applyFont="1" applyFill="1" applyBorder="1" applyAlignment="1" applyProtection="1">
      <alignment horizontal="fill" wrapText="1"/>
    </xf>
    <xf numFmtId="0" fontId="30" fillId="24" borderId="43" xfId="0" applyNumberFormat="1" applyFont="1" applyFill="1" applyBorder="1" applyAlignment="1">
      <alignment horizontal="center" vertical="top" wrapText="1"/>
    </xf>
    <xf numFmtId="0" fontId="30" fillId="24" borderId="10" xfId="0" applyNumberFormat="1" applyFont="1" applyFill="1" applyBorder="1" applyAlignment="1">
      <alignment horizontal="center" vertical="top" wrapText="1"/>
    </xf>
    <xf numFmtId="14" fontId="30" fillId="24" borderId="10" xfId="0" applyNumberFormat="1" applyFont="1" applyFill="1" applyBorder="1" applyAlignment="1">
      <alignment horizontal="center" vertical="top" wrapText="1"/>
    </xf>
    <xf numFmtId="0" fontId="30" fillId="24" borderId="27" xfId="0" applyNumberFormat="1" applyFont="1" applyFill="1" applyBorder="1" applyAlignment="1" applyProtection="1">
      <alignment vertical="top" wrapText="1"/>
    </xf>
    <xf numFmtId="2" fontId="30" fillId="24" borderId="25" xfId="0" applyNumberFormat="1" applyFont="1" applyFill="1" applyBorder="1" applyAlignment="1" applyProtection="1">
      <alignment horizontal="center" vertical="top" wrapText="1"/>
    </xf>
    <xf numFmtId="4" fontId="30" fillId="24" borderId="25" xfId="0" applyNumberFormat="1" applyFont="1" applyFill="1" applyBorder="1" applyAlignment="1" applyProtection="1">
      <alignment horizontal="center" vertical="top" wrapText="1"/>
    </xf>
    <xf numFmtId="0" fontId="0" fillId="24" borderId="0" xfId="0" applyNumberFormat="1" applyFont="1" applyFill="1" applyBorder="1" applyAlignment="1" applyProtection="1">
      <alignment vertical="top" wrapText="1"/>
    </xf>
    <xf numFmtId="0" fontId="32"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alignment horizontal="center" vertical="top" wrapText="1"/>
    </xf>
    <xf numFmtId="4" fontId="6" fillId="24" borderId="10" xfId="0" applyNumberFormat="1" applyFont="1" applyFill="1" applyBorder="1" applyAlignment="1" applyProtection="1">
      <alignment horizontal="center" wrapText="1"/>
    </xf>
    <xf numFmtId="171" fontId="30" fillId="24" borderId="10" xfId="0" applyNumberFormat="1" applyFont="1" applyFill="1" applyBorder="1" applyAlignment="1" applyProtection="1">
      <alignment horizontal="center"/>
    </xf>
    <xf numFmtId="172" fontId="6" fillId="24" borderId="10" xfId="0" applyNumberFormat="1" applyFont="1" applyFill="1" applyBorder="1" applyAlignment="1" applyProtection="1">
      <alignment horizontal="center"/>
    </xf>
    <xf numFmtId="14" fontId="6" fillId="24" borderId="10" xfId="0" applyNumberFormat="1" applyFont="1" applyFill="1" applyBorder="1" applyAlignment="1" applyProtection="1">
      <alignment horizontal="center" wrapText="1"/>
    </xf>
    <xf numFmtId="0" fontId="0" fillId="24" borderId="0" xfId="0" applyNumberFormat="1" applyFont="1" applyFill="1" applyBorder="1" applyAlignment="1" applyProtection="1">
      <alignment horizontal="center" vertical="top"/>
    </xf>
    <xf numFmtId="0" fontId="30" fillId="24" borderId="14" xfId="0" applyNumberFormat="1" applyFont="1" applyFill="1" applyBorder="1" applyAlignment="1" applyProtection="1">
      <alignment vertical="center" wrapText="1"/>
    </xf>
    <xf numFmtId="4" fontId="37" fillId="24" borderId="0" xfId="0" applyNumberFormat="1" applyFont="1" applyFill="1" applyBorder="1" applyAlignment="1" applyProtection="1">
      <alignment horizontal="center" vertical="top" wrapText="1"/>
    </xf>
    <xf numFmtId="4" fontId="6" fillId="24" borderId="0" xfId="0" applyNumberFormat="1" applyFont="1" applyFill="1" applyBorder="1" applyAlignment="1" applyProtection="1">
      <alignment horizontal="center" vertical="top" wrapText="1"/>
    </xf>
    <xf numFmtId="4" fontId="6" fillId="24" borderId="12" xfId="0" applyNumberFormat="1" applyFont="1" applyFill="1" applyBorder="1" applyAlignment="1" applyProtection="1">
      <alignment horizontal="center"/>
    </xf>
    <xf numFmtId="171" fontId="30" fillId="24" borderId="12" xfId="0" applyNumberFormat="1" applyFont="1" applyFill="1" applyBorder="1" applyAlignment="1" applyProtection="1">
      <alignment horizontal="center"/>
    </xf>
    <xf numFmtId="4" fontId="30" fillId="24" borderId="0" xfId="0" applyNumberFormat="1" applyFont="1" applyFill="1" applyBorder="1" applyAlignment="1" applyProtection="1">
      <alignment vertical="top"/>
    </xf>
    <xf numFmtId="0" fontId="30" fillId="24" borderId="17" xfId="0" applyNumberFormat="1" applyFont="1" applyFill="1" applyBorder="1" applyAlignment="1" applyProtection="1">
      <alignment horizontal="left" vertical="top" wrapText="1"/>
    </xf>
    <xf numFmtId="0" fontId="28" fillId="24" borderId="0" xfId="0" applyNumberFormat="1" applyFont="1" applyFill="1" applyBorder="1" applyAlignment="1" applyProtection="1">
      <alignment horizontal="center" vertical="top" wrapText="1"/>
    </xf>
    <xf numFmtId="1" fontId="30" fillId="24" borderId="10" xfId="0" applyNumberFormat="1" applyFont="1" applyFill="1" applyBorder="1" applyAlignment="1" applyProtection="1">
      <alignment horizontal="center" vertical="top"/>
    </xf>
    <xf numFmtId="0" fontId="30" fillId="24" borderId="34" xfId="0" applyNumberFormat="1" applyFont="1" applyFill="1" applyBorder="1" applyAlignment="1" applyProtection="1">
      <alignment horizontal="center" vertical="top" wrapText="1"/>
    </xf>
    <xf numFmtId="2" fontId="30" fillId="24" borderId="29" xfId="0" applyNumberFormat="1" applyFont="1" applyFill="1" applyBorder="1" applyAlignment="1" applyProtection="1">
      <alignment horizontal="center" vertical="top" wrapText="1"/>
    </xf>
    <xf numFmtId="4" fontId="30" fillId="24" borderId="30" xfId="0" applyNumberFormat="1" applyFont="1" applyFill="1" applyBorder="1" applyAlignment="1" applyProtection="1">
      <alignment horizontal="center" vertical="top" wrapText="1"/>
    </xf>
    <xf numFmtId="166" fontId="30" fillId="24" borderId="10" xfId="0" applyNumberFormat="1" applyFont="1" applyFill="1" applyBorder="1" applyAlignment="1" applyProtection="1">
      <alignment horizontal="center" vertical="top"/>
    </xf>
    <xf numFmtId="14" fontId="30" fillId="24" borderId="11" xfId="37" applyNumberFormat="1" applyFont="1" applyFill="1" applyBorder="1" applyAlignment="1" applyProtection="1">
      <alignment horizontal="center" vertical="top"/>
    </xf>
    <xf numFmtId="0" fontId="30" fillId="24" borderId="10" xfId="37" applyNumberFormat="1" applyFont="1" applyFill="1" applyBorder="1" applyAlignment="1" applyProtection="1">
      <alignment horizontal="left" vertical="top" wrapText="1"/>
    </xf>
    <xf numFmtId="2" fontId="30" fillId="24" borderId="10" xfId="37" applyNumberFormat="1" applyFont="1" applyFill="1" applyBorder="1" applyAlignment="1" applyProtection="1">
      <alignment horizontal="center" vertical="top"/>
    </xf>
    <xf numFmtId="4" fontId="38" fillId="24" borderId="10" xfId="0" applyNumberFormat="1" applyFont="1" applyFill="1" applyBorder="1" applyAlignment="1" applyProtection="1">
      <alignment horizontal="center" vertical="top"/>
    </xf>
    <xf numFmtId="4" fontId="38" fillId="24" borderId="10" xfId="0" applyNumberFormat="1" applyFont="1" applyFill="1" applyBorder="1" applyAlignment="1" applyProtection="1">
      <alignment horizontal="center" vertical="top" wrapText="1"/>
    </xf>
    <xf numFmtId="2" fontId="30" fillId="24" borderId="25" xfId="0" applyNumberFormat="1" applyFont="1" applyFill="1" applyBorder="1" applyAlignment="1" applyProtection="1">
      <alignment horizontal="center" vertical="top"/>
    </xf>
    <xf numFmtId="0" fontId="39" fillId="24" borderId="44" xfId="0" applyNumberFormat="1" applyFont="1" applyFill="1" applyBorder="1" applyAlignment="1">
      <alignment horizontal="center" vertical="top" wrapText="1"/>
    </xf>
    <xf numFmtId="0" fontId="29" fillId="24" borderId="12" xfId="0" applyNumberFormat="1" applyFont="1" applyFill="1" applyBorder="1" applyAlignment="1" applyProtection="1">
      <alignment horizontal="center" vertical="top"/>
    </xf>
    <xf numFmtId="4" fontId="29" fillId="24" borderId="12" xfId="0" applyNumberFormat="1" applyFont="1" applyFill="1" applyBorder="1" applyAlignment="1" applyProtection="1">
      <alignment horizontal="center" vertical="top"/>
    </xf>
    <xf numFmtId="4" fontId="6" fillId="24" borderId="10" xfId="0" applyNumberFormat="1" applyFont="1" applyFill="1" applyBorder="1" applyAlignment="1" applyProtection="1">
      <alignment horizontal="center" vertical="top"/>
    </xf>
    <xf numFmtId="0" fontId="30" fillId="0" borderId="10" xfId="0" applyNumberFormat="1" applyFont="1" applyFill="1" applyBorder="1" applyAlignment="1" applyProtection="1">
      <alignment horizontal="center" vertical="top"/>
    </xf>
    <xf numFmtId="4" fontId="0" fillId="24" borderId="0" xfId="0" applyNumberFormat="1" applyFont="1" applyFill="1" applyBorder="1" applyAlignment="1" applyProtection="1">
      <alignment vertical="top"/>
    </xf>
    <xf numFmtId="0" fontId="30" fillId="24" borderId="0" xfId="0" applyNumberFormat="1" applyFont="1" applyFill="1" applyBorder="1" applyAlignment="1" applyProtection="1">
      <alignment horizontal="center" vertical="top" wrapText="1"/>
    </xf>
    <xf numFmtId="4" fontId="30" fillId="24" borderId="10" xfId="0" applyNumberFormat="1" applyFont="1" applyFill="1" applyBorder="1" applyAlignment="1">
      <alignment horizontal="center" vertical="top" wrapText="1"/>
    </xf>
    <xf numFmtId="4" fontId="30" fillId="24" borderId="12" xfId="0" applyNumberFormat="1" applyFont="1" applyFill="1" applyBorder="1" applyAlignment="1">
      <alignment horizontal="center" vertical="top" wrapText="1"/>
    </xf>
    <xf numFmtId="169" fontId="30" fillId="24" borderId="10" xfId="0" applyNumberFormat="1" applyFont="1" applyFill="1" applyBorder="1" applyAlignment="1" applyProtection="1">
      <alignment horizontal="center" vertical="top" wrapText="1"/>
    </xf>
    <xf numFmtId="0" fontId="41" fillId="24" borderId="10" xfId="0" applyNumberFormat="1" applyFont="1" applyFill="1" applyBorder="1" applyAlignment="1" applyProtection="1">
      <alignment horizontal="center" vertical="top" wrapText="1"/>
    </xf>
    <xf numFmtId="14" fontId="42" fillId="24" borderId="11" xfId="0" applyNumberFormat="1" applyFont="1" applyFill="1" applyBorder="1" applyAlignment="1" applyProtection="1">
      <alignment horizontal="center" vertical="top" wrapText="1"/>
    </xf>
    <xf numFmtId="49" fontId="43" fillId="24" borderId="11" xfId="0" applyNumberFormat="1" applyFont="1" applyFill="1" applyBorder="1" applyAlignment="1" applyProtection="1">
      <alignment horizontal="center" vertical="top" wrapText="1"/>
    </xf>
    <xf numFmtId="0" fontId="43" fillId="24" borderId="10" xfId="0" applyNumberFormat="1" applyFont="1" applyFill="1" applyBorder="1" applyAlignment="1" applyProtection="1">
      <alignment horizontal="center" vertical="top" wrapText="1"/>
    </xf>
    <xf numFmtId="171" fontId="36" fillId="24" borderId="12" xfId="0" applyNumberFormat="1" applyFont="1" applyFill="1" applyBorder="1" applyAlignment="1" applyProtection="1">
      <alignment horizontal="center" vertical="top"/>
    </xf>
    <xf numFmtId="0" fontId="36" fillId="24" borderId="12" xfId="0" applyNumberFormat="1" applyFont="1" applyFill="1" applyBorder="1" applyAlignment="1" applyProtection="1">
      <alignment horizontal="center" vertical="top"/>
    </xf>
    <xf numFmtId="4" fontId="36" fillId="24" borderId="12" xfId="0" applyNumberFormat="1" applyFont="1" applyFill="1" applyBorder="1" applyAlignment="1" applyProtection="1">
      <alignment horizontal="center" vertical="top"/>
    </xf>
    <xf numFmtId="4" fontId="31" fillId="24" borderId="10" xfId="0" applyNumberFormat="1" applyFont="1" applyFill="1" applyBorder="1" applyAlignment="1" applyProtection="1">
      <alignment horizontal="center" vertical="top"/>
    </xf>
    <xf numFmtId="49" fontId="6" fillId="24" borderId="10" xfId="0" applyNumberFormat="1" applyFont="1" applyFill="1" applyBorder="1" applyAlignment="1" applyProtection="1">
      <alignment horizontal="center" wrapText="1"/>
    </xf>
    <xf numFmtId="14" fontId="30" fillId="24" borderId="12" xfId="0" applyNumberFormat="1" applyFont="1" applyFill="1" applyBorder="1" applyAlignment="1" applyProtection="1">
      <alignment horizontal="center" wrapText="1"/>
    </xf>
    <xf numFmtId="0" fontId="30" fillId="24" borderId="12" xfId="0" applyNumberFormat="1" applyFont="1" applyFill="1" applyBorder="1" applyAlignment="1" applyProtection="1">
      <alignment horizontal="center" wrapText="1"/>
    </xf>
    <xf numFmtId="171" fontId="0" fillId="24" borderId="0" xfId="0" applyNumberFormat="1" applyFont="1" applyFill="1" applyBorder="1" applyAlignment="1" applyProtection="1">
      <alignment vertical="top"/>
    </xf>
    <xf numFmtId="4" fontId="31" fillId="24" borderId="0" xfId="0" applyNumberFormat="1" applyFont="1" applyFill="1" applyBorder="1" applyAlignment="1" applyProtection="1">
      <alignment horizontal="center" vertical="top"/>
    </xf>
    <xf numFmtId="4" fontId="30" fillId="24" borderId="10" xfId="0" applyNumberFormat="1" applyFont="1" applyFill="1" applyBorder="1" applyAlignment="1" applyProtection="1">
      <alignment horizontal="center"/>
    </xf>
    <xf numFmtId="0" fontId="6" fillId="24" borderId="13" xfId="0" applyNumberFormat="1" applyFont="1" applyFill="1" applyBorder="1" applyAlignment="1" applyProtection="1">
      <alignment wrapText="1"/>
    </xf>
    <xf numFmtId="0" fontId="30" fillId="24" borderId="11" xfId="0" applyNumberFormat="1" applyFont="1" applyFill="1" applyBorder="1" applyAlignment="1" applyProtection="1">
      <alignment horizontal="center" wrapText="1"/>
    </xf>
    <xf numFmtId="171" fontId="6" fillId="24" borderId="12" xfId="0" applyNumberFormat="1" applyFont="1" applyFill="1" applyBorder="1" applyAlignment="1" applyProtection="1">
      <alignment horizontal="center"/>
    </xf>
    <xf numFmtId="0" fontId="30" fillId="24" borderId="10" xfId="0" applyNumberFormat="1" applyFont="1" applyFill="1" applyBorder="1" applyAlignment="1" applyProtection="1">
      <alignment horizontal="center" vertical="top" wrapText="1"/>
    </xf>
    <xf numFmtId="0" fontId="40" fillId="24" borderId="0" xfId="0" applyNumberFormat="1" applyFont="1" applyFill="1" applyBorder="1" applyAlignment="1" applyProtection="1">
      <alignment vertical="top"/>
    </xf>
    <xf numFmtId="0" fontId="30" fillId="24" borderId="1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center" vertical="top"/>
    </xf>
    <xf numFmtId="0" fontId="6" fillId="24" borderId="10" xfId="0" applyNumberFormat="1" applyFont="1" applyFill="1" applyBorder="1" applyAlignment="1" applyProtection="1">
      <alignment horizontal="center" vertical="top" wrapText="1"/>
    </xf>
    <xf numFmtId="14" fontId="6" fillId="24" borderId="10"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horizontal="center" vertical="top"/>
    </xf>
    <xf numFmtId="0" fontId="30" fillId="24" borderId="0" xfId="0" applyNumberFormat="1" applyFont="1" applyFill="1" applyBorder="1" applyAlignment="1" applyProtection="1">
      <alignment horizontal="center" wrapText="1"/>
    </xf>
    <xf numFmtId="0" fontId="30" fillId="24" borderId="10" xfId="0" applyNumberFormat="1" applyFont="1" applyFill="1" applyBorder="1" applyAlignment="1" applyProtection="1">
      <alignment horizontal="center" vertical="top"/>
    </xf>
    <xf numFmtId="0" fontId="33" fillId="0" borderId="10" xfId="0" applyNumberFormat="1" applyFont="1" applyFill="1" applyBorder="1" applyAlignment="1" applyProtection="1">
      <alignment vertical="top" wrapText="1"/>
    </xf>
    <xf numFmtId="0" fontId="6" fillId="24" borderId="11" xfId="0" applyNumberFormat="1" applyFont="1" applyFill="1" applyBorder="1" applyAlignment="1" applyProtection="1">
      <alignment wrapText="1"/>
    </xf>
    <xf numFmtId="0" fontId="33" fillId="0" borderId="11" xfId="0" applyNumberFormat="1" applyFont="1" applyFill="1" applyBorder="1" applyAlignment="1" applyProtection="1">
      <alignment vertical="top" wrapText="1"/>
    </xf>
    <xf numFmtId="14" fontId="30" fillId="24" borderId="25" xfId="0" applyNumberFormat="1" applyFont="1" applyFill="1" applyBorder="1" applyAlignment="1" applyProtection="1">
      <alignment horizontal="center" wrapText="1"/>
    </xf>
    <xf numFmtId="0" fontId="6" fillId="24" borderId="25" xfId="0" applyNumberFormat="1" applyFont="1" applyFill="1" applyBorder="1" applyAlignment="1" applyProtection="1">
      <alignment horizontal="center"/>
    </xf>
    <xf numFmtId="171" fontId="6" fillId="24" borderId="25" xfId="0" applyNumberFormat="1" applyFont="1" applyFill="1" applyBorder="1" applyAlignment="1" applyProtection="1">
      <alignment horizontal="center"/>
    </xf>
    <xf numFmtId="4" fontId="6" fillId="24" borderId="25" xfId="0" applyNumberFormat="1" applyFont="1" applyFill="1" applyBorder="1" applyAlignment="1" applyProtection="1">
      <alignment horizontal="center"/>
    </xf>
    <xf numFmtId="171" fontId="30" fillId="24" borderId="25" xfId="0" applyNumberFormat="1" applyFont="1" applyFill="1" applyBorder="1" applyAlignment="1" applyProtection="1">
      <alignment horizontal="center"/>
    </xf>
    <xf numFmtId="0" fontId="6" fillId="24" borderId="12" xfId="0" applyNumberFormat="1" applyFont="1" applyFill="1" applyBorder="1" applyAlignment="1" applyProtection="1">
      <alignment horizontal="center"/>
    </xf>
    <xf numFmtId="0" fontId="6" fillId="0" borderId="0" xfId="0" applyNumberFormat="1" applyFont="1" applyFill="1" applyBorder="1" applyAlignment="1" applyProtection="1">
      <alignment vertical="top"/>
    </xf>
    <xf numFmtId="0" fontId="6" fillId="24" borderId="10" xfId="0" applyNumberFormat="1" applyFont="1" applyFill="1" applyBorder="1" applyAlignment="1" applyProtection="1">
      <alignment vertical="top"/>
    </xf>
    <xf numFmtId="0" fontId="6" fillId="0" borderId="10" xfId="0" applyNumberFormat="1" applyFont="1" applyFill="1" applyBorder="1" applyAlignment="1" applyProtection="1">
      <alignment vertical="top"/>
    </xf>
    <xf numFmtId="4" fontId="6" fillId="24" borderId="12" xfId="0" applyNumberFormat="1" applyFont="1" applyFill="1" applyBorder="1" applyAlignment="1" applyProtection="1">
      <alignment horizontal="center" vertical="top"/>
    </xf>
    <xf numFmtId="2" fontId="6" fillId="24" borderId="10"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horizontal="left" vertical="justify" wrapText="1"/>
    </xf>
    <xf numFmtId="0" fontId="30" fillId="24" borderId="26" xfId="0" applyNumberFormat="1" applyFont="1" applyFill="1" applyBorder="1" applyAlignment="1" applyProtection="1">
      <alignment vertical="top"/>
    </xf>
    <xf numFmtId="0" fontId="28" fillId="24" borderId="10" xfId="0" applyNumberFormat="1" applyFont="1" applyFill="1" applyBorder="1" applyAlignment="1" applyProtection="1">
      <alignment horizontal="center" vertical="top"/>
    </xf>
    <xf numFmtId="14" fontId="28" fillId="24" borderId="10" xfId="0" applyNumberFormat="1" applyFont="1" applyFill="1" applyBorder="1" applyAlignment="1" applyProtection="1">
      <alignment horizontal="center" vertical="top"/>
    </xf>
    <xf numFmtId="14" fontId="28" fillId="24" borderId="10" xfId="0" applyNumberFormat="1" applyFont="1" applyFill="1" applyBorder="1" applyAlignment="1" applyProtection="1">
      <alignment horizontal="center" vertical="top" wrapText="1"/>
    </xf>
    <xf numFmtId="14" fontId="30" fillId="24" borderId="10" xfId="0" applyNumberFormat="1" applyFont="1" applyFill="1" applyBorder="1" applyAlignment="1" applyProtection="1">
      <alignment horizontal="left" vertical="top" wrapText="1"/>
    </xf>
    <xf numFmtId="16" fontId="30" fillId="24" borderId="10" xfId="0" applyNumberFormat="1" applyFont="1" applyFill="1" applyBorder="1" applyAlignment="1" applyProtection="1">
      <alignment horizontal="center" vertical="top" wrapText="1"/>
    </xf>
    <xf numFmtId="14" fontId="30" fillId="24" borderId="10" xfId="0" applyNumberFormat="1" applyFont="1" applyFill="1" applyBorder="1" applyAlignment="1" applyProtection="1">
      <alignment horizontal="center" vertical="top" wrapText="1"/>
      <protection locked="0"/>
    </xf>
    <xf numFmtId="0" fontId="30" fillId="24" borderId="10" xfId="0" applyNumberFormat="1" applyFont="1" applyFill="1" applyBorder="1" applyAlignment="1" applyProtection="1">
      <alignment horizontal="center" vertical="top" wrapText="1"/>
      <protection locked="0"/>
    </xf>
    <xf numFmtId="14" fontId="30" fillId="24" borderId="14" xfId="0" applyNumberFormat="1" applyFont="1" applyFill="1" applyBorder="1" applyAlignment="1" applyProtection="1">
      <alignment horizontal="center" vertical="top" wrapText="1"/>
    </xf>
    <xf numFmtId="0" fontId="31" fillId="24" borderId="0" xfId="0" applyNumberFormat="1" applyFont="1" applyFill="1" applyBorder="1" applyAlignment="1" applyProtection="1">
      <alignment horizontal="center"/>
    </xf>
    <xf numFmtId="0" fontId="31" fillId="24" borderId="0" xfId="0" applyNumberFormat="1" applyFont="1" applyFill="1" applyBorder="1" applyAlignment="1" applyProtection="1">
      <alignment horizontal="left" vertical="top" wrapText="1"/>
    </xf>
    <xf numFmtId="0" fontId="31" fillId="24" borderId="0" xfId="0" applyNumberFormat="1" applyFont="1" applyFill="1" applyBorder="1" applyAlignment="1" applyProtection="1">
      <alignment horizontal="center" vertical="top"/>
    </xf>
    <xf numFmtId="0" fontId="31" fillId="24" borderId="0" xfId="0" applyNumberFormat="1" applyFont="1" applyFill="1" applyBorder="1" applyAlignment="1" applyProtection="1">
      <alignment horizontal="center" wrapText="1"/>
    </xf>
    <xf numFmtId="0" fontId="31" fillId="24" borderId="0" xfId="0" applyNumberFormat="1" applyFont="1" applyFill="1" applyBorder="1" applyAlignment="1" applyProtection="1">
      <alignment horizontal="left" wrapText="1"/>
    </xf>
    <xf numFmtId="2" fontId="30" fillId="24" borderId="0" xfId="0" applyNumberFormat="1" applyFont="1" applyFill="1" applyBorder="1" applyAlignment="1" applyProtection="1">
      <alignment horizontal="left" vertical="top"/>
    </xf>
    <xf numFmtId="4" fontId="30" fillId="24" borderId="0" xfId="0" applyNumberFormat="1" applyFont="1" applyFill="1" applyBorder="1" applyAlignment="1" applyProtection="1">
      <alignment horizontal="left" vertical="top" wrapText="1"/>
    </xf>
    <xf numFmtId="0" fontId="30" fillId="24" borderId="45" xfId="0" applyNumberFormat="1" applyFont="1" applyFill="1" applyBorder="1" applyAlignment="1" applyProtection="1">
      <alignment horizontal="center" vertical="top" wrapText="1"/>
    </xf>
    <xf numFmtId="14" fontId="30" fillId="24" borderId="14" xfId="0" applyNumberFormat="1" applyFont="1" applyFill="1" applyBorder="1" applyAlignment="1" applyProtection="1">
      <alignment vertical="top" wrapText="1"/>
    </xf>
    <xf numFmtId="0" fontId="30" fillId="24" borderId="14" xfId="0" applyNumberFormat="1" applyFont="1" applyFill="1" applyBorder="1" applyAlignment="1" applyProtection="1">
      <alignment horizontal="left" vertical="top"/>
    </xf>
    <xf numFmtId="14" fontId="30" fillId="24" borderId="43" xfId="0" applyNumberFormat="1" applyFont="1" applyFill="1" applyBorder="1" applyAlignment="1" applyProtection="1">
      <alignment horizontal="center" vertical="top"/>
    </xf>
    <xf numFmtId="0" fontId="30" fillId="24" borderId="15" xfId="0" applyNumberFormat="1" applyFont="1" applyFill="1" applyBorder="1" applyAlignment="1" applyProtection="1">
      <alignment horizontal="left" vertical="top" wrapText="1"/>
    </xf>
    <xf numFmtId="0" fontId="30" fillId="24" borderId="10" xfId="0" applyNumberFormat="1" applyFont="1" applyFill="1" applyBorder="1" applyAlignment="1" applyProtection="1">
      <alignment vertical="top" wrapText="1" shrinkToFit="1"/>
    </xf>
    <xf numFmtId="17" fontId="30" fillId="24" borderId="11" xfId="0" applyNumberFormat="1" applyFont="1" applyFill="1" applyBorder="1" applyAlignment="1" applyProtection="1">
      <alignment horizontal="center" vertical="top"/>
    </xf>
    <xf numFmtId="17" fontId="30" fillId="24" borderId="0" xfId="0" applyNumberFormat="1" applyFont="1" applyFill="1" applyBorder="1" applyAlignment="1" applyProtection="1">
      <alignment horizontal="center" vertical="top"/>
    </xf>
    <xf numFmtId="17" fontId="30" fillId="24" borderId="12" xfId="0" applyNumberFormat="1" applyFont="1" applyFill="1" applyBorder="1" applyAlignment="1" applyProtection="1">
      <alignment horizontal="center" vertical="top"/>
    </xf>
    <xf numFmtId="2" fontId="30" fillId="24" borderId="27" xfId="0" applyNumberFormat="1" applyFont="1" applyFill="1" applyBorder="1" applyAlignment="1" applyProtection="1">
      <alignment horizontal="center" vertical="top" wrapText="1"/>
    </xf>
    <xf numFmtId="164" fontId="30" fillId="24" borderId="10" xfId="28" applyFont="1" applyFill="1" applyBorder="1" applyAlignment="1" applyProtection="1">
      <alignment horizontal="center" vertical="top" wrapText="1"/>
    </xf>
    <xf numFmtId="0" fontId="30" fillId="24" borderId="10" xfId="0" applyNumberFormat="1" applyFont="1" applyFill="1" applyBorder="1" applyAlignment="1" applyProtection="1">
      <alignment horizontal="justify" vertical="top" wrapText="1"/>
    </xf>
    <xf numFmtId="0" fontId="41" fillId="24" borderId="10" xfId="0" applyNumberFormat="1" applyFont="1" applyFill="1" applyBorder="1" applyAlignment="1" applyProtection="1">
      <alignment horizontal="left" vertical="top" wrapText="1"/>
    </xf>
    <xf numFmtId="14" fontId="30" fillId="24" borderId="17" xfId="0" applyNumberFormat="1" applyFont="1" applyFill="1" applyBorder="1" applyAlignment="1" applyProtection="1">
      <alignment horizontal="center" vertical="top"/>
    </xf>
    <xf numFmtId="0" fontId="41" fillId="24" borderId="10" xfId="0" applyNumberFormat="1" applyFont="1" applyFill="1" applyBorder="1" applyAlignment="1" applyProtection="1">
      <alignment vertical="top" wrapText="1"/>
    </xf>
    <xf numFmtId="0" fontId="30" fillId="24" borderId="10" xfId="0" applyFont="1" applyFill="1" applyBorder="1" applyAlignment="1">
      <alignment vertical="top" wrapText="1"/>
    </xf>
    <xf numFmtId="0" fontId="30" fillId="24" borderId="10" xfId="0" applyFont="1" applyFill="1" applyBorder="1" applyAlignment="1">
      <alignment horizontal="left" vertical="top" wrapText="1"/>
    </xf>
    <xf numFmtId="0" fontId="30" fillId="24" borderId="11" xfId="0" applyFont="1" applyFill="1" applyBorder="1" applyAlignment="1">
      <alignment horizontal="left" vertical="top" wrapText="1"/>
    </xf>
    <xf numFmtId="0" fontId="30" fillId="24" borderId="13" xfId="0" applyNumberFormat="1" applyFont="1" applyFill="1" applyBorder="1" applyAlignment="1" applyProtection="1">
      <alignment horizontal="center" vertical="top" wrapText="1"/>
    </xf>
    <xf numFmtId="0" fontId="30" fillId="24" borderId="10" xfId="38" applyFont="1" applyFill="1" applyBorder="1" applyAlignment="1">
      <alignment vertical="top" wrapText="1"/>
    </xf>
    <xf numFmtId="0" fontId="30" fillId="24" borderId="10" xfId="38" applyFont="1" applyFill="1" applyBorder="1" applyAlignment="1">
      <alignment horizontal="center" vertical="top" wrapText="1"/>
    </xf>
    <xf numFmtId="0" fontId="30" fillId="24" borderId="12" xfId="37" applyNumberFormat="1" applyFont="1" applyFill="1" applyBorder="1" applyAlignment="1" applyProtection="1">
      <alignment horizontal="center" vertical="top" wrapText="1"/>
    </xf>
    <xf numFmtId="4" fontId="30" fillId="24" borderId="11" xfId="38" applyNumberFormat="1" applyFont="1" applyFill="1" applyBorder="1" applyAlignment="1">
      <alignment horizontal="center" vertical="top" wrapText="1"/>
    </xf>
    <xf numFmtId="0" fontId="30" fillId="24" borderId="25" xfId="0" applyNumberFormat="1" applyFont="1" applyFill="1" applyBorder="1" applyAlignment="1" applyProtection="1">
      <alignment vertical="top"/>
    </xf>
    <xf numFmtId="49" fontId="30" fillId="24" borderId="25" xfId="0" applyNumberFormat="1" applyFont="1" applyFill="1" applyBorder="1" applyAlignment="1" applyProtection="1">
      <alignment horizontal="center" vertical="top"/>
    </xf>
    <xf numFmtId="14" fontId="30" fillId="24" borderId="25" xfId="0" applyNumberFormat="1" applyFont="1" applyFill="1" applyBorder="1" applyAlignment="1" applyProtection="1">
      <alignment horizontal="center" vertical="top"/>
    </xf>
    <xf numFmtId="4" fontId="30" fillId="24" borderId="30" xfId="38" applyNumberFormat="1" applyFont="1" applyFill="1" applyBorder="1" applyAlignment="1">
      <alignment horizontal="center" vertical="top" wrapText="1"/>
    </xf>
    <xf numFmtId="49" fontId="30" fillId="24" borderId="10" xfId="0" applyNumberFormat="1" applyFont="1" applyFill="1" applyBorder="1" applyAlignment="1" applyProtection="1">
      <alignment horizontal="center" vertical="top"/>
      <protection locked="0"/>
    </xf>
    <xf numFmtId="49" fontId="30" fillId="24" borderId="11" xfId="0" applyNumberFormat="1" applyFont="1" applyFill="1" applyBorder="1" applyAlignment="1" applyProtection="1">
      <alignment horizontal="center" vertical="top"/>
      <protection locked="0"/>
    </xf>
    <xf numFmtId="0" fontId="30" fillId="24" borderId="25" xfId="0" applyNumberFormat="1" applyFont="1" applyFill="1" applyBorder="1" applyAlignment="1" applyProtection="1">
      <alignment horizontal="center" vertical="top"/>
    </xf>
    <xf numFmtId="0" fontId="30" fillId="24" borderId="30" xfId="0" applyNumberFormat="1" applyFont="1" applyFill="1" applyBorder="1" applyAlignment="1" applyProtection="1">
      <alignment vertical="top" wrapText="1"/>
    </xf>
    <xf numFmtId="0" fontId="38" fillId="24" borderId="10" xfId="0" applyNumberFormat="1" applyFont="1" applyFill="1" applyBorder="1" applyAlignment="1" applyProtection="1">
      <alignment horizontal="center" vertical="top"/>
    </xf>
    <xf numFmtId="0" fontId="38" fillId="24" borderId="10" xfId="0" applyNumberFormat="1" applyFont="1" applyFill="1" applyBorder="1" applyAlignment="1" applyProtection="1">
      <alignment horizontal="center" vertical="top" wrapText="1"/>
    </xf>
    <xf numFmtId="14" fontId="38" fillId="24" borderId="10" xfId="0" applyNumberFormat="1" applyFont="1" applyFill="1" applyBorder="1" applyAlignment="1" applyProtection="1">
      <alignment horizontal="center" vertical="top" wrapText="1"/>
    </xf>
    <xf numFmtId="14" fontId="38" fillId="24" borderId="10" xfId="0" applyNumberFormat="1" applyFont="1" applyFill="1" applyBorder="1" applyAlignment="1" applyProtection="1">
      <alignment horizontal="center" vertical="top"/>
    </xf>
    <xf numFmtId="14" fontId="30" fillId="24" borderId="25" xfId="0" applyNumberFormat="1" applyFont="1" applyFill="1" applyBorder="1" applyAlignment="1" applyProtection="1">
      <alignment horizontal="center" vertical="top" wrapText="1"/>
    </xf>
    <xf numFmtId="49" fontId="30" fillId="24" borderId="10" xfId="0" applyNumberFormat="1" applyFont="1" applyFill="1" applyBorder="1" applyAlignment="1" applyProtection="1">
      <alignment horizontal="center" vertical="top" wrapText="1"/>
      <protection locked="0"/>
    </xf>
    <xf numFmtId="4" fontId="30" fillId="24" borderId="23" xfId="0" applyNumberFormat="1" applyFont="1" applyFill="1" applyBorder="1" applyAlignment="1" applyProtection="1">
      <alignment horizontal="center" vertical="top" wrapText="1"/>
    </xf>
    <xf numFmtId="173" fontId="30" fillId="24" borderId="10" xfId="0" applyNumberFormat="1" applyFont="1" applyFill="1" applyBorder="1" applyAlignment="1" applyProtection="1">
      <alignment horizontal="left" vertical="top" wrapText="1"/>
    </xf>
    <xf numFmtId="0" fontId="6" fillId="24" borderId="11" xfId="0" applyNumberFormat="1" applyFont="1" applyFill="1" applyBorder="1" applyAlignment="1" applyProtection="1">
      <alignment vertical="top" wrapText="1"/>
    </xf>
    <xf numFmtId="0" fontId="28" fillId="24" borderId="10" xfId="0" applyNumberFormat="1" applyFont="1" applyFill="1" applyBorder="1" applyAlignment="1" applyProtection="1">
      <alignment vertical="top" wrapText="1"/>
    </xf>
    <xf numFmtId="0" fontId="30" fillId="24" borderId="37" xfId="0" applyNumberFormat="1" applyFont="1" applyFill="1" applyBorder="1" applyAlignment="1" applyProtection="1">
      <alignment horizontal="center" vertical="top" wrapText="1"/>
    </xf>
    <xf numFmtId="0" fontId="30" fillId="24" borderId="38" xfId="0" applyNumberFormat="1" applyFont="1" applyFill="1" applyBorder="1" applyAlignment="1" applyProtection="1">
      <alignment horizontal="center" vertical="top" wrapText="1"/>
    </xf>
    <xf numFmtId="0" fontId="30" fillId="24" borderId="31" xfId="0" applyNumberFormat="1" applyFont="1" applyFill="1" applyBorder="1" applyAlignment="1" applyProtection="1">
      <alignment horizontal="center" vertical="top" wrapText="1"/>
    </xf>
    <xf numFmtId="0" fontId="29" fillId="24" borderId="0" xfId="0" applyNumberFormat="1" applyFont="1" applyFill="1" applyBorder="1" applyAlignment="1" applyProtection="1">
      <alignment horizontal="left"/>
    </xf>
    <xf numFmtId="0" fontId="30" fillId="24" borderId="0"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horizontal="center" vertical="top" wrapText="1"/>
    </xf>
    <xf numFmtId="0" fontId="30" fillId="24" borderId="42" xfId="0" applyNumberFormat="1" applyFont="1" applyFill="1" applyBorder="1" applyAlignment="1" applyProtection="1">
      <alignment horizontal="center" vertical="top" wrapText="1"/>
    </xf>
    <xf numFmtId="0" fontId="29" fillId="24" borderId="0" xfId="0" applyNumberFormat="1" applyFont="1" applyFill="1" applyBorder="1" applyAlignment="1" applyProtection="1">
      <alignment horizontal="left" vertical="top"/>
    </xf>
    <xf numFmtId="0" fontId="29" fillId="24" borderId="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horizontal="center" vertical="top" wrapText="1"/>
    </xf>
    <xf numFmtId="0" fontId="6" fillId="24" borderId="10" xfId="0" applyNumberFormat="1" applyFont="1" applyFill="1" applyBorder="1" applyAlignment="1" applyProtection="1">
      <alignment horizontal="center" vertical="top"/>
    </xf>
    <xf numFmtId="0" fontId="40" fillId="24" borderId="0" xfId="0" applyNumberFormat="1" applyFont="1" applyFill="1" applyBorder="1" applyAlignment="1" applyProtection="1">
      <alignment horizontal="left" vertical="top"/>
    </xf>
    <xf numFmtId="0" fontId="29" fillId="24" borderId="0" xfId="0" applyNumberFormat="1" applyFont="1" applyFill="1" applyBorder="1" applyAlignment="1" applyProtection="1">
      <alignment horizontal="left"/>
    </xf>
    <xf numFmtId="0" fontId="30" fillId="24" borderId="28" xfId="0" applyNumberFormat="1" applyFont="1" applyFill="1" applyBorder="1" applyAlignment="1" applyProtection="1">
      <alignment horizontal="center" vertical="top"/>
    </xf>
    <xf numFmtId="0" fontId="30" fillId="24" borderId="36" xfId="0" applyNumberFormat="1" applyFont="1" applyFill="1" applyBorder="1" applyAlignment="1" applyProtection="1">
      <alignment horizontal="center" vertical="top"/>
    </xf>
    <xf numFmtId="0" fontId="30" fillId="24" borderId="37" xfId="0" applyNumberFormat="1" applyFont="1" applyFill="1" applyBorder="1" applyAlignment="1" applyProtection="1">
      <alignment horizontal="center" vertical="top"/>
    </xf>
    <xf numFmtId="0" fontId="30" fillId="24" borderId="38" xfId="0" applyNumberFormat="1" applyFont="1" applyFill="1" applyBorder="1" applyAlignment="1" applyProtection="1">
      <alignment horizontal="center" vertical="top" wrapText="1"/>
    </xf>
    <xf numFmtId="0" fontId="30" fillId="24" borderId="31" xfId="0" applyNumberFormat="1" applyFont="1" applyFill="1" applyBorder="1" applyAlignment="1" applyProtection="1">
      <alignment horizontal="center" vertical="top" wrapText="1"/>
    </xf>
    <xf numFmtId="0" fontId="30" fillId="24" borderId="0" xfId="0" applyNumberFormat="1" applyFont="1" applyFill="1" applyBorder="1" applyAlignment="1" applyProtection="1">
      <alignment horizontal="center" vertical="top" wrapText="1"/>
    </xf>
    <xf numFmtId="0" fontId="30" fillId="24" borderId="28" xfId="0" applyNumberFormat="1" applyFont="1" applyFill="1" applyBorder="1" applyAlignment="1" applyProtection="1">
      <alignment horizontal="center" vertical="top" wrapText="1"/>
    </xf>
    <xf numFmtId="0" fontId="30" fillId="24" borderId="37" xfId="0" applyNumberFormat="1" applyFont="1" applyFill="1" applyBorder="1" applyAlignment="1" applyProtection="1">
      <alignment horizontal="center" vertical="top" wrapText="1"/>
    </xf>
    <xf numFmtId="0" fontId="30" fillId="24" borderId="39" xfId="0" applyNumberFormat="1" applyFont="1" applyFill="1" applyBorder="1" applyAlignment="1" applyProtection="1">
      <alignment horizontal="center" vertical="top" wrapText="1"/>
    </xf>
    <xf numFmtId="0" fontId="30" fillId="24" borderId="36" xfId="0" applyNumberFormat="1" applyFont="1" applyFill="1" applyBorder="1" applyAlignment="1" applyProtection="1">
      <alignment horizontal="center" vertical="top" wrapText="1"/>
    </xf>
    <xf numFmtId="0" fontId="30" fillId="24" borderId="20" xfId="0" applyNumberFormat="1" applyFont="1" applyFill="1" applyBorder="1" applyAlignment="1" applyProtection="1">
      <alignment horizontal="center" vertical="top" wrapText="1"/>
    </xf>
    <xf numFmtId="2" fontId="30" fillId="24" borderId="38" xfId="0" applyNumberFormat="1" applyFont="1" applyFill="1" applyBorder="1" applyAlignment="1" applyProtection="1">
      <alignment horizontal="center" vertical="top" wrapText="1"/>
    </xf>
    <xf numFmtId="0" fontId="31" fillId="24" borderId="0" xfId="0" applyNumberFormat="1" applyFont="1" applyFill="1" applyBorder="1" applyAlignment="1" applyProtection="1">
      <alignment horizontal="left"/>
    </xf>
    <xf numFmtId="0" fontId="31" fillId="24" borderId="0" xfId="0" applyNumberFormat="1" applyFont="1" applyFill="1" applyBorder="1" applyAlignment="1" applyProtection="1"/>
    <xf numFmtId="0" fontId="29" fillId="24" borderId="0" xfId="0" applyNumberFormat="1" applyFont="1" applyFill="1" applyBorder="1" applyAlignment="1" applyProtection="1">
      <alignment horizontal="left" wrapText="1"/>
    </xf>
    <xf numFmtId="0" fontId="29" fillId="24" borderId="0" xfId="0" applyNumberFormat="1" applyFont="1" applyFill="1" applyBorder="1" applyAlignment="1" applyProtection="1">
      <alignment wrapText="1"/>
    </xf>
    <xf numFmtId="0" fontId="36" fillId="24" borderId="0" xfId="0" applyNumberFormat="1" applyFont="1" applyFill="1" applyBorder="1" applyAlignment="1" applyProtection="1">
      <alignment horizontal="left"/>
    </xf>
    <xf numFmtId="2" fontId="30" fillId="24" borderId="31" xfId="0" applyNumberFormat="1" applyFont="1" applyFill="1" applyBorder="1" applyAlignment="1" applyProtection="1">
      <alignment horizontal="center" vertical="top" wrapText="1"/>
    </xf>
    <xf numFmtId="0" fontId="36" fillId="24" borderId="0" xfId="0" applyNumberFormat="1" applyFont="1" applyFill="1" applyBorder="1" applyAlignment="1" applyProtection="1">
      <alignment horizontal="left" vertical="top"/>
    </xf>
    <xf numFmtId="0" fontId="36" fillId="24" borderId="0" xfId="0" applyNumberFormat="1" applyFont="1" applyFill="1" applyBorder="1" applyAlignment="1" applyProtection="1">
      <alignment horizontal="center" vertical="top"/>
    </xf>
    <xf numFmtId="0" fontId="30" fillId="24" borderId="41" xfId="0" applyNumberFormat="1" applyFont="1" applyFill="1" applyBorder="1" applyAlignment="1" applyProtection="1">
      <alignment horizontal="center" vertical="top" wrapText="1"/>
    </xf>
    <xf numFmtId="0" fontId="30" fillId="24" borderId="42"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horizontal="left" vertical="top"/>
    </xf>
    <xf numFmtId="0" fontId="29" fillId="24" borderId="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horizontal="center" vertical="top" wrapText="1"/>
    </xf>
    <xf numFmtId="4" fontId="30" fillId="24" borderId="10" xfId="38" applyNumberFormat="1" applyFont="1" applyFill="1" applyBorder="1" applyAlignment="1" applyProtection="1">
      <alignment horizontal="center" vertical="top" wrapText="1"/>
      <protection locked="0"/>
    </xf>
    <xf numFmtId="0" fontId="30" fillId="24" borderId="24" xfId="0" applyNumberFormat="1" applyFont="1" applyFill="1" applyBorder="1" applyAlignment="1" applyProtection="1">
      <alignment horizontal="center" vertical="top" wrapText="1"/>
    </xf>
    <xf numFmtId="4" fontId="30" fillId="24" borderId="18" xfId="0" applyNumberFormat="1" applyFont="1" applyFill="1" applyBorder="1" applyAlignment="1" applyProtection="1">
      <alignment horizontal="center" vertical="top" wrapText="1"/>
    </xf>
    <xf numFmtId="14" fontId="30" fillId="24" borderId="10" xfId="0" applyNumberFormat="1" applyFont="1" applyFill="1" applyBorder="1" applyAlignment="1" applyProtection="1">
      <alignment horizontal="right" vertical="top"/>
    </xf>
    <xf numFmtId="0" fontId="30" fillId="24" borderId="13" xfId="0" applyNumberFormat="1" applyFont="1" applyFill="1" applyBorder="1" applyAlignment="1" applyProtection="1">
      <alignment horizontal="left" vertical="top" wrapText="1"/>
    </xf>
    <xf numFmtId="0" fontId="30" fillId="24" borderId="11" xfId="0" applyNumberFormat="1" applyFont="1" applyFill="1" applyBorder="1" applyAlignment="1" applyProtection="1">
      <alignment horizontal="center" vertical="top"/>
    </xf>
    <xf numFmtId="0" fontId="30" fillId="24" borderId="11" xfId="0" applyNumberFormat="1" applyFont="1" applyFill="1" applyBorder="1" applyAlignment="1" applyProtection="1">
      <alignment horizontal="center" vertical="top" wrapText="1"/>
    </xf>
    <xf numFmtId="49" fontId="30" fillId="24" borderId="11" xfId="0" applyNumberFormat="1" applyFont="1" applyFill="1" applyBorder="1" applyAlignment="1" applyProtection="1">
      <alignment horizontal="center" vertical="top" wrapText="1"/>
    </xf>
    <xf numFmtId="14" fontId="30" fillId="24" borderId="11" xfId="0" applyNumberFormat="1" applyFont="1" applyFill="1" applyBorder="1" applyAlignment="1" applyProtection="1">
      <alignment horizontal="center" vertical="top" wrapText="1"/>
    </xf>
    <xf numFmtId="14" fontId="30" fillId="24" borderId="11" xfId="0" applyNumberFormat="1" applyFont="1" applyFill="1" applyBorder="1" applyAlignment="1" applyProtection="1">
      <alignment horizontal="center" vertical="top"/>
    </xf>
    <xf numFmtId="0" fontId="30" fillId="24" borderId="12" xfId="0" applyNumberFormat="1" applyFont="1" applyFill="1" applyBorder="1" applyAlignment="1" applyProtection="1">
      <alignment horizontal="center" vertical="top"/>
    </xf>
    <xf numFmtId="0" fontId="30" fillId="24" borderId="12" xfId="0" applyNumberFormat="1" applyFont="1" applyFill="1" applyBorder="1" applyAlignment="1" applyProtection="1">
      <alignment horizontal="center" vertical="top" wrapText="1"/>
    </xf>
    <xf numFmtId="49" fontId="30" fillId="24" borderId="12" xfId="0" applyNumberFormat="1" applyFont="1" applyFill="1" applyBorder="1" applyAlignment="1" applyProtection="1">
      <alignment horizontal="center" vertical="top" wrapText="1"/>
    </xf>
    <xf numFmtId="14" fontId="30" fillId="24" borderId="12" xfId="0" applyNumberFormat="1" applyFont="1" applyFill="1" applyBorder="1" applyAlignment="1" applyProtection="1">
      <alignment horizontal="center" vertical="top" wrapText="1"/>
    </xf>
    <xf numFmtId="14" fontId="30" fillId="24" borderId="12" xfId="0" applyNumberFormat="1" applyFont="1" applyFill="1" applyBorder="1" applyAlignment="1" applyProtection="1">
      <alignment horizontal="center" vertical="top"/>
    </xf>
    <xf numFmtId="49" fontId="28" fillId="24" borderId="10" xfId="0" applyNumberFormat="1" applyFont="1" applyFill="1" applyBorder="1" applyAlignment="1" applyProtection="1">
      <alignment vertical="top" wrapText="1"/>
    </xf>
    <xf numFmtId="4" fontId="38" fillId="24" borderId="10" xfId="38" applyNumberFormat="1" applyFont="1" applyFill="1" applyBorder="1" applyAlignment="1">
      <alignment horizontal="center" vertical="top" wrapText="1"/>
    </xf>
    <xf numFmtId="2" fontId="30" fillId="24" borderId="15" xfId="0" applyNumberFormat="1" applyFont="1" applyFill="1" applyBorder="1" applyAlignment="1" applyProtection="1">
      <alignment horizontal="center" vertical="top" wrapText="1"/>
    </xf>
    <xf numFmtId="171" fontId="6" fillId="24" borderId="10" xfId="0" applyNumberFormat="1" applyFont="1" applyFill="1" applyBorder="1" applyAlignment="1" applyProtection="1">
      <alignment horizontal="center" vertical="top"/>
    </xf>
    <xf numFmtId="171" fontId="6" fillId="24" borderId="0" xfId="0" applyNumberFormat="1" applyFont="1" applyFill="1" applyBorder="1" applyAlignment="1" applyProtection="1">
      <alignment horizontal="center" vertical="top"/>
    </xf>
    <xf numFmtId="0" fontId="1" fillId="24" borderId="0" xfId="0" applyNumberFormat="1" applyFont="1" applyFill="1" applyBorder="1" applyAlignment="1" applyProtection="1">
      <alignment vertical="top"/>
    </xf>
    <xf numFmtId="0" fontId="28" fillId="24" borderId="0" xfId="0" applyFont="1" applyFill="1" applyBorder="1" applyAlignment="1">
      <alignment horizontal="center"/>
    </xf>
    <xf numFmtId="0" fontId="28" fillId="24" borderId="0" xfId="0" applyFont="1" applyFill="1" applyBorder="1" applyAlignment="1"/>
    <xf numFmtId="0" fontId="28" fillId="24" borderId="0" xfId="0" applyNumberFormat="1" applyFont="1" applyFill="1" applyBorder="1" applyAlignment="1"/>
    <xf numFmtId="4" fontId="28" fillId="24" borderId="0" xfId="0" applyNumberFormat="1" applyFont="1" applyFill="1" applyBorder="1" applyAlignment="1"/>
    <xf numFmtId="4" fontId="6" fillId="24" borderId="0" xfId="0" applyNumberFormat="1" applyFont="1" applyFill="1" applyBorder="1" applyAlignment="1">
      <alignment vertical="top"/>
    </xf>
    <xf numFmtId="0" fontId="37" fillId="24" borderId="0" xfId="0" applyNumberFormat="1" applyFont="1" applyFill="1" applyBorder="1" applyAlignment="1" applyProtection="1">
      <alignment horizontal="left" vertical="top"/>
    </xf>
    <xf numFmtId="0" fontId="26" fillId="24" borderId="0" xfId="0" applyNumberFormat="1" applyFont="1" applyFill="1" applyBorder="1" applyAlignment="1" applyProtection="1">
      <alignment horizontal="left" vertical="top"/>
    </xf>
    <xf numFmtId="0" fontId="27" fillId="24" borderId="0" xfId="0" applyNumberFormat="1" applyFont="1" applyFill="1" applyBorder="1" applyAlignment="1" applyProtection="1">
      <alignment vertical="top"/>
    </xf>
    <xf numFmtId="4" fontId="30" fillId="24" borderId="11" xfId="0" applyNumberFormat="1" applyFont="1" applyFill="1" applyBorder="1" applyAlignment="1" applyProtection="1">
      <alignment horizontal="center" vertical="top" wrapText="1"/>
    </xf>
    <xf numFmtId="4" fontId="6" fillId="24" borderId="11" xfId="0" applyNumberFormat="1" applyFont="1" applyFill="1" applyBorder="1" applyAlignment="1" applyProtection="1">
      <alignment horizontal="center" vertical="top" wrapText="1"/>
    </xf>
    <xf numFmtId="4" fontId="30" fillId="24" borderId="10" xfId="0" applyNumberFormat="1" applyFont="1" applyFill="1" applyBorder="1" applyAlignment="1" applyProtection="1">
      <alignment horizontal="center" vertical="top" wrapText="1"/>
    </xf>
    <xf numFmtId="1" fontId="30" fillId="24" borderId="10" xfId="0" applyNumberFormat="1" applyFont="1" applyFill="1" applyBorder="1" applyAlignment="1" applyProtection="1">
      <alignment horizontal="center" vertical="top" wrapText="1"/>
    </xf>
    <xf numFmtId="0" fontId="30" fillId="24" borderId="0" xfId="0" applyFont="1" applyFill="1" applyBorder="1" applyAlignment="1"/>
    <xf numFmtId="4" fontId="30" fillId="24" borderId="12" xfId="0" applyNumberFormat="1" applyFont="1" applyFill="1" applyBorder="1" applyAlignment="1" applyProtection="1">
      <alignment horizontal="center" vertical="top" wrapText="1"/>
    </xf>
    <xf numFmtId="4" fontId="6" fillId="24" borderId="12" xfId="0" applyNumberFormat="1" applyFont="1" applyFill="1" applyBorder="1" applyAlignment="1" applyProtection="1">
      <alignment horizontal="center" vertical="top" wrapText="1"/>
    </xf>
    <xf numFmtId="0" fontId="30" fillId="24" borderId="0" xfId="0" applyFont="1" applyFill="1" applyBorder="1" applyAlignment="1">
      <alignment horizontal="center"/>
    </xf>
    <xf numFmtId="0" fontId="30" fillId="24" borderId="10" xfId="0" applyFont="1" applyFill="1" applyBorder="1" applyAlignment="1">
      <alignment horizontal="center"/>
    </xf>
    <xf numFmtId="0" fontId="30" fillId="24" borderId="10" xfId="0" applyFont="1" applyFill="1" applyBorder="1" applyAlignment="1"/>
    <xf numFmtId="4" fontId="6" fillId="24" borderId="10" xfId="0" applyNumberFormat="1" applyFont="1" applyFill="1" applyBorder="1" applyAlignment="1">
      <alignment horizontal="center" vertical="top"/>
    </xf>
    <xf numFmtId="0" fontId="30" fillId="24" borderId="10" xfId="0" applyFont="1" applyFill="1" applyBorder="1" applyAlignment="1">
      <alignment horizontal="center" vertical="top" wrapText="1"/>
    </xf>
    <xf numFmtId="14" fontId="30" fillId="24" borderId="10" xfId="0" applyNumberFormat="1" applyFont="1" applyFill="1" applyBorder="1" applyAlignment="1">
      <alignment horizontal="center" vertical="top"/>
    </xf>
    <xf numFmtId="0" fontId="30" fillId="24" borderId="10" xfId="0" applyFont="1" applyFill="1" applyBorder="1" applyAlignment="1">
      <alignment horizontal="center" vertical="top"/>
    </xf>
    <xf numFmtId="0" fontId="30" fillId="24" borderId="10" xfId="0" applyFont="1" applyFill="1" applyBorder="1" applyAlignment="1">
      <alignment horizontal="center"/>
    </xf>
    <xf numFmtId="0" fontId="30" fillId="24" borderId="11" xfId="0" applyFont="1" applyFill="1" applyBorder="1" applyAlignment="1">
      <alignment horizontal="center" vertical="center" wrapText="1"/>
    </xf>
    <xf numFmtId="0" fontId="30" fillId="24" borderId="25" xfId="0" applyFont="1" applyFill="1" applyBorder="1" applyAlignment="1">
      <alignment horizontal="center" vertical="center" wrapText="1"/>
    </xf>
    <xf numFmtId="0" fontId="30" fillId="24" borderId="12" xfId="0" applyFont="1" applyFill="1" applyBorder="1" applyAlignment="1">
      <alignment horizontal="center" vertical="center" wrapText="1"/>
    </xf>
    <xf numFmtId="4" fontId="30" fillId="24" borderId="10" xfId="0" applyNumberFormat="1" applyFont="1" applyFill="1" applyBorder="1" applyAlignment="1">
      <alignment horizontal="center" vertical="top"/>
    </xf>
    <xf numFmtId="0" fontId="6" fillId="24" borderId="10" xfId="0" applyFont="1" applyFill="1" applyBorder="1" applyAlignment="1">
      <alignment vertical="top"/>
    </xf>
    <xf numFmtId="175" fontId="30" fillId="24" borderId="10" xfId="0" applyNumberFormat="1" applyFont="1" applyFill="1" applyBorder="1" applyAlignment="1" applyProtection="1">
      <alignment horizontal="center" vertical="top"/>
    </xf>
    <xf numFmtId="4" fontId="6" fillId="24" borderId="10" xfId="0" applyNumberFormat="1" applyFont="1" applyFill="1" applyBorder="1" applyAlignment="1" applyProtection="1">
      <alignment horizontal="center" vertical="top" wrapText="1"/>
    </xf>
    <xf numFmtId="1" fontId="30" fillId="24" borderId="10" xfId="0" applyNumberFormat="1" applyFont="1" applyFill="1" applyBorder="1" applyAlignment="1">
      <alignment horizontal="center" vertical="top"/>
    </xf>
    <xf numFmtId="0" fontId="30" fillId="24" borderId="10" xfId="0" applyNumberFormat="1" applyFont="1" applyFill="1" applyBorder="1" applyAlignment="1">
      <alignment horizontal="center" vertical="top"/>
    </xf>
    <xf numFmtId="0" fontId="30" fillId="24" borderId="10" xfId="0" applyFont="1" applyFill="1" applyBorder="1" applyAlignment="1">
      <alignment vertical="top"/>
    </xf>
    <xf numFmtId="0" fontId="30" fillId="24" borderId="0" xfId="0" applyFont="1" applyFill="1" applyBorder="1" applyAlignment="1">
      <alignment vertical="top"/>
    </xf>
    <xf numFmtId="1" fontId="30" fillId="24" borderId="10" xfId="0" applyNumberFormat="1" applyFont="1" applyFill="1" applyBorder="1" applyAlignment="1">
      <alignment horizontal="center" vertical="top" wrapText="1"/>
    </xf>
    <xf numFmtId="4" fontId="6" fillId="24" borderId="10" xfId="0" applyNumberFormat="1" applyFont="1" applyFill="1" applyBorder="1" applyAlignment="1">
      <alignment horizontal="center" vertical="top" wrapText="1"/>
    </xf>
    <xf numFmtId="0" fontId="30" fillId="24" borderId="0" xfId="0" applyFont="1" applyFill="1" applyBorder="1" applyAlignment="1">
      <alignment vertical="top" wrapText="1"/>
    </xf>
    <xf numFmtId="49" fontId="6" fillId="24" borderId="10" xfId="0" applyNumberFormat="1" applyFont="1" applyFill="1" applyBorder="1" applyAlignment="1" applyProtection="1">
      <alignment horizontal="center" vertical="top" wrapText="1"/>
    </xf>
    <xf numFmtId="49" fontId="28" fillId="24" borderId="10" xfId="0" applyNumberFormat="1" applyFont="1" applyFill="1" applyBorder="1" applyAlignment="1" applyProtection="1">
      <alignment horizontal="center" vertical="top" wrapText="1"/>
    </xf>
    <xf numFmtId="0" fontId="6" fillId="24" borderId="0" xfId="0" applyFont="1" applyFill="1" applyBorder="1" applyAlignment="1">
      <alignment horizontal="center"/>
    </xf>
    <xf numFmtId="0" fontId="6" fillId="24" borderId="0" xfId="0" applyFont="1" applyFill="1" applyBorder="1" applyAlignment="1"/>
    <xf numFmtId="4" fontId="26" fillId="24" borderId="0" xfId="0" applyNumberFormat="1" applyFont="1" applyFill="1" applyBorder="1" applyAlignment="1">
      <alignment horizontal="center"/>
    </xf>
    <xf numFmtId="4" fontId="26" fillId="24" borderId="0" xfId="0" applyNumberFormat="1" applyFont="1" applyFill="1" applyBorder="1" applyAlignment="1">
      <alignment horizontal="center" vertical="top"/>
    </xf>
    <xf numFmtId="0" fontId="26" fillId="24" borderId="0" xfId="0" applyNumberFormat="1" applyFont="1" applyFill="1" applyBorder="1" applyAlignment="1">
      <alignment horizontal="center"/>
    </xf>
    <xf numFmtId="0" fontId="37" fillId="24" borderId="0" xfId="0" applyNumberFormat="1" applyFont="1" applyFill="1" applyBorder="1" applyAlignment="1" applyProtection="1">
      <alignment horizontal="left"/>
    </xf>
    <xf numFmtId="1" fontId="6" fillId="24" borderId="0" xfId="0" applyNumberFormat="1" applyFont="1" applyFill="1" applyBorder="1" applyAlignment="1" applyProtection="1">
      <alignment horizontal="center" vertical="top"/>
    </xf>
    <xf numFmtId="0" fontId="37" fillId="24" borderId="0" xfId="0" applyNumberFormat="1" applyFont="1" applyFill="1" applyBorder="1" applyAlignment="1" applyProtection="1">
      <alignment vertical="top"/>
    </xf>
    <xf numFmtId="0" fontId="37" fillId="24" borderId="0" xfId="0" applyNumberFormat="1" applyFont="1" applyFill="1" applyBorder="1" applyAlignment="1" applyProtection="1">
      <alignment horizontal="center" vertical="top"/>
    </xf>
    <xf numFmtId="0" fontId="30" fillId="24" borderId="13" xfId="0" applyNumberFormat="1" applyFont="1" applyFill="1" applyBorder="1" applyAlignment="1" applyProtection="1">
      <alignment horizontal="center" vertical="top" wrapText="1"/>
    </xf>
    <xf numFmtId="0" fontId="30" fillId="24" borderId="35" xfId="0" applyNumberFormat="1" applyFont="1" applyFill="1" applyBorder="1" applyAlignment="1" applyProtection="1">
      <alignment horizontal="center" vertical="top" wrapText="1"/>
    </xf>
    <xf numFmtId="0" fontId="30" fillId="24" borderId="14" xfId="0" applyNumberFormat="1" applyFont="1" applyFill="1" applyBorder="1" applyAlignment="1" applyProtection="1">
      <alignment horizontal="center" vertical="top" wrapText="1"/>
    </xf>
    <xf numFmtId="0" fontId="30" fillId="24" borderId="13" xfId="0" applyNumberFormat="1" applyFont="1" applyFill="1" applyBorder="1" applyAlignment="1" applyProtection="1">
      <alignment horizontal="center" vertical="center" wrapText="1"/>
    </xf>
    <xf numFmtId="0" fontId="30" fillId="24" borderId="35" xfId="0" applyNumberFormat="1" applyFont="1" applyFill="1" applyBorder="1" applyAlignment="1" applyProtection="1">
      <alignment horizontal="center" vertical="center" wrapText="1"/>
    </xf>
    <xf numFmtId="0" fontId="30" fillId="24" borderId="14" xfId="0" applyNumberFormat="1" applyFont="1" applyFill="1" applyBorder="1" applyAlignment="1" applyProtection="1">
      <alignment horizontal="center" vertical="center" wrapText="1"/>
    </xf>
    <xf numFmtId="1" fontId="30" fillId="24" borderId="13" xfId="0" applyNumberFormat="1" applyFont="1" applyFill="1" applyBorder="1" applyAlignment="1" applyProtection="1">
      <alignment horizontal="center" vertical="top" wrapText="1"/>
    </xf>
    <xf numFmtId="1" fontId="30" fillId="24" borderId="35" xfId="0" applyNumberFormat="1" applyFont="1" applyFill="1" applyBorder="1" applyAlignment="1" applyProtection="1">
      <alignment horizontal="center" vertical="top" wrapText="1"/>
    </xf>
    <xf numFmtId="1" fontId="30" fillId="24" borderId="14" xfId="0" applyNumberFormat="1" applyFont="1" applyFill="1" applyBorder="1" applyAlignment="1" applyProtection="1">
      <alignment horizontal="center" vertical="top" wrapText="1"/>
    </xf>
    <xf numFmtId="4" fontId="30" fillId="24" borderId="11" xfId="0" applyNumberFormat="1" applyFont="1" applyFill="1" applyBorder="1" applyAlignment="1" applyProtection="1">
      <alignment vertical="top" wrapText="1"/>
    </xf>
    <xf numFmtId="4" fontId="30" fillId="24" borderId="12" xfId="0" applyNumberFormat="1" applyFont="1" applyFill="1" applyBorder="1" applyAlignment="1" applyProtection="1">
      <alignment vertical="top" wrapText="1"/>
    </xf>
    <xf numFmtId="0" fontId="30" fillId="24" borderId="10" xfId="0" applyNumberFormat="1" applyFont="1" applyFill="1" applyBorder="1" applyAlignment="1" applyProtection="1">
      <alignment horizontal="center" vertical="center" wrapText="1"/>
    </xf>
    <xf numFmtId="4" fontId="30" fillId="24" borderId="11" xfId="0" applyNumberFormat="1" applyFont="1" applyFill="1" applyBorder="1" applyAlignment="1" applyProtection="1">
      <alignment vertical="center"/>
    </xf>
    <xf numFmtId="0" fontId="30" fillId="24" borderId="11" xfId="0" applyNumberFormat="1" applyFont="1" applyFill="1" applyBorder="1" applyAlignment="1" applyProtection="1">
      <alignment vertical="center" wrapText="1"/>
    </xf>
    <xf numFmtId="4" fontId="30" fillId="24" borderId="25" xfId="0" applyNumberFormat="1" applyFont="1" applyFill="1" applyBorder="1" applyAlignment="1" applyProtection="1">
      <alignment vertical="center"/>
    </xf>
    <xf numFmtId="0" fontId="30" fillId="24" borderId="25" xfId="0" applyNumberFormat="1" applyFont="1" applyFill="1" applyBorder="1" applyAlignment="1" applyProtection="1">
      <alignment vertical="center" wrapText="1"/>
    </xf>
    <xf numFmtId="4" fontId="30" fillId="24" borderId="25" xfId="0" applyNumberFormat="1" applyFont="1" applyFill="1" applyBorder="1" applyAlignment="1" applyProtection="1">
      <alignment vertical="top"/>
    </xf>
    <xf numFmtId="4" fontId="30" fillId="24" borderId="12" xfId="0" applyNumberFormat="1" applyFont="1" applyFill="1" applyBorder="1" applyAlignment="1" applyProtection="1">
      <alignment vertical="center"/>
    </xf>
    <xf numFmtId="0" fontId="30" fillId="24" borderId="12" xfId="0" applyNumberFormat="1" applyFont="1" applyFill="1" applyBorder="1" applyAlignment="1" applyProtection="1">
      <alignment vertical="center" wrapText="1"/>
    </xf>
    <xf numFmtId="0" fontId="30" fillId="24" borderId="11" xfId="0" applyNumberFormat="1" applyFont="1" applyFill="1" applyBorder="1" applyAlignment="1" applyProtection="1">
      <alignment horizontal="center" vertical="center" wrapText="1"/>
    </xf>
    <xf numFmtId="4" fontId="30" fillId="24" borderId="25" xfId="0" applyNumberFormat="1" applyFont="1" applyFill="1" applyBorder="1" applyAlignment="1" applyProtection="1">
      <alignment horizontal="center" vertical="top"/>
    </xf>
    <xf numFmtId="0" fontId="30" fillId="24" borderId="25" xfId="0" applyNumberFormat="1" applyFont="1" applyFill="1" applyBorder="1" applyAlignment="1" applyProtection="1">
      <alignment horizontal="center" vertical="center" wrapText="1"/>
    </xf>
    <xf numFmtId="0" fontId="30" fillId="24" borderId="12" xfId="0" applyNumberFormat="1" applyFont="1" applyFill="1" applyBorder="1" applyAlignment="1" applyProtection="1">
      <alignment horizontal="center" vertical="center" wrapText="1"/>
    </xf>
    <xf numFmtId="4" fontId="30" fillId="24" borderId="11" xfId="0" applyNumberFormat="1" applyFont="1" applyFill="1" applyBorder="1" applyAlignment="1" applyProtection="1">
      <alignment horizontal="center" vertical="top"/>
    </xf>
    <xf numFmtId="4" fontId="30" fillId="24" borderId="12" xfId="0" applyNumberFormat="1" applyFont="1" applyFill="1" applyBorder="1" applyAlignment="1" applyProtection="1">
      <alignment horizontal="center" vertical="top"/>
    </xf>
    <xf numFmtId="1" fontId="30" fillId="24" borderId="10" xfId="0" applyNumberFormat="1" applyFont="1" applyFill="1" applyBorder="1" applyAlignment="1" applyProtection="1">
      <alignment horizontal="center" vertical="top" wrapText="1" shrinkToFit="1"/>
    </xf>
    <xf numFmtId="0" fontId="28" fillId="24" borderId="10" xfId="0" applyNumberFormat="1" applyFont="1" applyFill="1" applyBorder="1" applyAlignment="1" applyProtection="1">
      <alignment horizontal="left" vertical="top" wrapText="1"/>
    </xf>
    <xf numFmtId="1" fontId="30" fillId="24" borderId="10" xfId="0" applyNumberFormat="1" applyFont="1" applyFill="1" applyBorder="1" applyAlignment="1" applyProtection="1">
      <alignment vertical="top" wrapText="1"/>
    </xf>
    <xf numFmtId="4" fontId="30" fillId="24" borderId="10" xfId="0" applyNumberFormat="1" applyFont="1" applyFill="1" applyBorder="1" applyAlignment="1" applyProtection="1">
      <alignment horizontal="center" vertical="center" wrapText="1"/>
    </xf>
    <xf numFmtId="4" fontId="30" fillId="24" borderId="10" xfId="0" applyNumberFormat="1" applyFont="1" applyFill="1" applyBorder="1" applyAlignment="1" applyProtection="1">
      <alignment vertical="center" wrapText="1"/>
    </xf>
    <xf numFmtId="4" fontId="30" fillId="24" borderId="11" xfId="0" applyNumberFormat="1" applyFont="1" applyFill="1" applyBorder="1" applyAlignment="1" applyProtection="1">
      <alignment horizontal="center" vertical="center"/>
    </xf>
    <xf numFmtId="4" fontId="30" fillId="24" borderId="25" xfId="0" applyNumberFormat="1" applyFont="1" applyFill="1" applyBorder="1" applyAlignment="1" applyProtection="1">
      <alignment horizontal="center" vertical="center"/>
    </xf>
    <xf numFmtId="4" fontId="30" fillId="24" borderId="12" xfId="0" applyNumberFormat="1" applyFont="1" applyFill="1" applyBorder="1" applyAlignment="1" applyProtection="1">
      <alignment horizontal="center" vertical="center"/>
    </xf>
    <xf numFmtId="49" fontId="31" fillId="24" borderId="10" xfId="0" applyNumberFormat="1" applyFont="1" applyFill="1" applyBorder="1" applyAlignment="1" applyProtection="1">
      <alignment horizontal="center" vertical="top"/>
    </xf>
    <xf numFmtId="0" fontId="31" fillId="24" borderId="10" xfId="0" applyNumberFormat="1" applyFont="1" applyFill="1" applyBorder="1" applyAlignment="1" applyProtection="1">
      <alignment horizontal="left" vertical="top" wrapText="1"/>
    </xf>
    <xf numFmtId="0" fontId="31" fillId="24" borderId="10" xfId="0" applyNumberFormat="1" applyFont="1" applyFill="1" applyBorder="1" applyAlignment="1" applyProtection="1">
      <alignment horizontal="center" vertical="top"/>
    </xf>
    <xf numFmtId="0" fontId="31" fillId="24" borderId="10" xfId="0" applyNumberFormat="1" applyFont="1" applyFill="1" applyBorder="1" applyAlignment="1" applyProtection="1">
      <alignment horizontal="center" vertical="top" wrapText="1"/>
    </xf>
    <xf numFmtId="14" fontId="31" fillId="24" borderId="10" xfId="0" applyNumberFormat="1" applyFont="1" applyFill="1" applyBorder="1" applyAlignment="1" applyProtection="1">
      <alignment horizontal="center" vertical="top" wrapText="1"/>
    </xf>
    <xf numFmtId="2" fontId="31" fillId="24" borderId="10" xfId="0" applyNumberFormat="1" applyFont="1" applyFill="1" applyBorder="1" applyAlignment="1" applyProtection="1">
      <alignment horizontal="center" vertical="top"/>
    </xf>
    <xf numFmtId="14" fontId="31" fillId="24" borderId="10" xfId="0" applyNumberFormat="1" applyFont="1" applyFill="1" applyBorder="1" applyAlignment="1" applyProtection="1">
      <alignment horizontal="center" vertical="top"/>
    </xf>
    <xf numFmtId="4" fontId="30" fillId="24" borderId="11" xfId="0" applyNumberFormat="1" applyFont="1" applyFill="1" applyBorder="1" applyAlignment="1" applyProtection="1">
      <alignment vertical="center" wrapText="1"/>
    </xf>
    <xf numFmtId="0" fontId="31" fillId="24" borderId="0" xfId="0" applyNumberFormat="1" applyFont="1" applyFill="1" applyBorder="1" applyAlignment="1" applyProtection="1">
      <alignment vertical="top"/>
    </xf>
    <xf numFmtId="0" fontId="30" fillId="24" borderId="25" xfId="0" applyNumberFormat="1" applyFont="1" applyFill="1" applyBorder="1" applyAlignment="1" applyProtection="1">
      <alignment horizontal="center" vertical="top"/>
    </xf>
    <xf numFmtId="49" fontId="30" fillId="24" borderId="10" xfId="0" applyNumberFormat="1" applyFont="1" applyFill="1" applyBorder="1" applyAlignment="1" applyProtection="1">
      <alignment horizontal="center" vertical="center" wrapText="1"/>
    </xf>
    <xf numFmtId="4" fontId="30" fillId="24" borderId="25" xfId="0" applyNumberFormat="1" applyFont="1" applyFill="1" applyBorder="1" applyAlignment="1" applyProtection="1">
      <alignment vertical="center" wrapText="1"/>
    </xf>
    <xf numFmtId="3" fontId="30" fillId="24" borderId="10" xfId="0" applyNumberFormat="1" applyFont="1" applyFill="1" applyBorder="1" applyAlignment="1" applyProtection="1">
      <alignment horizontal="center" vertical="top" wrapText="1"/>
    </xf>
    <xf numFmtId="4" fontId="30" fillId="24" borderId="12" xfId="0" applyNumberFormat="1" applyFont="1" applyFill="1" applyBorder="1" applyAlignment="1" applyProtection="1">
      <alignment vertical="center" wrapText="1"/>
    </xf>
    <xf numFmtId="49" fontId="31" fillId="24" borderId="10" xfId="0" applyNumberFormat="1" applyFont="1" applyFill="1" applyBorder="1" applyAlignment="1" applyProtection="1">
      <alignment horizontal="center" vertical="center" wrapText="1"/>
    </xf>
    <xf numFmtId="49" fontId="31" fillId="24" borderId="10" xfId="0" applyNumberFormat="1" applyFont="1" applyFill="1" applyBorder="1" applyAlignment="1" applyProtection="1">
      <alignment horizontal="center" vertical="top" wrapText="1"/>
    </xf>
    <xf numFmtId="175" fontId="30" fillId="24" borderId="10" xfId="0" applyNumberFormat="1" applyFont="1" applyFill="1" applyBorder="1" applyAlignment="1" applyProtection="1">
      <alignment horizontal="center" vertical="top" wrapText="1"/>
    </xf>
    <xf numFmtId="2" fontId="31" fillId="24" borderId="10" xfId="0" applyNumberFormat="1" applyFont="1" applyFill="1" applyBorder="1" applyAlignment="1" applyProtection="1">
      <alignment horizontal="center" vertical="top" wrapText="1"/>
    </xf>
    <xf numFmtId="4" fontId="31" fillId="24" borderId="10" xfId="0" applyNumberFormat="1" applyFont="1" applyFill="1" applyBorder="1" applyAlignment="1" applyProtection="1">
      <alignment horizontal="center" vertical="top" wrapText="1"/>
    </xf>
    <xf numFmtId="0" fontId="30" fillId="24" borderId="10" xfId="0" applyFont="1" applyFill="1" applyBorder="1" applyAlignment="1">
      <alignment horizontal="left" vertical="center" wrapText="1"/>
    </xf>
    <xf numFmtId="168" fontId="6" fillId="24" borderId="10" xfId="0" applyNumberFormat="1" applyFont="1" applyFill="1" applyBorder="1" applyAlignment="1" applyProtection="1">
      <alignment horizontal="center" vertical="top"/>
    </xf>
    <xf numFmtId="0" fontId="6" fillId="24" borderId="0" xfId="0" applyNumberFormat="1" applyFont="1" applyFill="1" applyBorder="1" applyAlignment="1" applyProtection="1">
      <alignment horizontal="left" vertical="top"/>
    </xf>
    <xf numFmtId="176" fontId="36" fillId="24" borderId="12" xfId="0" applyNumberFormat="1" applyFont="1" applyFill="1" applyBorder="1" applyAlignment="1" applyProtection="1">
      <alignment vertical="top" wrapText="1"/>
    </xf>
    <xf numFmtId="176" fontId="36" fillId="24" borderId="0" xfId="0" applyNumberFormat="1" applyFont="1" applyFill="1" applyBorder="1" applyAlignment="1" applyProtection="1">
      <alignment vertical="top" wrapText="1"/>
    </xf>
    <xf numFmtId="4" fontId="36" fillId="24" borderId="0" xfId="0" applyNumberFormat="1" applyFont="1" applyFill="1" applyBorder="1" applyAlignment="1" applyProtection="1">
      <alignment horizontal="center" vertical="top"/>
    </xf>
    <xf numFmtId="175" fontId="6" fillId="24" borderId="0" xfId="0" applyNumberFormat="1" applyFont="1" applyFill="1" applyBorder="1" applyAlignment="1" applyProtection="1">
      <alignment vertical="top"/>
    </xf>
    <xf numFmtId="0" fontId="37" fillId="24" borderId="0" xfId="0" applyNumberFormat="1" applyFont="1" applyFill="1" applyBorder="1" applyAlignment="1" applyProtection="1">
      <alignment horizontal="left" vertical="top"/>
    </xf>
    <xf numFmtId="0" fontId="28" fillId="24" borderId="0" xfId="0" applyNumberFormat="1" applyFont="1" applyFill="1" applyBorder="1" applyAlignment="1" applyProtection="1">
      <alignment vertical="top"/>
    </xf>
    <xf numFmtId="0" fontId="6" fillId="24" borderId="18" xfId="0" applyNumberFormat="1" applyFont="1" applyFill="1" applyBorder="1" applyAlignment="1" applyProtection="1">
      <alignment vertical="top" wrapText="1"/>
    </xf>
    <xf numFmtId="0" fontId="6" fillId="24" borderId="36" xfId="0" applyNumberFormat="1" applyFont="1" applyFill="1" applyBorder="1" applyAlignment="1" applyProtection="1">
      <alignment horizontal="center" vertical="top" wrapText="1"/>
    </xf>
    <xf numFmtId="0" fontId="6" fillId="24" borderId="17" xfId="0" applyNumberFormat="1" applyFont="1" applyFill="1" applyBorder="1" applyAlignment="1" applyProtection="1">
      <alignment horizontal="center" vertical="top"/>
    </xf>
    <xf numFmtId="0" fontId="6" fillId="24" borderId="20" xfId="0" applyNumberFormat="1" applyFont="1" applyFill="1" applyBorder="1" applyAlignment="1" applyProtection="1">
      <alignment horizontal="center" vertical="top" wrapText="1"/>
    </xf>
    <xf numFmtId="0" fontId="6" fillId="24" borderId="28" xfId="0" applyNumberFormat="1" applyFont="1" applyFill="1" applyBorder="1" applyAlignment="1" applyProtection="1">
      <alignment horizontal="center" vertical="top" wrapText="1"/>
    </xf>
    <xf numFmtId="0" fontId="6" fillId="24" borderId="37" xfId="0" applyNumberFormat="1" applyFont="1" applyFill="1" applyBorder="1" applyAlignment="1" applyProtection="1">
      <alignment horizontal="center" vertical="top" wrapText="1"/>
    </xf>
    <xf numFmtId="0" fontId="6" fillId="24" borderId="31" xfId="0" applyNumberFormat="1" applyFont="1" applyFill="1" applyBorder="1" applyAlignment="1" applyProtection="1">
      <alignment vertical="top" wrapText="1"/>
    </xf>
    <xf numFmtId="0" fontId="6" fillId="24" borderId="37" xfId="0" applyNumberFormat="1" applyFont="1" applyFill="1" applyBorder="1" applyAlignment="1" applyProtection="1">
      <alignment horizontal="center" vertical="top" wrapText="1"/>
    </xf>
    <xf numFmtId="0" fontId="6" fillId="24" borderId="18" xfId="0" applyNumberFormat="1" applyFont="1" applyFill="1" applyBorder="1" applyAlignment="1" applyProtection="1">
      <alignment horizontal="center" vertical="top" wrapText="1"/>
    </xf>
    <xf numFmtId="0" fontId="6" fillId="24" borderId="40" xfId="0" applyNumberFormat="1" applyFont="1" applyFill="1" applyBorder="1" applyAlignment="1" applyProtection="1">
      <alignment horizontal="center" vertical="top" wrapText="1"/>
    </xf>
    <xf numFmtId="0" fontId="6" fillId="24" borderId="27" xfId="0" applyNumberFormat="1" applyFont="1" applyFill="1" applyBorder="1" applyAlignment="1" applyProtection="1">
      <alignment horizontal="center" vertical="top"/>
    </xf>
    <xf numFmtId="0" fontId="6" fillId="24" borderId="37" xfId="0" applyNumberFormat="1" applyFont="1" applyFill="1" applyBorder="1" applyAlignment="1" applyProtection="1">
      <alignment horizontal="center" vertical="top"/>
    </xf>
    <xf numFmtId="0" fontId="6" fillId="24" borderId="18" xfId="0" applyNumberFormat="1" applyFont="1" applyFill="1" applyBorder="1" applyAlignment="1" applyProtection="1">
      <alignment horizontal="center" vertical="top"/>
    </xf>
    <xf numFmtId="0" fontId="28" fillId="24" borderId="15" xfId="0" applyNumberFormat="1" applyFont="1" applyFill="1" applyBorder="1" applyAlignment="1" applyProtection="1">
      <alignment horizontal="center" vertical="top"/>
    </xf>
    <xf numFmtId="0" fontId="28" fillId="24" borderId="12" xfId="0" applyNumberFormat="1" applyFont="1" applyFill="1" applyBorder="1" applyAlignment="1" applyProtection="1">
      <alignment horizontal="center" vertical="top"/>
    </xf>
    <xf numFmtId="0" fontId="6" fillId="24" borderId="23" xfId="0" applyNumberFormat="1" applyFont="1" applyFill="1" applyBorder="1" applyAlignment="1" applyProtection="1">
      <alignment horizontal="center" vertical="top"/>
    </xf>
    <xf numFmtId="0" fontId="6" fillId="24" borderId="15" xfId="0" applyNumberFormat="1" applyFont="1" applyFill="1" applyBorder="1" applyAlignment="1" applyProtection="1">
      <alignment horizontal="center" vertical="top"/>
    </xf>
    <xf numFmtId="0" fontId="6" fillId="24" borderId="12" xfId="0" applyNumberFormat="1" applyFont="1" applyFill="1" applyBorder="1" applyAlignment="1" applyProtection="1">
      <alignment horizontal="center" vertical="top"/>
    </xf>
    <xf numFmtId="0" fontId="6" fillId="24" borderId="10" xfId="0" applyNumberFormat="1" applyFont="1" applyFill="1" applyBorder="1" applyAlignment="1" applyProtection="1">
      <alignment horizontal="left" vertical="top" wrapText="1"/>
    </xf>
    <xf numFmtId="175" fontId="6" fillId="24" borderId="10" xfId="0" applyNumberFormat="1" applyFont="1" applyFill="1" applyBorder="1" applyAlignment="1" applyProtection="1">
      <alignment horizontal="center" vertical="top"/>
    </xf>
    <xf numFmtId="4" fontId="6" fillId="24" borderId="0" xfId="0" applyNumberFormat="1" applyFont="1" applyFill="1" applyBorder="1" applyAlignment="1" applyProtection="1">
      <alignment vertical="top"/>
    </xf>
    <xf numFmtId="14" fontId="6" fillId="24" borderId="10" xfId="0" applyNumberFormat="1" applyFont="1" applyFill="1" applyBorder="1" applyAlignment="1" applyProtection="1">
      <alignment horizontal="center" vertical="top"/>
    </xf>
    <xf numFmtId="4" fontId="6" fillId="24" borderId="10" xfId="0" applyNumberFormat="1" applyFont="1" applyFill="1" applyBorder="1" applyAlignment="1" applyProtection="1">
      <alignment horizontal="center" vertical="center"/>
    </xf>
    <xf numFmtId="4" fontId="6" fillId="24" borderId="10" xfId="0" applyNumberFormat="1" applyFont="1" applyFill="1" applyBorder="1" applyAlignment="1" applyProtection="1">
      <alignment horizontal="center" vertical="top"/>
    </xf>
    <xf numFmtId="0" fontId="6" fillId="24" borderId="10" xfId="0" applyNumberFormat="1" applyFont="1" applyFill="1" applyBorder="1" applyAlignment="1" applyProtection="1">
      <alignment horizontal="left" vertical="top"/>
    </xf>
    <xf numFmtId="0" fontId="6" fillId="24" borderId="10" xfId="0" applyNumberFormat="1" applyFont="1" applyFill="1" applyBorder="1" applyAlignment="1" applyProtection="1">
      <alignment horizontal="center" vertical="top" wrapText="1" shrinkToFit="1"/>
    </xf>
    <xf numFmtId="4" fontId="6" fillId="24" borderId="11" xfId="0" applyNumberFormat="1" applyFont="1" applyFill="1" applyBorder="1" applyAlignment="1" applyProtection="1">
      <alignment horizontal="center" vertical="top"/>
    </xf>
    <xf numFmtId="0" fontId="6" fillId="24" borderId="11" xfId="0" applyNumberFormat="1" applyFont="1" applyFill="1" applyBorder="1" applyAlignment="1" applyProtection="1">
      <alignment horizontal="center" vertical="top"/>
    </xf>
    <xf numFmtId="0" fontId="6" fillId="24" borderId="25" xfId="0" applyNumberFormat="1" applyFont="1" applyFill="1" applyBorder="1" applyAlignment="1" applyProtection="1">
      <alignment horizontal="center" vertical="top"/>
    </xf>
    <xf numFmtId="0" fontId="6" fillId="24" borderId="12" xfId="0" applyNumberFormat="1" applyFont="1" applyFill="1" applyBorder="1" applyAlignment="1" applyProtection="1">
      <alignment horizontal="center" vertical="top"/>
    </xf>
    <xf numFmtId="0" fontId="6" fillId="24" borderId="11" xfId="0" applyNumberFormat="1" applyFont="1" applyFill="1" applyBorder="1" applyAlignment="1" applyProtection="1">
      <alignment vertical="center"/>
    </xf>
    <xf numFmtId="0" fontId="6" fillId="24" borderId="10" xfId="0" applyNumberFormat="1" applyFont="1" applyFill="1" applyBorder="1" applyAlignment="1" applyProtection="1">
      <alignment vertical="center"/>
    </xf>
    <xf numFmtId="175" fontId="6" fillId="24" borderId="1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alignment horizontal="left" vertical="top" wrapText="1"/>
    </xf>
    <xf numFmtId="49" fontId="6" fillId="24" borderId="0" xfId="0" applyNumberFormat="1" applyFont="1" applyFill="1" applyBorder="1" applyAlignment="1" applyProtection="1">
      <alignment horizontal="center" vertical="top"/>
    </xf>
    <xf numFmtId="2" fontId="6" fillId="24" borderId="0" xfId="0" applyNumberFormat="1" applyFont="1" applyFill="1" applyBorder="1" applyAlignment="1" applyProtection="1">
      <alignment horizontal="center" vertical="top" wrapText="1"/>
    </xf>
    <xf numFmtId="14" fontId="6" fillId="24" borderId="0" xfId="0" applyNumberFormat="1" applyFont="1" applyFill="1" applyBorder="1" applyAlignment="1" applyProtection="1">
      <alignment horizontal="center" vertical="top" wrapText="1"/>
    </xf>
    <xf numFmtId="175" fontId="6" fillId="24" borderId="0" xfId="0" applyNumberFormat="1" applyFont="1" applyFill="1" applyBorder="1" applyAlignment="1" applyProtection="1">
      <alignment horizontal="center" vertical="top"/>
    </xf>
    <xf numFmtId="4" fontId="26" fillId="24" borderId="0" xfId="0" applyNumberFormat="1" applyFont="1" applyFill="1" applyBorder="1" applyAlignment="1" applyProtection="1">
      <alignment horizontal="center" vertical="top"/>
    </xf>
    <xf numFmtId="0" fontId="6" fillId="24" borderId="46" xfId="0" applyNumberFormat="1" applyFont="1" applyFill="1" applyBorder="1" applyAlignment="1" applyProtection="1">
      <alignment horizontal="center" vertical="top" wrapText="1"/>
    </xf>
    <xf numFmtId="0" fontId="6" fillId="24" borderId="47" xfId="0" applyNumberFormat="1" applyFont="1" applyFill="1" applyBorder="1" applyAlignment="1" applyProtection="1">
      <alignment horizontal="center" vertical="top" wrapText="1"/>
    </xf>
    <xf numFmtId="0" fontId="6" fillId="24" borderId="19" xfId="0" applyNumberFormat="1" applyFont="1" applyFill="1" applyBorder="1" applyAlignment="1" applyProtection="1">
      <alignment horizontal="center" vertical="top" wrapText="1"/>
    </xf>
    <xf numFmtId="0" fontId="6" fillId="24" borderId="21" xfId="0" applyNumberFormat="1" applyFont="1" applyFill="1" applyBorder="1" applyAlignment="1" applyProtection="1">
      <alignment horizontal="center" vertical="top" wrapText="1"/>
    </xf>
    <xf numFmtId="0" fontId="6" fillId="24" borderId="48" xfId="0" applyNumberFormat="1" applyFont="1" applyFill="1" applyBorder="1" applyAlignment="1" applyProtection="1">
      <alignment horizontal="center" vertical="top" wrapText="1"/>
    </xf>
    <xf numFmtId="0" fontId="6" fillId="24" borderId="28" xfId="0" applyNumberFormat="1" applyFont="1" applyFill="1" applyBorder="1" applyAlignment="1" applyProtection="1">
      <alignment horizontal="center" vertical="top" wrapText="1"/>
    </xf>
    <xf numFmtId="4" fontId="6" fillId="24" borderId="37" xfId="0" applyNumberFormat="1" applyFont="1" applyFill="1" applyBorder="1" applyAlignment="1" applyProtection="1">
      <alignment horizontal="center" vertical="top" wrapText="1"/>
    </xf>
    <xf numFmtId="4" fontId="6" fillId="24" borderId="18" xfId="0" applyNumberFormat="1" applyFont="1" applyFill="1" applyBorder="1" applyAlignment="1" applyProtection="1">
      <alignment horizontal="center" vertical="top" wrapText="1"/>
    </xf>
    <xf numFmtId="0" fontId="6" fillId="24" borderId="29" xfId="0" applyNumberFormat="1" applyFont="1" applyFill="1" applyBorder="1" applyAlignment="1" applyProtection="1">
      <alignment horizontal="center" vertical="top"/>
    </xf>
    <xf numFmtId="0" fontId="6" fillId="24" borderId="0" xfId="0" applyNumberFormat="1" applyFont="1" applyFill="1" applyBorder="1" applyAlignment="1" applyProtection="1">
      <alignment horizontal="center" vertical="top"/>
    </xf>
    <xf numFmtId="4" fontId="30" fillId="24" borderId="52" xfId="0" applyNumberFormat="1" applyFont="1" applyFill="1" applyBorder="1" applyAlignment="1" applyProtection="1">
      <alignment vertical="top" wrapText="1"/>
    </xf>
    <xf numFmtId="4" fontId="30" fillId="24" borderId="53" xfId="0" applyNumberFormat="1" applyFont="1" applyFill="1" applyBorder="1" applyAlignment="1" applyProtection="1">
      <alignment vertical="top" wrapText="1"/>
    </xf>
    <xf numFmtId="0" fontId="6" fillId="24" borderId="46" xfId="0" applyNumberFormat="1" applyFont="1" applyFill="1" applyBorder="1" applyAlignment="1" applyProtection="1">
      <alignment vertical="top" wrapText="1"/>
    </xf>
    <xf numFmtId="0" fontId="6" fillId="24" borderId="47" xfId="0" applyNumberFormat="1" applyFont="1" applyFill="1" applyBorder="1" applyAlignment="1" applyProtection="1">
      <alignment vertical="top" wrapText="1"/>
    </xf>
    <xf numFmtId="0" fontId="28" fillId="24" borderId="12" xfId="0" applyNumberFormat="1" applyFont="1" applyFill="1" applyBorder="1" applyAlignment="1" applyProtection="1">
      <alignment vertical="top" wrapText="1"/>
    </xf>
    <xf numFmtId="0" fontId="29" fillId="24" borderId="0" xfId="0" applyNumberFormat="1" applyFont="1" applyFill="1" applyBorder="1" applyAlignment="1" applyProtection="1"/>
    <xf numFmtId="0" fontId="30" fillId="24" borderId="38" xfId="0" applyNumberFormat="1" applyFont="1" applyFill="1" applyBorder="1" applyAlignment="1" applyProtection="1">
      <alignment vertical="top" wrapText="1"/>
    </xf>
    <xf numFmtId="0" fontId="30" fillId="24" borderId="28" xfId="0" applyNumberFormat="1" applyFont="1" applyFill="1" applyBorder="1" applyAlignment="1" applyProtection="1">
      <alignment horizontal="center" vertical="center" wrapText="1"/>
    </xf>
    <xf numFmtId="0" fontId="30" fillId="24" borderId="36" xfId="0" applyNumberFormat="1" applyFont="1" applyFill="1" applyBorder="1" applyAlignment="1" applyProtection="1">
      <alignment horizontal="center" vertical="center" wrapText="1"/>
    </xf>
    <xf numFmtId="0" fontId="30" fillId="24" borderId="37" xfId="0" applyNumberFormat="1" applyFont="1" applyFill="1" applyBorder="1" applyAlignment="1" applyProtection="1">
      <alignment horizontal="center" vertical="center" wrapText="1"/>
    </xf>
    <xf numFmtId="1" fontId="30" fillId="24" borderId="28" xfId="0" applyNumberFormat="1" applyFont="1" applyFill="1" applyBorder="1" applyAlignment="1" applyProtection="1">
      <alignment horizontal="center" vertical="top" wrapText="1"/>
    </xf>
    <xf numFmtId="1" fontId="30" fillId="24" borderId="36" xfId="0" applyNumberFormat="1" applyFont="1" applyFill="1" applyBorder="1" applyAlignment="1" applyProtection="1">
      <alignment horizontal="center" vertical="top" wrapText="1"/>
    </xf>
    <xf numFmtId="1" fontId="30" fillId="24" borderId="37" xfId="0" applyNumberFormat="1" applyFont="1" applyFill="1" applyBorder="1" applyAlignment="1" applyProtection="1">
      <alignment horizontal="center" vertical="top" wrapText="1"/>
    </xf>
    <xf numFmtId="0" fontId="30" fillId="24" borderId="31" xfId="0" applyNumberFormat="1" applyFont="1" applyFill="1" applyBorder="1" applyAlignment="1" applyProtection="1">
      <alignment vertical="top" wrapText="1"/>
    </xf>
    <xf numFmtId="1" fontId="30" fillId="24" borderId="18" xfId="0" applyNumberFormat="1" applyFont="1" applyFill="1" applyBorder="1" applyAlignment="1" applyProtection="1">
      <alignment horizontal="center" vertical="top" wrapText="1"/>
    </xf>
    <xf numFmtId="1" fontId="30" fillId="24" borderId="12" xfId="0" applyNumberFormat="1" applyFont="1" applyFill="1" applyBorder="1" applyAlignment="1" applyProtection="1">
      <alignment horizontal="center" vertical="top"/>
    </xf>
    <xf numFmtId="49" fontId="30" fillId="24" borderId="10" xfId="0" applyNumberFormat="1" applyFont="1" applyFill="1" applyBorder="1" applyAlignment="1">
      <alignment horizontal="center" vertical="top" wrapText="1"/>
    </xf>
    <xf numFmtId="0" fontId="30" fillId="24" borderId="13" xfId="0" applyFont="1" applyFill="1" applyBorder="1" applyAlignment="1">
      <alignment vertical="top" wrapText="1"/>
    </xf>
    <xf numFmtId="168" fontId="30" fillId="24" borderId="10" xfId="0" applyNumberFormat="1" applyFont="1" applyFill="1" applyBorder="1" applyAlignment="1" applyProtection="1">
      <alignment horizontal="center" vertical="top" wrapText="1"/>
    </xf>
    <xf numFmtId="175" fontId="26" fillId="24" borderId="12" xfId="0" applyNumberFormat="1" applyFont="1" applyFill="1" applyBorder="1" applyAlignment="1" applyProtection="1">
      <alignment horizontal="center" vertical="top"/>
    </xf>
    <xf numFmtId="0" fontId="26" fillId="24" borderId="12" xfId="0" applyNumberFormat="1" applyFont="1" applyFill="1" applyBorder="1" applyAlignment="1" applyProtection="1">
      <alignment horizontal="center" vertical="top"/>
    </xf>
    <xf numFmtId="4" fontId="26" fillId="24" borderId="12" xfId="0" applyNumberFormat="1" applyFont="1" applyFill="1" applyBorder="1" applyAlignment="1" applyProtection="1">
      <alignment horizontal="center" vertical="top"/>
    </xf>
    <xf numFmtId="49" fontId="28" fillId="24" borderId="0" xfId="0" applyNumberFormat="1" applyFont="1" applyFill="1" applyBorder="1" applyAlignment="1" applyProtection="1">
      <alignment horizontal="center" vertical="top"/>
    </xf>
    <xf numFmtId="0" fontId="28" fillId="24" borderId="0" xfId="0" applyNumberFormat="1" applyFont="1" applyFill="1" applyBorder="1" applyAlignment="1" applyProtection="1">
      <alignment horizontal="left" vertical="top" wrapText="1"/>
    </xf>
    <xf numFmtId="4" fontId="28" fillId="24" borderId="0" xfId="0" applyNumberFormat="1" applyFont="1" applyFill="1" applyBorder="1" applyAlignment="1" applyProtection="1">
      <alignment horizontal="center" vertical="top"/>
    </xf>
    <xf numFmtId="1" fontId="28" fillId="24" borderId="0" xfId="0" applyNumberFormat="1" applyFont="1" applyFill="1" applyBorder="1" applyAlignment="1" applyProtection="1">
      <alignment horizontal="center" vertical="top"/>
    </xf>
    <xf numFmtId="14" fontId="28" fillId="24" borderId="0" xfId="0" applyNumberFormat="1" applyFont="1" applyFill="1" applyBorder="1" applyAlignment="1" applyProtection="1">
      <alignment horizontal="center" vertical="top"/>
    </xf>
    <xf numFmtId="0" fontId="28" fillId="24" borderId="11" xfId="0" applyNumberFormat="1" applyFont="1" applyFill="1" applyBorder="1" applyAlignment="1" applyProtection="1">
      <alignment horizontal="center" vertical="top"/>
    </xf>
    <xf numFmtId="0" fontId="28" fillId="24" borderId="12" xfId="0" applyNumberFormat="1" applyFont="1" applyFill="1" applyBorder="1" applyAlignment="1" applyProtection="1">
      <alignment horizontal="center" vertical="top"/>
    </xf>
    <xf numFmtId="0" fontId="28" fillId="24" borderId="0" xfId="0" applyNumberFormat="1" applyFont="1" applyFill="1" applyBorder="1" applyAlignment="1" applyProtection="1">
      <alignment horizontal="center" vertical="top" wrapText="1"/>
    </xf>
    <xf numFmtId="0" fontId="28" fillId="24" borderId="0" xfId="0" applyNumberFormat="1" applyFont="1" applyFill="1" applyBorder="1" applyAlignment="1" applyProtection="1">
      <alignment vertical="top" wrapText="1"/>
    </xf>
    <xf numFmtId="1" fontId="28" fillId="24" borderId="0" xfId="0" applyNumberFormat="1" applyFont="1" applyFill="1" applyBorder="1" applyAlignment="1" applyProtection="1">
      <alignment horizontal="center" vertical="top" wrapText="1"/>
    </xf>
    <xf numFmtId="4" fontId="28" fillId="24" borderId="0" xfId="0" applyNumberFormat="1" applyFont="1" applyFill="1" applyBorder="1" applyAlignment="1" applyProtection="1">
      <alignment horizontal="center" vertical="top" wrapText="1"/>
    </xf>
    <xf numFmtId="14" fontId="28" fillId="24" borderId="0" xfId="0" applyNumberFormat="1" applyFont="1" applyFill="1" applyBorder="1" applyAlignment="1" applyProtection="1">
      <alignment horizontal="center" vertical="top" wrapText="1"/>
    </xf>
    <xf numFmtId="0" fontId="28" fillId="24" borderId="0" xfId="0" applyNumberFormat="1" applyFont="1" applyFill="1" applyBorder="1" applyAlignment="1" applyProtection="1">
      <alignment vertical="top" wrapText="1"/>
    </xf>
    <xf numFmtId="2" fontId="6" fillId="24" borderId="0" xfId="0" applyNumberFormat="1" applyFont="1" applyFill="1" applyBorder="1" applyAlignment="1" applyProtection="1">
      <alignment horizontal="center" vertical="top"/>
    </xf>
    <xf numFmtId="0" fontId="29" fillId="24" borderId="0" xfId="0" applyNumberFormat="1" applyFont="1" applyFill="1" applyBorder="1" applyAlignment="1" applyProtection="1">
      <alignment vertical="top" wrapText="1"/>
    </xf>
    <xf numFmtId="0" fontId="30" fillId="24" borderId="54" xfId="0" applyNumberFormat="1" applyFont="1" applyFill="1" applyBorder="1" applyAlignment="1" applyProtection="1">
      <alignment horizontal="center" vertical="top" wrapText="1"/>
    </xf>
    <xf numFmtId="0" fontId="30" fillId="24" borderId="46" xfId="0" applyNumberFormat="1" applyFont="1" applyFill="1" applyBorder="1" applyAlignment="1" applyProtection="1">
      <alignment horizontal="center" vertical="top" wrapText="1"/>
    </xf>
    <xf numFmtId="0" fontId="30" fillId="24" borderId="55" xfId="0" applyNumberFormat="1" applyFont="1" applyFill="1" applyBorder="1" applyAlignment="1" applyProtection="1">
      <alignment horizontal="center" vertical="top" wrapText="1"/>
    </xf>
    <xf numFmtId="0" fontId="30" fillId="24" borderId="56" xfId="0" applyNumberFormat="1" applyFont="1" applyFill="1" applyBorder="1" applyAlignment="1" applyProtection="1">
      <alignment horizontal="center" vertical="top" wrapText="1"/>
    </xf>
    <xf numFmtId="0" fontId="30" fillId="24" borderId="49" xfId="0" applyNumberFormat="1" applyFont="1" applyFill="1" applyBorder="1" applyAlignment="1" applyProtection="1">
      <alignment horizontal="center" vertical="top" wrapText="1"/>
    </xf>
    <xf numFmtId="0" fontId="30" fillId="24" borderId="50" xfId="0" applyNumberFormat="1" applyFont="1" applyFill="1" applyBorder="1" applyAlignment="1" applyProtection="1">
      <alignment horizontal="center" vertical="top" wrapText="1"/>
    </xf>
    <xf numFmtId="1" fontId="30" fillId="24" borderId="38" xfId="0" applyNumberFormat="1" applyFont="1" applyFill="1" applyBorder="1" applyAlignment="1" applyProtection="1">
      <alignment horizontal="center" vertical="top" wrapText="1"/>
    </xf>
    <xf numFmtId="0" fontId="30" fillId="24" borderId="19" xfId="0" applyNumberFormat="1" applyFont="1" applyFill="1" applyBorder="1" applyAlignment="1" applyProtection="1">
      <alignment horizontal="center" vertical="top"/>
    </xf>
    <xf numFmtId="0" fontId="30" fillId="24" borderId="21" xfId="0" applyNumberFormat="1" applyFont="1" applyFill="1" applyBorder="1" applyAlignment="1" applyProtection="1">
      <alignment horizontal="center" vertical="top"/>
    </xf>
    <xf numFmtId="0" fontId="30" fillId="24" borderId="48" xfId="0" applyNumberFormat="1" applyFont="1" applyFill="1" applyBorder="1" applyAlignment="1" applyProtection="1">
      <alignment horizontal="center" vertical="top"/>
    </xf>
    <xf numFmtId="0" fontId="30" fillId="24" borderId="57" xfId="0" applyNumberFormat="1" applyFont="1" applyFill="1" applyBorder="1" applyAlignment="1" applyProtection="1">
      <alignment horizontal="center" vertical="top" wrapText="1"/>
    </xf>
    <xf numFmtId="0" fontId="30" fillId="24" borderId="47" xfId="0" applyNumberFormat="1" applyFont="1" applyFill="1" applyBorder="1" applyAlignment="1" applyProtection="1">
      <alignment horizontal="center" vertical="top" wrapText="1"/>
    </xf>
    <xf numFmtId="0" fontId="30" fillId="24" borderId="58" xfId="0" applyNumberFormat="1" applyFont="1" applyFill="1" applyBorder="1" applyAlignment="1" applyProtection="1">
      <alignment horizontal="center" vertical="top" wrapText="1"/>
    </xf>
    <xf numFmtId="0" fontId="30" fillId="24" borderId="59" xfId="0" applyNumberFormat="1" applyFont="1" applyFill="1" applyBorder="1" applyAlignment="1" applyProtection="1">
      <alignment horizontal="center" vertical="top" wrapText="1"/>
    </xf>
    <xf numFmtId="0" fontId="30" fillId="24" borderId="51" xfId="0" applyNumberFormat="1" applyFont="1" applyFill="1" applyBorder="1" applyAlignment="1" applyProtection="1">
      <alignment horizontal="center" vertical="top" wrapText="1"/>
    </xf>
    <xf numFmtId="0" fontId="30" fillId="24" borderId="33" xfId="0" applyNumberFormat="1" applyFont="1" applyFill="1" applyBorder="1" applyAlignment="1" applyProtection="1">
      <alignment horizontal="center" vertical="top" wrapText="1"/>
    </xf>
    <xf numFmtId="1" fontId="30" fillId="24" borderId="39" xfId="0" applyNumberFormat="1" applyFont="1" applyFill="1" applyBorder="1" applyAlignment="1" applyProtection="1">
      <alignment horizontal="center" vertical="top" wrapText="1"/>
    </xf>
    <xf numFmtId="0" fontId="30" fillId="24" borderId="10" xfId="0" applyNumberFormat="1" applyFont="1" applyFill="1" applyBorder="1" applyAlignment="1" applyProtection="1">
      <alignment wrapText="1"/>
    </xf>
    <xf numFmtId="0" fontId="30" fillId="24" borderId="10" xfId="0" applyNumberFormat="1" applyFont="1" applyFill="1" applyBorder="1" applyAlignment="1" applyProtection="1">
      <alignment horizontal="right" vertical="top"/>
    </xf>
    <xf numFmtId="0" fontId="30" fillId="24" borderId="34" xfId="0" applyNumberFormat="1" applyFont="1" applyFill="1" applyBorder="1" applyAlignment="1" applyProtection="1">
      <alignment vertical="top" wrapText="1"/>
    </xf>
    <xf numFmtId="0" fontId="30" fillId="24" borderId="0" xfId="0" applyNumberFormat="1" applyFont="1" applyFill="1" applyBorder="1" applyAlignment="1" applyProtection="1">
      <alignment vertical="top"/>
    </xf>
    <xf numFmtId="0" fontId="30" fillId="24" borderId="14" xfId="0" applyFont="1" applyFill="1" applyBorder="1" applyAlignment="1">
      <alignment horizontal="center" vertical="top" wrapText="1"/>
    </xf>
    <xf numFmtId="14" fontId="30" fillId="24" borderId="14" xfId="0" applyNumberFormat="1" applyFont="1" applyFill="1" applyBorder="1" applyAlignment="1">
      <alignment horizontal="center" vertical="top" wrapText="1"/>
    </xf>
    <xf numFmtId="0" fontId="30" fillId="24" borderId="13" xfId="0" applyFont="1" applyFill="1" applyBorder="1" applyAlignment="1">
      <alignment horizontal="center" vertical="top" wrapText="1"/>
    </xf>
    <xf numFmtId="14" fontId="30" fillId="24" borderId="15" xfId="0" applyNumberFormat="1" applyFont="1" applyFill="1" applyBorder="1" applyAlignment="1" applyProtection="1">
      <alignment horizontal="center" vertical="top" wrapText="1"/>
    </xf>
    <xf numFmtId="2" fontId="30" fillId="24" borderId="10" xfId="0" applyNumberFormat="1" applyFont="1" applyFill="1" applyBorder="1" applyAlignment="1">
      <alignment horizontal="center" vertical="top" wrapText="1"/>
    </xf>
    <xf numFmtId="2" fontId="30" fillId="24" borderId="12" xfId="0" applyNumberFormat="1" applyFont="1" applyFill="1" applyBorder="1" applyAlignment="1">
      <alignment horizontal="center" vertical="top" wrapText="1"/>
    </xf>
    <xf numFmtId="0" fontId="28" fillId="24" borderId="0" xfId="0" applyFont="1" applyFill="1" applyBorder="1" applyAlignment="1">
      <alignment vertical="top" wrapText="1"/>
    </xf>
    <xf numFmtId="0" fontId="28" fillId="24" borderId="0" xfId="0" applyFont="1" applyFill="1" applyBorder="1" applyAlignment="1">
      <alignment horizontal="center" vertical="top" wrapText="1"/>
    </xf>
    <xf numFmtId="1" fontId="27" fillId="24" borderId="0" xfId="0" applyNumberFormat="1" applyFont="1" applyFill="1" applyBorder="1" applyAlignment="1" applyProtection="1">
      <alignment horizontal="center" vertical="top"/>
    </xf>
    <xf numFmtId="0" fontId="27" fillId="24" borderId="27" xfId="0" applyNumberFormat="1" applyFont="1" applyFill="1" applyBorder="1" applyAlignment="1" applyProtection="1">
      <alignment horizontal="center" vertical="top" wrapText="1"/>
    </xf>
    <xf numFmtId="4" fontId="31" fillId="24" borderId="12" xfId="0" applyNumberFormat="1" applyFont="1" applyFill="1" applyBorder="1" applyAlignment="1" applyProtection="1">
      <alignment horizontal="center" vertical="top"/>
    </xf>
    <xf numFmtId="2" fontId="31" fillId="24" borderId="12" xfId="0" applyNumberFormat="1" applyFont="1" applyFill="1" applyBorder="1" applyAlignment="1" applyProtection="1">
      <alignment horizontal="center" vertical="top"/>
    </xf>
    <xf numFmtId="1" fontId="31" fillId="24" borderId="12" xfId="0" applyNumberFormat="1" applyFont="1" applyFill="1" applyBorder="1" applyAlignment="1" applyProtection="1">
      <alignment horizontal="center" vertical="top"/>
    </xf>
    <xf numFmtId="2" fontId="28" fillId="24" borderId="0" xfId="0" applyNumberFormat="1" applyFont="1" applyFill="1" applyBorder="1" applyAlignment="1" applyProtection="1">
      <alignment horizontal="center" vertical="top" wrapText="1"/>
    </xf>
    <xf numFmtId="2" fontId="28" fillId="24" borderId="0" xfId="0" applyNumberFormat="1" applyFont="1" applyFill="1" applyBorder="1" applyAlignment="1" applyProtection="1">
      <alignment horizontal="center" vertical="top"/>
    </xf>
    <xf numFmtId="0" fontId="31" fillId="24" borderId="0" xfId="0" applyNumberFormat="1" applyFont="1" applyFill="1" applyBorder="1" applyAlignment="1" applyProtection="1">
      <alignment horizontal="left" vertical="top"/>
    </xf>
    <xf numFmtId="0" fontId="40" fillId="24" borderId="0" xfId="0" applyNumberFormat="1" applyFont="1" applyFill="1" applyBorder="1" applyAlignment="1" applyProtection="1">
      <alignment horizontal="left" vertical="top" wrapText="1"/>
    </xf>
    <xf numFmtId="0" fontId="40" fillId="24" borderId="0" xfId="0" applyNumberFormat="1" applyFont="1" applyFill="1" applyBorder="1" applyAlignment="1" applyProtection="1">
      <alignment vertical="top" wrapText="1"/>
    </xf>
    <xf numFmtId="0" fontId="40" fillId="24" borderId="0" xfId="0" applyNumberFormat="1" applyFont="1" applyFill="1" applyBorder="1" applyAlignment="1" applyProtection="1">
      <alignment horizontal="center" vertical="top"/>
    </xf>
    <xf numFmtId="0" fontId="30" fillId="24" borderId="60" xfId="0" applyNumberFormat="1" applyFont="1" applyFill="1" applyBorder="1" applyAlignment="1" applyProtection="1">
      <alignment horizontal="center" vertical="top" wrapText="1"/>
    </xf>
    <xf numFmtId="0" fontId="30" fillId="24" borderId="61" xfId="0" applyNumberFormat="1" applyFont="1" applyFill="1" applyBorder="1" applyAlignment="1" applyProtection="1">
      <alignment horizontal="center" vertical="top" wrapText="1"/>
    </xf>
    <xf numFmtId="0" fontId="30" fillId="24" borderId="32" xfId="0" applyNumberFormat="1" applyFont="1" applyFill="1" applyBorder="1" applyAlignment="1" applyProtection="1">
      <alignment horizontal="center" vertical="top" wrapText="1"/>
    </xf>
    <xf numFmtId="0" fontId="30" fillId="24" borderId="62" xfId="0" applyNumberFormat="1" applyFont="1" applyFill="1" applyBorder="1" applyAlignment="1" applyProtection="1">
      <alignment horizontal="center" vertical="top" wrapText="1"/>
    </xf>
    <xf numFmtId="1" fontId="30" fillId="24" borderId="31" xfId="0" applyNumberFormat="1" applyFont="1" applyFill="1" applyBorder="1" applyAlignment="1" applyProtection="1">
      <alignment horizontal="center" vertical="top" wrapText="1"/>
    </xf>
    <xf numFmtId="4" fontId="30" fillId="24" borderId="31" xfId="0" applyNumberFormat="1" applyFont="1" applyFill="1" applyBorder="1" applyAlignment="1" applyProtection="1">
      <alignment horizontal="center" vertical="top" wrapText="1"/>
    </xf>
    <xf numFmtId="0" fontId="30" fillId="24" borderId="13" xfId="0" applyFont="1" applyFill="1" applyBorder="1" applyAlignment="1">
      <alignment horizontal="left" vertical="top" wrapText="1"/>
    </xf>
    <xf numFmtId="2" fontId="30" fillId="24" borderId="14" xfId="0" applyNumberFormat="1" applyFont="1" applyFill="1" applyBorder="1" applyAlignment="1">
      <alignment horizontal="center" vertical="top" wrapText="1"/>
    </xf>
    <xf numFmtId="0" fontId="28" fillId="24" borderId="13" xfId="0" applyNumberFormat="1" applyFont="1" applyFill="1" applyBorder="1" applyAlignment="1" applyProtection="1">
      <alignment vertical="top" wrapText="1"/>
    </xf>
    <xf numFmtId="0" fontId="30" fillId="24" borderId="10" xfId="0" applyNumberFormat="1" applyFont="1" applyFill="1" applyBorder="1" applyAlignment="1">
      <alignment horizontal="left" vertical="top" wrapText="1"/>
    </xf>
    <xf numFmtId="0" fontId="30" fillId="24" borderId="11" xfId="0" applyFont="1" applyFill="1" applyBorder="1" applyAlignment="1">
      <alignment vertical="top" wrapText="1"/>
    </xf>
    <xf numFmtId="0" fontId="31" fillId="24" borderId="10" xfId="0" applyFont="1" applyFill="1" applyBorder="1" applyAlignment="1">
      <alignment horizontal="center" vertical="top" wrapText="1"/>
    </xf>
    <xf numFmtId="0" fontId="30" fillId="24" borderId="11" xfId="0" applyFont="1" applyFill="1" applyBorder="1" applyAlignment="1">
      <alignment horizontal="center" vertical="top" wrapText="1"/>
    </xf>
    <xf numFmtId="0" fontId="30" fillId="24" borderId="11" xfId="0" applyFont="1" applyFill="1" applyBorder="1" applyAlignment="1">
      <alignment horizontal="center" vertical="top" wrapText="1"/>
    </xf>
    <xf numFmtId="14" fontId="30" fillId="24" borderId="11" xfId="0" applyNumberFormat="1" applyFont="1" applyFill="1" applyBorder="1" applyAlignment="1" applyProtection="1">
      <alignment vertical="top" wrapText="1"/>
    </xf>
    <xf numFmtId="2" fontId="31" fillId="24" borderId="11" xfId="0" applyNumberFormat="1" applyFont="1" applyFill="1" applyBorder="1" applyAlignment="1">
      <alignment horizontal="center" vertical="top" wrapText="1"/>
    </xf>
    <xf numFmtId="4" fontId="31" fillId="24" borderId="11" xfId="0" applyNumberFormat="1" applyFont="1" applyFill="1" applyBorder="1" applyAlignment="1" applyProtection="1">
      <alignment horizontal="center" vertical="top"/>
    </xf>
    <xf numFmtId="17" fontId="30" fillId="24" borderId="25" xfId="0" applyNumberFormat="1" applyFont="1" applyFill="1" applyBorder="1" applyAlignment="1" applyProtection="1">
      <alignment horizontal="center" vertical="top"/>
    </xf>
    <xf numFmtId="0" fontId="30" fillId="24" borderId="25" xfId="0" applyFont="1" applyFill="1" applyBorder="1" applyAlignment="1">
      <alignment vertical="top" wrapText="1"/>
    </xf>
    <xf numFmtId="0" fontId="30" fillId="24" borderId="25" xfId="0" applyFont="1" applyFill="1" applyBorder="1" applyAlignment="1">
      <alignment horizontal="center" vertical="top" wrapText="1"/>
    </xf>
    <xf numFmtId="0" fontId="30" fillId="24" borderId="25" xfId="0" applyFont="1" applyFill="1" applyBorder="1" applyAlignment="1">
      <alignment horizontal="center" vertical="top" wrapText="1"/>
    </xf>
    <xf numFmtId="49" fontId="30" fillId="24" borderId="25" xfId="0" applyNumberFormat="1" applyFont="1" applyFill="1" applyBorder="1" applyAlignment="1" applyProtection="1">
      <alignment vertical="top" wrapText="1"/>
    </xf>
    <xf numFmtId="14" fontId="30" fillId="24" borderId="25" xfId="0" applyNumberFormat="1" applyFont="1" applyFill="1" applyBorder="1" applyAlignment="1" applyProtection="1">
      <alignment vertical="top" wrapText="1"/>
    </xf>
    <xf numFmtId="2" fontId="31" fillId="24" borderId="25" xfId="0" applyNumberFormat="1" applyFont="1" applyFill="1" applyBorder="1" applyAlignment="1">
      <alignment vertical="top" wrapText="1"/>
    </xf>
    <xf numFmtId="4" fontId="31" fillId="24" borderId="25" xfId="0" applyNumberFormat="1" applyFont="1" applyFill="1" applyBorder="1" applyAlignment="1" applyProtection="1">
      <alignment vertical="top"/>
    </xf>
    <xf numFmtId="0" fontId="30" fillId="24" borderId="12" xfId="0" applyFont="1" applyFill="1" applyBorder="1" applyAlignment="1">
      <alignment vertical="top" wrapText="1"/>
    </xf>
    <xf numFmtId="0" fontId="30" fillId="24" borderId="12" xfId="0" applyFont="1" applyFill="1" applyBorder="1" applyAlignment="1">
      <alignment horizontal="center" vertical="top" wrapText="1"/>
    </xf>
    <xf numFmtId="0" fontId="30" fillId="24" borderId="12" xfId="0" applyFont="1" applyFill="1" applyBorder="1" applyAlignment="1">
      <alignment horizontal="center" vertical="top" wrapText="1"/>
    </xf>
    <xf numFmtId="14" fontId="30" fillId="24" borderId="12" xfId="0" applyNumberFormat="1" applyFont="1" applyFill="1" applyBorder="1" applyAlignment="1" applyProtection="1">
      <alignment vertical="top" wrapText="1"/>
    </xf>
    <xf numFmtId="2" fontId="31" fillId="24" borderId="12" xfId="0" applyNumberFormat="1" applyFont="1" applyFill="1" applyBorder="1" applyAlignment="1">
      <alignment vertical="top" wrapText="1"/>
    </xf>
    <xf numFmtId="4" fontId="31" fillId="24" borderId="12" xfId="0" applyNumberFormat="1" applyFont="1" applyFill="1" applyBorder="1" applyAlignment="1" applyProtection="1">
      <alignment vertical="top"/>
    </xf>
    <xf numFmtId="0" fontId="31" fillId="24" borderId="10" xfId="0" applyFont="1" applyFill="1" applyBorder="1" applyAlignment="1">
      <alignment vertical="top" wrapText="1"/>
    </xf>
    <xf numFmtId="175" fontId="30" fillId="24" borderId="11" xfId="0" applyNumberFormat="1" applyFont="1" applyFill="1" applyBorder="1" applyAlignment="1" applyProtection="1">
      <alignment horizontal="center" vertical="top"/>
    </xf>
    <xf numFmtId="1" fontId="30" fillId="24" borderId="11" xfId="0" applyNumberFormat="1" applyFont="1" applyFill="1" applyBorder="1" applyAlignment="1" applyProtection="1">
      <alignment horizontal="center" vertical="top" wrapText="1"/>
    </xf>
    <xf numFmtId="0" fontId="30" fillId="24" borderId="25" xfId="0" applyNumberFormat="1" applyFont="1" applyFill="1" applyBorder="1" applyAlignment="1" applyProtection="1">
      <alignment horizontal="center" vertical="top" wrapText="1"/>
    </xf>
    <xf numFmtId="49" fontId="30" fillId="24" borderId="25" xfId="0" applyNumberFormat="1" applyFont="1" applyFill="1" applyBorder="1" applyAlignment="1" applyProtection="1">
      <alignment horizontal="center" vertical="top" wrapText="1"/>
    </xf>
    <xf numFmtId="14" fontId="30" fillId="24" borderId="25" xfId="0" applyNumberFormat="1" applyFont="1" applyFill="1" applyBorder="1" applyAlignment="1" applyProtection="1">
      <alignment horizontal="center" vertical="top" wrapText="1"/>
    </xf>
    <xf numFmtId="175" fontId="30" fillId="24" borderId="25" xfId="0" applyNumberFormat="1" applyFont="1" applyFill="1" applyBorder="1" applyAlignment="1" applyProtection="1">
      <alignment horizontal="center" vertical="top"/>
    </xf>
    <xf numFmtId="4" fontId="31" fillId="24" borderId="25" xfId="0" applyNumberFormat="1" applyFont="1" applyFill="1" applyBorder="1" applyAlignment="1" applyProtection="1">
      <alignment horizontal="center" vertical="top"/>
    </xf>
    <xf numFmtId="4" fontId="30" fillId="24" borderId="25" xfId="0" applyNumberFormat="1" applyFont="1" applyFill="1" applyBorder="1" applyAlignment="1" applyProtection="1">
      <alignment horizontal="center" vertical="top"/>
    </xf>
    <xf numFmtId="1" fontId="30" fillId="24" borderId="25" xfId="0" applyNumberFormat="1" applyFont="1" applyFill="1" applyBorder="1" applyAlignment="1" applyProtection="1">
      <alignment horizontal="center" vertical="top" wrapText="1"/>
    </xf>
    <xf numFmtId="14" fontId="30" fillId="24" borderId="25" xfId="0" applyNumberFormat="1" applyFont="1" applyFill="1" applyBorder="1" applyAlignment="1" applyProtection="1">
      <alignment vertical="top"/>
    </xf>
    <xf numFmtId="175" fontId="30" fillId="24" borderId="12" xfId="0" applyNumberFormat="1" applyFont="1" applyFill="1" applyBorder="1" applyAlignment="1" applyProtection="1">
      <alignment horizontal="center" vertical="top"/>
    </xf>
    <xf numFmtId="0" fontId="31" fillId="24" borderId="25" xfId="0" applyNumberFormat="1" applyFont="1" applyFill="1" applyBorder="1" applyAlignment="1" applyProtection="1">
      <alignment horizontal="center" vertical="top"/>
    </xf>
    <xf numFmtId="17" fontId="31" fillId="24" borderId="25" xfId="0" applyNumberFormat="1" applyFont="1" applyFill="1" applyBorder="1" applyAlignment="1" applyProtection="1">
      <alignment horizontal="center" vertical="top"/>
    </xf>
    <xf numFmtId="0" fontId="31" fillId="24" borderId="25" xfId="0" applyNumberFormat="1" applyFont="1" applyFill="1" applyBorder="1" applyAlignment="1" applyProtection="1">
      <alignment vertical="top" wrapText="1"/>
    </xf>
    <xf numFmtId="0" fontId="31" fillId="24" borderId="10" xfId="0" applyFont="1" applyFill="1" applyBorder="1" applyAlignment="1">
      <alignment horizontal="left" vertical="top" wrapText="1"/>
    </xf>
    <xf numFmtId="0" fontId="31" fillId="24" borderId="10" xfId="0" applyNumberFormat="1" applyFont="1" applyFill="1" applyBorder="1" applyAlignment="1">
      <alignment horizontal="left" vertical="top" wrapText="1"/>
    </xf>
    <xf numFmtId="0" fontId="31" fillId="24" borderId="25" xfId="0" applyFont="1" applyFill="1" applyBorder="1" applyAlignment="1">
      <alignment vertical="top" wrapText="1"/>
    </xf>
    <xf numFmtId="49" fontId="31" fillId="24" borderId="25" xfId="0" applyNumberFormat="1" applyFont="1" applyFill="1" applyBorder="1" applyAlignment="1" applyProtection="1">
      <alignment vertical="top" wrapText="1"/>
    </xf>
    <xf numFmtId="14" fontId="31" fillId="24" borderId="25" xfId="0" applyNumberFormat="1" applyFont="1" applyFill="1" applyBorder="1" applyAlignment="1">
      <alignment vertical="top" wrapText="1"/>
    </xf>
    <xf numFmtId="0" fontId="31" fillId="24" borderId="25" xfId="0" applyFont="1" applyFill="1" applyBorder="1" applyAlignment="1">
      <alignment horizontal="center" vertical="top" wrapText="1"/>
    </xf>
    <xf numFmtId="175" fontId="31" fillId="24" borderId="10" xfId="0" applyNumberFormat="1" applyFont="1" applyFill="1" applyBorder="1" applyAlignment="1" applyProtection="1">
      <alignment vertical="top"/>
    </xf>
    <xf numFmtId="14" fontId="31" fillId="24" borderId="25" xfId="0" applyNumberFormat="1" applyFont="1" applyFill="1" applyBorder="1" applyAlignment="1" applyProtection="1">
      <alignment vertical="top"/>
    </xf>
    <xf numFmtId="2" fontId="30" fillId="24" borderId="10" xfId="0" applyNumberFormat="1" applyFont="1" applyFill="1" applyBorder="1" applyAlignment="1">
      <alignment vertical="top" wrapText="1"/>
    </xf>
    <xf numFmtId="14" fontId="30" fillId="24" borderId="11" xfId="0" applyNumberFormat="1" applyFont="1" applyFill="1" applyBorder="1" applyAlignment="1">
      <alignment vertical="top" wrapText="1"/>
    </xf>
    <xf numFmtId="14" fontId="30" fillId="24" borderId="25" xfId="0" applyNumberFormat="1" applyFont="1" applyFill="1" applyBorder="1" applyAlignment="1">
      <alignment vertical="top" wrapText="1"/>
    </xf>
    <xf numFmtId="14" fontId="30" fillId="24" borderId="12" xfId="0" applyNumberFormat="1" applyFont="1" applyFill="1" applyBorder="1" applyAlignment="1">
      <alignment vertical="top" wrapText="1"/>
    </xf>
    <xf numFmtId="14" fontId="30" fillId="24" borderId="12" xfId="0" applyNumberFormat="1" applyFont="1" applyFill="1" applyBorder="1" applyAlignment="1" applyProtection="1">
      <alignment vertical="top"/>
    </xf>
    <xf numFmtId="1" fontId="30" fillId="24" borderId="12" xfId="0" applyNumberFormat="1" applyFont="1" applyFill="1" applyBorder="1" applyAlignment="1" applyProtection="1">
      <alignment horizontal="center" vertical="top" wrapText="1"/>
    </xf>
    <xf numFmtId="2" fontId="31" fillId="24" borderId="30" xfId="0" applyNumberFormat="1" applyFont="1" applyFill="1" applyBorder="1" applyAlignment="1">
      <alignment horizontal="center" vertical="top" wrapText="1"/>
    </xf>
    <xf numFmtId="14" fontId="30" fillId="24" borderId="10" xfId="0" applyNumberFormat="1" applyFont="1" applyFill="1" applyBorder="1" applyAlignment="1" applyProtection="1">
      <alignment horizontal="center" vertical="top" wrapText="1"/>
    </xf>
    <xf numFmtId="4" fontId="31" fillId="24" borderId="11" xfId="0" applyNumberFormat="1" applyFont="1" applyFill="1" applyBorder="1" applyAlignment="1" applyProtection="1">
      <alignment horizontal="center" vertical="top"/>
    </xf>
    <xf numFmtId="2" fontId="31" fillId="24" borderId="34" xfId="0" applyNumberFormat="1" applyFont="1" applyFill="1" applyBorder="1" applyAlignment="1">
      <alignment horizontal="center" vertical="top" wrapText="1"/>
    </xf>
    <xf numFmtId="4" fontId="31" fillId="24" borderId="25" xfId="0" applyNumberFormat="1" applyFont="1" applyFill="1" applyBorder="1" applyAlignment="1" applyProtection="1">
      <alignment horizontal="center" vertical="top"/>
    </xf>
    <xf numFmtId="2" fontId="31" fillId="24" borderId="23" xfId="0" applyNumberFormat="1" applyFont="1" applyFill="1" applyBorder="1" applyAlignment="1">
      <alignment horizontal="center" vertical="top" wrapText="1"/>
    </xf>
    <xf numFmtId="2" fontId="31" fillId="24" borderId="12" xfId="0" applyNumberFormat="1" applyFont="1" applyFill="1" applyBorder="1" applyAlignment="1">
      <alignment horizontal="center" vertical="top" wrapText="1"/>
    </xf>
    <xf numFmtId="14" fontId="30" fillId="24" borderId="27" xfId="0" applyNumberFormat="1" applyFont="1" applyFill="1" applyBorder="1" applyAlignment="1" applyProtection="1">
      <alignment horizontal="center" vertical="top" wrapText="1"/>
    </xf>
    <xf numFmtId="0" fontId="0" fillId="24" borderId="0" xfId="0" applyFont="1" applyFill="1" applyAlignment="1"/>
    <xf numFmtId="49" fontId="30" fillId="24" borderId="10" xfId="0" applyNumberFormat="1" applyFont="1" applyFill="1" applyBorder="1" applyAlignment="1">
      <alignment horizontal="left" vertical="top" wrapText="1"/>
    </xf>
    <xf numFmtId="14" fontId="30" fillId="24" borderId="11" xfId="0" applyNumberFormat="1" applyFont="1" applyFill="1" applyBorder="1" applyAlignment="1" applyProtection="1">
      <alignment vertical="top"/>
    </xf>
    <xf numFmtId="4" fontId="31" fillId="24" borderId="12" xfId="0" applyNumberFormat="1" applyFont="1" applyFill="1" applyBorder="1" applyAlignment="1" applyProtection="1">
      <alignment horizontal="center" vertical="top"/>
    </xf>
    <xf numFmtId="17" fontId="30" fillId="24" borderId="11" xfId="0" applyNumberFormat="1" applyFont="1" applyFill="1" applyBorder="1" applyAlignment="1" applyProtection="1">
      <alignment horizontal="center" vertical="top"/>
    </xf>
    <xf numFmtId="175" fontId="31" fillId="24" borderId="11" xfId="0" applyNumberFormat="1" applyFont="1" applyFill="1" applyBorder="1" applyAlignment="1" applyProtection="1">
      <alignment horizontal="center" vertical="top"/>
    </xf>
    <xf numFmtId="17" fontId="30" fillId="24" borderId="25" xfId="0" applyNumberFormat="1" applyFont="1" applyFill="1" applyBorder="1" applyAlignment="1" applyProtection="1">
      <alignment horizontal="center" vertical="top"/>
    </xf>
    <xf numFmtId="175" fontId="31" fillId="24" borderId="12" xfId="0" applyNumberFormat="1" applyFont="1" applyFill="1" applyBorder="1" applyAlignment="1" applyProtection="1">
      <alignment horizontal="center" vertical="top"/>
    </xf>
    <xf numFmtId="14" fontId="30" fillId="24" borderId="25" xfId="0" applyNumberFormat="1" applyFont="1" applyFill="1" applyBorder="1" applyAlignment="1" applyProtection="1">
      <alignment horizontal="center" vertical="top"/>
    </xf>
    <xf numFmtId="175" fontId="31" fillId="24" borderId="12" xfId="0" applyNumberFormat="1" applyFont="1" applyFill="1" applyBorder="1" applyAlignment="1" applyProtection="1">
      <alignment horizontal="center" vertical="top"/>
    </xf>
    <xf numFmtId="17" fontId="30" fillId="24" borderId="12" xfId="0" applyNumberFormat="1" applyFont="1" applyFill="1" applyBorder="1" applyAlignment="1" applyProtection="1">
      <alignment horizontal="center" vertical="top"/>
    </xf>
    <xf numFmtId="0" fontId="31" fillId="24" borderId="10" xfId="0" applyNumberFormat="1" applyFont="1" applyFill="1" applyBorder="1" applyAlignment="1" applyProtection="1">
      <alignment vertical="top" wrapText="1"/>
    </xf>
    <xf numFmtId="0" fontId="30" fillId="24" borderId="25" xfId="0" applyNumberFormat="1" applyFont="1" applyFill="1" applyBorder="1" applyAlignment="1" applyProtection="1">
      <alignment horizontal="left" vertical="top"/>
    </xf>
    <xf numFmtId="0" fontId="30" fillId="24" borderId="25" xfId="0" applyNumberFormat="1" applyFont="1" applyFill="1" applyBorder="1" applyAlignment="1" applyProtection="1">
      <alignment horizontal="left" vertical="top" wrapText="1"/>
    </xf>
    <xf numFmtId="4" fontId="30" fillId="24" borderId="14" xfId="0" applyNumberFormat="1" applyFont="1" applyFill="1" applyBorder="1" applyAlignment="1">
      <alignment horizontal="center" vertical="top" wrapText="1"/>
    </xf>
    <xf numFmtId="49" fontId="30" fillId="24" borderId="11" xfId="0" applyNumberFormat="1" applyFont="1" applyFill="1" applyBorder="1" applyAlignment="1">
      <alignment horizontal="center" vertical="top" wrapText="1"/>
    </xf>
    <xf numFmtId="0" fontId="30" fillId="24" borderId="11" xfId="0" applyNumberFormat="1" applyFont="1" applyFill="1" applyBorder="1" applyAlignment="1">
      <alignment horizontal="left" vertical="top" wrapText="1"/>
    </xf>
    <xf numFmtId="14" fontId="30" fillId="24" borderId="11" xfId="0" applyNumberFormat="1" applyFont="1" applyFill="1" applyBorder="1" applyAlignment="1">
      <alignment horizontal="center" vertical="top" wrapText="1"/>
    </xf>
    <xf numFmtId="2" fontId="30" fillId="24" borderId="11" xfId="0" applyNumberFormat="1" applyFont="1" applyFill="1" applyBorder="1" applyAlignment="1">
      <alignment horizontal="center" vertical="top" wrapText="1"/>
    </xf>
    <xf numFmtId="49" fontId="30" fillId="24" borderId="14" xfId="0" applyNumberFormat="1" applyFont="1" applyFill="1" applyBorder="1" applyAlignment="1">
      <alignment horizontal="center" vertical="top" wrapText="1"/>
    </xf>
    <xf numFmtId="0" fontId="30" fillId="24" borderId="0" xfId="0" applyFont="1" applyFill="1" applyBorder="1" applyAlignment="1">
      <alignment horizontal="left" vertical="top" wrapText="1"/>
    </xf>
    <xf numFmtId="0" fontId="30" fillId="24" borderId="0" xfId="0" applyFont="1" applyFill="1" applyBorder="1" applyAlignment="1">
      <alignment horizontal="center" vertical="top" wrapText="1"/>
    </xf>
    <xf numFmtId="2" fontId="26" fillId="24" borderId="12" xfId="0" applyNumberFormat="1" applyFont="1" applyFill="1" applyBorder="1" applyAlignment="1" applyProtection="1">
      <alignment horizontal="center" vertical="top"/>
    </xf>
    <xf numFmtId="1" fontId="26" fillId="24" borderId="12" xfId="0" applyNumberFormat="1" applyFont="1" applyFill="1" applyBorder="1" applyAlignment="1" applyProtection="1">
      <alignment horizontal="center" vertical="top"/>
    </xf>
    <xf numFmtId="14" fontId="30" fillId="24" borderId="0" xfId="0" applyNumberFormat="1" applyFont="1" applyFill="1" applyBorder="1" applyAlignment="1" applyProtection="1">
      <alignment horizontal="right" vertical="top" wrapText="1"/>
    </xf>
    <xf numFmtId="2" fontId="30" fillId="24" borderId="0" xfId="0" applyNumberFormat="1" applyFont="1" applyFill="1" applyBorder="1" applyAlignment="1">
      <alignment vertical="top" wrapText="1"/>
    </xf>
    <xf numFmtId="4" fontId="30" fillId="24" borderId="0" xfId="0" applyNumberFormat="1" applyFont="1" applyFill="1" applyBorder="1" applyAlignment="1" applyProtection="1">
      <alignment horizontal="right" vertical="top"/>
    </xf>
    <xf numFmtId="1" fontId="30" fillId="24" borderId="0" xfId="0" applyNumberFormat="1" applyFont="1" applyFill="1" applyBorder="1" applyAlignment="1" applyProtection="1">
      <alignment horizontal="center" vertical="top"/>
    </xf>
    <xf numFmtId="0" fontId="32" fillId="24" borderId="0" xfId="0" applyNumberFormat="1" applyFont="1" applyFill="1" applyBorder="1" applyAlignment="1" applyProtection="1">
      <alignment vertical="top" wrapText="1"/>
    </xf>
    <xf numFmtId="0" fontId="32" fillId="24" borderId="0" xfId="0" applyNumberFormat="1" applyFont="1" applyFill="1" applyBorder="1" applyAlignment="1" applyProtection="1">
      <alignment vertical="top"/>
    </xf>
    <xf numFmtId="0" fontId="28" fillId="24" borderId="0" xfId="0" applyNumberFormat="1" applyFont="1" applyFill="1" applyBorder="1" applyAlignment="1" applyProtection="1">
      <alignment vertical="top"/>
    </xf>
    <xf numFmtId="0" fontId="32" fillId="24" borderId="0" xfId="0" applyNumberFormat="1" applyFont="1" applyFill="1" applyBorder="1" applyAlignment="1" applyProtection="1">
      <alignment horizontal="center" vertical="top"/>
    </xf>
    <xf numFmtId="0" fontId="28" fillId="24" borderId="0" xfId="0" applyNumberFormat="1" applyFont="1" applyFill="1" applyBorder="1" applyAlignment="1" applyProtection="1">
      <alignment horizontal="left" vertical="top"/>
    </xf>
    <xf numFmtId="0" fontId="30" fillId="24" borderId="52" xfId="0" applyNumberFormat="1" applyFont="1" applyFill="1" applyBorder="1" applyAlignment="1" applyProtection="1">
      <alignment horizontal="center" vertical="top" wrapText="1"/>
    </xf>
    <xf numFmtId="0" fontId="30" fillId="24" borderId="53" xfId="0" applyNumberFormat="1" applyFont="1" applyFill="1" applyBorder="1" applyAlignment="1" applyProtection="1">
      <alignment horizontal="center" vertical="top" wrapText="1"/>
    </xf>
    <xf numFmtId="0" fontId="28" fillId="24" borderId="10" xfId="0" applyFont="1" applyFill="1" applyBorder="1" applyAlignment="1">
      <alignment horizontal="left" vertical="top" wrapText="1"/>
    </xf>
    <xf numFmtId="0" fontId="30" fillId="24" borderId="11" xfId="0" applyFont="1" applyFill="1" applyBorder="1" applyAlignment="1">
      <alignment vertical="top" wrapText="1"/>
    </xf>
    <xf numFmtId="0" fontId="31" fillId="24" borderId="11" xfId="0" applyNumberFormat="1" applyFont="1" applyFill="1" applyBorder="1" applyAlignment="1" applyProtection="1">
      <alignment horizontal="center" vertical="top" wrapText="1"/>
    </xf>
    <xf numFmtId="4" fontId="30" fillId="24" borderId="11" xfId="0" applyNumberFormat="1" applyFont="1" applyFill="1" applyBorder="1" applyAlignment="1">
      <alignment horizontal="center" vertical="top" wrapText="1"/>
    </xf>
    <xf numFmtId="2" fontId="30" fillId="24" borderId="25" xfId="0" applyNumberFormat="1" applyFont="1" applyFill="1" applyBorder="1" applyAlignment="1">
      <alignment horizontal="center" vertical="top" wrapText="1"/>
    </xf>
    <xf numFmtId="4" fontId="30" fillId="24" borderId="25" xfId="0" applyNumberFormat="1" applyFont="1" applyFill="1" applyBorder="1" applyAlignment="1" applyProtection="1">
      <alignment horizontal="center" vertical="top" wrapText="1"/>
    </xf>
    <xf numFmtId="2" fontId="30" fillId="24" borderId="12" xfId="0" applyNumberFormat="1" applyFont="1" applyFill="1" applyBorder="1" applyAlignment="1">
      <alignment horizontal="center" vertical="top" wrapText="1"/>
    </xf>
    <xf numFmtId="0" fontId="30" fillId="24" borderId="17" xfId="0" applyNumberFormat="1" applyFont="1" applyFill="1" applyBorder="1" applyAlignment="1" applyProtection="1">
      <alignment horizontal="center" vertical="top"/>
    </xf>
    <xf numFmtId="0" fontId="30" fillId="24" borderId="27" xfId="0" applyNumberFormat="1" applyFont="1" applyFill="1" applyBorder="1" applyAlignment="1" applyProtection="1">
      <alignment horizontal="center" vertical="top"/>
    </xf>
    <xf numFmtId="0" fontId="30" fillId="24" borderId="15" xfId="0" applyNumberFormat="1" applyFont="1" applyFill="1" applyBorder="1" applyAlignment="1" applyProtection="1">
      <alignment horizontal="center" vertical="top"/>
    </xf>
    <xf numFmtId="49" fontId="30" fillId="24" borderId="11" xfId="0" applyNumberFormat="1" applyFont="1" applyFill="1" applyBorder="1" applyAlignment="1">
      <alignment vertical="top" wrapText="1"/>
    </xf>
    <xf numFmtId="49" fontId="30" fillId="24" borderId="25" xfId="0" applyNumberFormat="1" applyFont="1" applyFill="1" applyBorder="1" applyAlignment="1">
      <alignment horizontal="center" vertical="top" wrapText="1"/>
    </xf>
    <xf numFmtId="2" fontId="30" fillId="24" borderId="25" xfId="0" applyNumberFormat="1" applyFont="1" applyFill="1" applyBorder="1" applyAlignment="1" applyProtection="1">
      <alignment horizontal="center" vertical="top"/>
    </xf>
    <xf numFmtId="4" fontId="6" fillId="24" borderId="11" xfId="0" applyNumberFormat="1" applyFont="1" applyFill="1" applyBorder="1" applyAlignment="1" applyProtection="1">
      <alignment horizontal="center" vertical="top"/>
    </xf>
    <xf numFmtId="0" fontId="30" fillId="24" borderId="35" xfId="0" applyFont="1" applyFill="1" applyBorder="1" applyAlignment="1">
      <alignment horizontal="left" vertical="top" wrapText="1"/>
    </xf>
    <xf numFmtId="0" fontId="30" fillId="24" borderId="10" xfId="0" applyFont="1" applyFill="1" applyBorder="1" applyAlignment="1">
      <alignment horizontal="center" wrapText="1"/>
    </xf>
    <xf numFmtId="2" fontId="30" fillId="24" borderId="12" xfId="0" applyNumberFormat="1" applyFont="1" applyFill="1" applyBorder="1" applyAlignment="1" applyProtection="1">
      <alignment horizontal="center" vertical="top"/>
    </xf>
    <xf numFmtId="0" fontId="31" fillId="24" borderId="10" xfId="0" applyNumberFormat="1" applyFont="1" applyFill="1" applyBorder="1" applyAlignment="1" applyProtection="1">
      <alignment horizontal="center" wrapText="1"/>
    </xf>
    <xf numFmtId="0" fontId="28" fillId="24" borderId="11" xfId="0" applyFont="1" applyFill="1" applyBorder="1" applyAlignment="1">
      <alignment horizontal="center" vertical="top" wrapText="1"/>
    </xf>
    <xf numFmtId="4" fontId="30" fillId="24" borderId="10" xfId="0" applyNumberFormat="1" applyFont="1" applyFill="1" applyBorder="1" applyAlignment="1" applyProtection="1">
      <alignment horizontal="center" vertical="top"/>
    </xf>
    <xf numFmtId="14" fontId="28" fillId="24" borderId="11" xfId="0" applyNumberFormat="1" applyFont="1" applyFill="1" applyBorder="1" applyAlignment="1" applyProtection="1">
      <alignment horizontal="center" vertical="top" wrapText="1"/>
    </xf>
    <xf numFmtId="0" fontId="28" fillId="24" borderId="10" xfId="0" applyNumberFormat="1" applyFont="1" applyFill="1" applyBorder="1" applyAlignment="1" applyProtection="1">
      <alignment vertical="top"/>
    </xf>
    <xf numFmtId="0" fontId="30" fillId="24" borderId="11" xfId="0" applyNumberFormat="1" applyFont="1" applyFill="1" applyBorder="1" applyAlignment="1" applyProtection="1">
      <alignment horizontal="left" vertical="top" wrapText="1"/>
    </xf>
    <xf numFmtId="0" fontId="28" fillId="24" borderId="25" xfId="0" applyFont="1" applyFill="1" applyBorder="1" applyAlignment="1">
      <alignment horizontal="center" vertical="top" wrapText="1"/>
    </xf>
    <xf numFmtId="14" fontId="28" fillId="24" borderId="25" xfId="0" applyNumberFormat="1" applyFont="1" applyFill="1" applyBorder="1" applyAlignment="1" applyProtection="1">
      <alignment horizontal="center" vertical="top"/>
    </xf>
    <xf numFmtId="14" fontId="28" fillId="24" borderId="25" xfId="0" applyNumberFormat="1" applyFont="1" applyFill="1" applyBorder="1" applyAlignment="1" applyProtection="1">
      <alignment horizontal="center" vertical="top" wrapText="1"/>
    </xf>
    <xf numFmtId="0" fontId="30" fillId="24" borderId="25" xfId="0" applyNumberFormat="1" applyFont="1" applyFill="1" applyBorder="1" applyAlignment="1" applyProtection="1">
      <alignment horizontal="left" vertical="top" wrapText="1"/>
    </xf>
    <xf numFmtId="0" fontId="30" fillId="24" borderId="12" xfId="0" applyNumberFormat="1" applyFont="1" applyFill="1" applyBorder="1" applyAlignment="1" applyProtection="1">
      <alignment horizontal="left" vertical="top" wrapText="1"/>
    </xf>
    <xf numFmtId="0" fontId="28" fillId="24" borderId="12" xfId="0" applyFont="1" applyFill="1" applyBorder="1" applyAlignment="1">
      <alignment horizontal="center" vertical="top" wrapText="1"/>
    </xf>
    <xf numFmtId="14" fontId="28" fillId="24" borderId="12" xfId="0" applyNumberFormat="1" applyFont="1" applyFill="1" applyBorder="1" applyAlignment="1" applyProtection="1">
      <alignment horizontal="center" vertical="top"/>
    </xf>
    <xf numFmtId="14" fontId="28" fillId="24" borderId="12" xfId="0" applyNumberFormat="1" applyFont="1" applyFill="1" applyBorder="1" applyAlignment="1" applyProtection="1">
      <alignment horizontal="center" vertical="top" wrapText="1"/>
    </xf>
    <xf numFmtId="4" fontId="30" fillId="24" borderId="14" xfId="0" applyNumberFormat="1" applyFont="1" applyFill="1" applyBorder="1" applyAlignment="1" applyProtection="1">
      <alignment horizontal="center" vertical="top"/>
    </xf>
    <xf numFmtId="0" fontId="30" fillId="24" borderId="11" xfId="28" applyNumberFormat="1" applyFont="1" applyFill="1" applyBorder="1" applyAlignment="1" applyProtection="1">
      <alignment horizontal="center" vertical="top"/>
    </xf>
    <xf numFmtId="164" fontId="30" fillId="24" borderId="11" xfId="28" applyFont="1" applyFill="1" applyBorder="1" applyAlignment="1" applyProtection="1">
      <alignment horizontal="center" vertical="top" wrapText="1"/>
    </xf>
    <xf numFmtId="164" fontId="30" fillId="24" borderId="11" xfId="28" applyFont="1" applyFill="1" applyBorder="1" applyAlignment="1">
      <alignment vertical="top" wrapText="1"/>
    </xf>
    <xf numFmtId="0" fontId="30" fillId="24" borderId="12" xfId="0" applyFont="1" applyFill="1" applyBorder="1" applyAlignment="1">
      <alignment horizontal="left" vertical="top" wrapText="1"/>
    </xf>
    <xf numFmtId="0" fontId="31" fillId="24" borderId="12" xfId="0" applyNumberFormat="1" applyFont="1" applyFill="1" applyBorder="1" applyAlignment="1" applyProtection="1">
      <alignment horizontal="center" vertical="top" wrapText="1"/>
    </xf>
    <xf numFmtId="14" fontId="30" fillId="24" borderId="11" xfId="0" applyNumberFormat="1" applyFont="1" applyFill="1" applyBorder="1" applyAlignment="1">
      <alignment horizontal="center" vertical="top" wrapText="1"/>
    </xf>
    <xf numFmtId="0" fontId="30" fillId="24" borderId="11" xfId="0" applyNumberFormat="1" applyFont="1" applyFill="1" applyBorder="1" applyAlignment="1">
      <alignment horizontal="center" vertical="top" wrapText="1"/>
    </xf>
    <xf numFmtId="0" fontId="30" fillId="24" borderId="25" xfId="28" applyNumberFormat="1" applyFont="1" applyFill="1" applyBorder="1" applyAlignment="1" applyProtection="1">
      <alignment horizontal="center" vertical="top"/>
    </xf>
    <xf numFmtId="164" fontId="30" fillId="24" borderId="25" xfId="28" applyFont="1" applyFill="1" applyBorder="1" applyAlignment="1" applyProtection="1">
      <alignment horizontal="center" vertical="top" wrapText="1"/>
    </xf>
    <xf numFmtId="164" fontId="30" fillId="24" borderId="25" xfId="28" applyFont="1" applyFill="1" applyBorder="1" applyAlignment="1">
      <alignment horizontal="center" vertical="top" wrapText="1"/>
    </xf>
    <xf numFmtId="14" fontId="30" fillId="24" borderId="25" xfId="0" applyNumberFormat="1" applyFont="1" applyFill="1" applyBorder="1" applyAlignment="1">
      <alignment horizontal="center" vertical="top" wrapText="1"/>
    </xf>
    <xf numFmtId="0" fontId="30" fillId="24" borderId="25" xfId="0" applyNumberFormat="1" applyFont="1" applyFill="1" applyBorder="1" applyAlignment="1">
      <alignment horizontal="center" vertical="top" wrapText="1"/>
    </xf>
    <xf numFmtId="0" fontId="30" fillId="24" borderId="12" xfId="28" applyNumberFormat="1" applyFont="1" applyFill="1" applyBorder="1" applyAlignment="1" applyProtection="1">
      <alignment horizontal="center" vertical="top"/>
    </xf>
    <xf numFmtId="164" fontId="30" fillId="24" borderId="12" xfId="28" applyFont="1" applyFill="1" applyBorder="1" applyAlignment="1" applyProtection="1">
      <alignment horizontal="center" vertical="top" wrapText="1"/>
    </xf>
    <xf numFmtId="164" fontId="30" fillId="24" borderId="12" xfId="28" applyFont="1" applyFill="1" applyBorder="1" applyAlignment="1">
      <alignment horizontal="center" vertical="top" wrapText="1"/>
    </xf>
    <xf numFmtId="0" fontId="30" fillId="24" borderId="12" xfId="0" applyNumberFormat="1" applyFont="1" applyFill="1" applyBorder="1" applyAlignment="1">
      <alignment horizontal="center" vertical="top" wrapText="1"/>
    </xf>
    <xf numFmtId="4" fontId="30" fillId="24" borderId="11" xfId="0" applyNumberFormat="1" applyFont="1" applyFill="1" applyBorder="1" applyAlignment="1">
      <alignment horizontal="center" vertical="top" wrapText="1"/>
    </xf>
    <xf numFmtId="2" fontId="30" fillId="24" borderId="25" xfId="0" applyNumberFormat="1" applyFont="1" applyFill="1" applyBorder="1" applyAlignment="1">
      <alignment horizontal="center" vertical="top" wrapText="1"/>
    </xf>
    <xf numFmtId="14" fontId="49" fillId="24" borderId="25" xfId="39" applyNumberFormat="1" applyFont="1" applyFill="1" applyBorder="1" applyAlignment="1" applyProtection="1">
      <alignment horizontal="center" vertical="top" wrapText="1"/>
    </xf>
    <xf numFmtId="0" fontId="30" fillId="24" borderId="23" xfId="0" applyFont="1" applyFill="1" applyBorder="1" applyAlignment="1">
      <alignment horizontal="left" vertical="top" wrapText="1"/>
    </xf>
    <xf numFmtId="0" fontId="30" fillId="24" borderId="12" xfId="0" applyFont="1" applyFill="1" applyBorder="1" applyAlignment="1">
      <alignment horizontal="center" vertical="top"/>
    </xf>
    <xf numFmtId="4" fontId="30" fillId="24" borderId="12" xfId="0" applyNumberFormat="1" applyFont="1" applyFill="1" applyBorder="1" applyAlignment="1" applyProtection="1">
      <alignment vertical="top"/>
    </xf>
    <xf numFmtId="14" fontId="49" fillId="24" borderId="12" xfId="39" applyNumberFormat="1" applyFont="1" applyFill="1" applyBorder="1" applyAlignment="1" applyProtection="1">
      <alignment horizontal="center" vertical="top" wrapText="1"/>
    </xf>
    <xf numFmtId="14" fontId="30" fillId="24" borderId="12" xfId="0" applyNumberFormat="1" applyFont="1" applyFill="1" applyBorder="1" applyAlignment="1">
      <alignment horizontal="center" vertical="top" wrapText="1"/>
    </xf>
    <xf numFmtId="2" fontId="31" fillId="24" borderId="12" xfId="0" applyNumberFormat="1" applyFont="1" applyFill="1" applyBorder="1" applyAlignment="1" applyProtection="1">
      <alignment horizontal="center" wrapText="1"/>
    </xf>
    <xf numFmtId="0" fontId="31" fillId="24" borderId="12" xfId="0" applyNumberFormat="1" applyFont="1" applyFill="1" applyBorder="1" applyAlignment="1" applyProtection="1">
      <alignment horizontal="center" wrapText="1"/>
    </xf>
    <xf numFmtId="4" fontId="31" fillId="24" borderId="12" xfId="0" applyNumberFormat="1" applyFont="1" applyFill="1" applyBorder="1" applyAlignment="1" applyProtection="1">
      <alignment horizontal="right"/>
    </xf>
    <xf numFmtId="4" fontId="28" fillId="24" borderId="0" xfId="0" applyNumberFormat="1" applyFont="1" applyFill="1" applyBorder="1" applyAlignment="1" applyProtection="1">
      <alignment vertical="top"/>
    </xf>
    <xf numFmtId="0" fontId="32" fillId="24" borderId="0" xfId="0" applyNumberFormat="1" applyFont="1" applyFill="1" applyBorder="1" applyAlignment="1" applyProtection="1">
      <alignment horizontal="left" vertical="top"/>
    </xf>
    <xf numFmtId="0" fontId="32" fillId="24" borderId="0" xfId="0" applyNumberFormat="1" applyFont="1" applyFill="1" applyBorder="1" applyAlignment="1" applyProtection="1">
      <alignment horizontal="left" vertical="top"/>
    </xf>
    <xf numFmtId="0" fontId="34" fillId="24" borderId="0" xfId="0" applyNumberFormat="1" applyFont="1" applyFill="1" applyBorder="1" applyAlignment="1" applyProtection="1">
      <alignment vertical="top" wrapText="1"/>
    </xf>
    <xf numFmtId="0" fontId="29" fillId="24" borderId="0" xfId="0" applyNumberFormat="1" applyFont="1" applyFill="1" applyBorder="1" applyAlignment="1" applyProtection="1">
      <alignment horizontal="left" vertical="top" wrapText="1"/>
    </xf>
    <xf numFmtId="0" fontId="6" fillId="24" borderId="0" xfId="0" applyNumberFormat="1" applyFont="1" applyFill="1" applyBorder="1" applyAlignment="1" applyProtection="1">
      <alignment vertical="top" wrapText="1"/>
    </xf>
    <xf numFmtId="0" fontId="30" fillId="24" borderId="63" xfId="0" applyNumberFormat="1" applyFont="1" applyFill="1" applyBorder="1" applyAlignment="1" applyProtection="1">
      <alignment horizontal="left" vertical="top" wrapText="1"/>
    </xf>
    <xf numFmtId="49" fontId="30" fillId="24" borderId="56" xfId="0" applyNumberFormat="1" applyFont="1" applyFill="1" applyBorder="1" applyAlignment="1" applyProtection="1">
      <alignment horizontal="center" vertical="top" wrapText="1"/>
    </xf>
    <xf numFmtId="0" fontId="30" fillId="24" borderId="61" xfId="0" applyNumberFormat="1" applyFont="1" applyFill="1" applyBorder="1" applyAlignment="1" applyProtection="1">
      <alignment vertical="top" wrapText="1"/>
    </xf>
    <xf numFmtId="0" fontId="30" fillId="24" borderId="64" xfId="0" applyNumberFormat="1" applyFont="1" applyFill="1" applyBorder="1" applyAlignment="1" applyProtection="1">
      <alignment horizontal="center" vertical="top"/>
    </xf>
    <xf numFmtId="0" fontId="30" fillId="24" borderId="61" xfId="0" applyNumberFormat="1" applyFont="1" applyFill="1" applyBorder="1" applyAlignment="1" applyProtection="1">
      <alignment horizontal="center" vertical="top"/>
    </xf>
    <xf numFmtId="0" fontId="30" fillId="24" borderId="65" xfId="0" applyNumberFormat="1" applyFont="1" applyFill="1" applyBorder="1" applyAlignment="1" applyProtection="1">
      <alignment horizontal="left" vertical="top" wrapText="1"/>
    </xf>
    <xf numFmtId="49" fontId="30" fillId="24" borderId="59" xfId="0" applyNumberFormat="1" applyFont="1" applyFill="1" applyBorder="1" applyAlignment="1" applyProtection="1">
      <alignment horizontal="center" vertical="top" wrapText="1"/>
    </xf>
    <xf numFmtId="0" fontId="30" fillId="24" borderId="62" xfId="0" applyNumberFormat="1" applyFont="1" applyFill="1" applyBorder="1" applyAlignment="1" applyProtection="1">
      <alignment vertical="top" wrapText="1"/>
    </xf>
    <xf numFmtId="0" fontId="30" fillId="24" borderId="18" xfId="0" applyNumberFormat="1" applyFont="1" applyFill="1" applyBorder="1" applyAlignment="1" applyProtection="1">
      <alignment vertical="top" wrapText="1"/>
    </xf>
    <xf numFmtId="0" fontId="30" fillId="24" borderId="15" xfId="0" applyNumberFormat="1" applyFont="1" applyFill="1" applyBorder="1" applyAlignment="1" applyProtection="1">
      <alignment horizontal="center" vertical="top"/>
    </xf>
    <xf numFmtId="49" fontId="30" fillId="24" borderId="11" xfId="0" applyNumberFormat="1" applyFont="1" applyFill="1" applyBorder="1" applyAlignment="1" applyProtection="1">
      <alignment horizontal="center" vertical="top"/>
    </xf>
    <xf numFmtId="49" fontId="30" fillId="24" borderId="12" xfId="0" applyNumberFormat="1" applyFont="1" applyFill="1" applyBorder="1" applyAlignment="1" applyProtection="1">
      <alignment horizontal="center" vertical="top"/>
    </xf>
    <xf numFmtId="0" fontId="30" fillId="24" borderId="11" xfId="0" applyNumberFormat="1" applyFont="1" applyFill="1" applyBorder="1" applyAlignment="1" applyProtection="1">
      <alignment horizontal="center" vertical="center"/>
    </xf>
    <xf numFmtId="0" fontId="30" fillId="24" borderId="11" xfId="0" applyNumberFormat="1" applyFont="1" applyFill="1" applyBorder="1" applyAlignment="1" applyProtection="1">
      <alignment horizontal="left" vertical="center" wrapText="1"/>
    </xf>
    <xf numFmtId="0" fontId="31" fillId="24" borderId="14" xfId="0" applyFont="1" applyFill="1" applyBorder="1" applyAlignment="1">
      <alignment horizontal="center" vertical="top" wrapText="1"/>
    </xf>
    <xf numFmtId="0" fontId="30" fillId="24" borderId="25" xfId="0" applyNumberFormat="1" applyFont="1" applyFill="1" applyBorder="1" applyAlignment="1" applyProtection="1">
      <alignment horizontal="center" vertical="center"/>
    </xf>
    <xf numFmtId="0" fontId="30" fillId="24" borderId="25" xfId="0" applyNumberFormat="1" applyFont="1" applyFill="1" applyBorder="1" applyAlignment="1" applyProtection="1">
      <alignment horizontal="left" vertical="center" wrapText="1"/>
    </xf>
    <xf numFmtId="0" fontId="30" fillId="24" borderId="12" xfId="0" applyNumberFormat="1" applyFont="1" applyFill="1" applyBorder="1" applyAlignment="1" applyProtection="1">
      <alignment horizontal="center" vertical="center"/>
    </xf>
    <xf numFmtId="0" fontId="30" fillId="24" borderId="12" xfId="0" applyNumberFormat="1" applyFont="1" applyFill="1" applyBorder="1" applyAlignment="1" applyProtection="1">
      <alignment horizontal="left" vertical="center" wrapText="1"/>
    </xf>
    <xf numFmtId="49" fontId="30" fillId="24" borderId="11" xfId="0" applyNumberFormat="1" applyFont="1" applyFill="1" applyBorder="1" applyAlignment="1" applyProtection="1">
      <alignment horizontal="center" vertical="center" wrapText="1"/>
    </xf>
    <xf numFmtId="14" fontId="30" fillId="24" borderId="11" xfId="0" applyNumberFormat="1" applyFont="1" applyFill="1" applyBorder="1" applyAlignment="1" applyProtection="1">
      <alignment horizontal="center" vertical="center" wrapText="1"/>
    </xf>
    <xf numFmtId="172" fontId="31" fillId="24" borderId="10" xfId="0" applyNumberFormat="1" applyFont="1" applyFill="1" applyBorder="1" applyAlignment="1" applyProtection="1">
      <alignment horizontal="center" vertical="top" wrapText="1"/>
    </xf>
    <xf numFmtId="49" fontId="30" fillId="24" borderId="25" xfId="0" applyNumberFormat="1" applyFont="1" applyFill="1" applyBorder="1" applyAlignment="1" applyProtection="1">
      <alignment horizontal="center" vertical="top"/>
    </xf>
    <xf numFmtId="49" fontId="30" fillId="24" borderId="25" xfId="0" applyNumberFormat="1" applyFont="1" applyFill="1" applyBorder="1" applyAlignment="1" applyProtection="1">
      <alignment horizontal="center" vertical="center" wrapText="1"/>
    </xf>
    <xf numFmtId="14" fontId="30" fillId="24" borderId="25" xfId="0" applyNumberFormat="1" applyFont="1" applyFill="1" applyBorder="1" applyAlignment="1" applyProtection="1">
      <alignment horizontal="center" vertical="center" wrapText="1"/>
    </xf>
    <xf numFmtId="172" fontId="30" fillId="24" borderId="10" xfId="0" applyNumberFormat="1" applyFont="1" applyFill="1" applyBorder="1" applyAlignment="1" applyProtection="1">
      <alignment horizontal="center" vertical="top" wrapText="1"/>
    </xf>
    <xf numFmtId="49" fontId="30" fillId="24" borderId="12" xfId="0" applyNumberFormat="1" applyFont="1" applyFill="1" applyBorder="1" applyAlignment="1" applyProtection="1">
      <alignment horizontal="center" vertical="center" wrapText="1"/>
    </xf>
    <xf numFmtId="14" fontId="30" fillId="24" borderId="12" xfId="0" applyNumberFormat="1" applyFont="1" applyFill="1" applyBorder="1" applyAlignment="1" applyProtection="1">
      <alignment horizontal="center" vertical="center" wrapText="1"/>
    </xf>
    <xf numFmtId="4" fontId="30" fillId="24" borderId="13" xfId="0" applyNumberFormat="1" applyFont="1" applyFill="1" applyBorder="1" applyAlignment="1" applyProtection="1">
      <alignment horizontal="center" vertical="top"/>
    </xf>
    <xf numFmtId="0" fontId="30" fillId="24" borderId="11" xfId="0" applyFont="1" applyFill="1" applyBorder="1" applyAlignment="1">
      <alignment horizontal="left" vertical="center" wrapText="1"/>
    </xf>
    <xf numFmtId="49" fontId="30" fillId="24" borderId="25" xfId="0" applyNumberFormat="1" applyFont="1" applyFill="1" applyBorder="1" applyAlignment="1" applyProtection="1">
      <alignment horizontal="center" vertical="center" wrapText="1"/>
    </xf>
    <xf numFmtId="14" fontId="30" fillId="24" borderId="25" xfId="0" applyNumberFormat="1" applyFont="1" applyFill="1" applyBorder="1" applyAlignment="1" applyProtection="1">
      <alignment horizontal="center" vertical="center" wrapText="1"/>
    </xf>
    <xf numFmtId="0" fontId="30" fillId="24" borderId="25" xfId="0" applyNumberFormat="1" applyFont="1" applyFill="1" applyBorder="1" applyAlignment="1" applyProtection="1">
      <alignment horizontal="center" vertical="center" wrapText="1"/>
    </xf>
    <xf numFmtId="0" fontId="30" fillId="24" borderId="25" xfId="0" applyFont="1" applyFill="1" applyBorder="1" applyAlignment="1">
      <alignment horizontal="left" vertical="center" wrapText="1"/>
    </xf>
    <xf numFmtId="0" fontId="30" fillId="24" borderId="12" xfId="0" applyFont="1" applyFill="1" applyBorder="1" applyAlignment="1">
      <alignment horizontal="left" vertical="center" wrapText="1"/>
    </xf>
    <xf numFmtId="0" fontId="30" fillId="24" borderId="11" xfId="0" applyFont="1" applyFill="1" applyBorder="1" applyAlignment="1">
      <alignment horizontal="left" vertical="top" wrapText="1"/>
    </xf>
    <xf numFmtId="49" fontId="30" fillId="24" borderId="11" xfId="0" applyNumberFormat="1" applyFont="1" applyFill="1" applyBorder="1" applyAlignment="1">
      <alignment horizontal="center" vertical="center" wrapText="1"/>
    </xf>
    <xf numFmtId="0" fontId="31" fillId="24" borderId="11" xfId="0" applyNumberFormat="1" applyFont="1" applyFill="1" applyBorder="1" applyAlignment="1" applyProtection="1">
      <alignment horizontal="center" vertical="top" wrapText="1"/>
    </xf>
    <xf numFmtId="0" fontId="31" fillId="24" borderId="12" xfId="0" applyFont="1" applyFill="1" applyBorder="1" applyAlignment="1">
      <alignment horizontal="center" vertical="top" wrapText="1"/>
    </xf>
    <xf numFmtId="0" fontId="30" fillId="24" borderId="25" xfId="0" applyFont="1" applyFill="1" applyBorder="1" applyAlignment="1">
      <alignment horizontal="left" vertical="top" wrapText="1"/>
    </xf>
    <xf numFmtId="49" fontId="30" fillId="24" borderId="12" xfId="0" applyNumberFormat="1" applyFont="1" applyFill="1" applyBorder="1" applyAlignment="1">
      <alignment horizontal="center" vertical="center" wrapText="1"/>
    </xf>
    <xf numFmtId="0" fontId="31" fillId="24" borderId="25" xfId="0" applyNumberFormat="1" applyFont="1" applyFill="1" applyBorder="1" applyAlignment="1" applyProtection="1">
      <alignment horizontal="center" vertical="top" wrapText="1"/>
    </xf>
    <xf numFmtId="0" fontId="30" fillId="24" borderId="12" xfId="0" applyFont="1" applyFill="1" applyBorder="1" applyAlignment="1">
      <alignment horizontal="left" vertical="top" wrapText="1"/>
    </xf>
    <xf numFmtId="0" fontId="31" fillId="24" borderId="12" xfId="0" applyNumberFormat="1" applyFont="1" applyFill="1" applyBorder="1" applyAlignment="1" applyProtection="1">
      <alignment horizontal="center" vertical="top" wrapText="1"/>
    </xf>
    <xf numFmtId="49" fontId="28" fillId="24" borderId="0" xfId="0" applyNumberFormat="1" applyFont="1" applyFill="1" applyBorder="1" applyAlignment="1">
      <alignment horizontal="center" vertical="top" wrapText="1"/>
    </xf>
    <xf numFmtId="2" fontId="26" fillId="24" borderId="12" xfId="0" applyNumberFormat="1" applyFont="1" applyFill="1" applyBorder="1" applyAlignment="1">
      <alignment horizontal="center" vertical="top" wrapText="1"/>
    </xf>
    <xf numFmtId="14" fontId="28" fillId="24" borderId="12" xfId="0" applyNumberFormat="1" applyFont="1" applyFill="1" applyBorder="1" applyAlignment="1" applyProtection="1">
      <alignment horizontal="center" vertical="top"/>
    </xf>
    <xf numFmtId="49" fontId="28" fillId="24" borderId="0" xfId="0" applyNumberFormat="1" applyFont="1" applyFill="1" applyBorder="1" applyAlignment="1" applyProtection="1">
      <alignment horizontal="center" vertical="top" wrapText="1"/>
    </xf>
    <xf numFmtId="2" fontId="28" fillId="24" borderId="0" xfId="0" applyNumberFormat="1" applyFont="1" applyFill="1" applyBorder="1" applyAlignment="1" applyProtection="1">
      <alignment vertical="top" wrapText="1"/>
    </xf>
    <xf numFmtId="0" fontId="30" fillId="24" borderId="64" xfId="0" applyNumberFormat="1" applyFont="1" applyFill="1" applyBorder="1" applyAlignment="1" applyProtection="1">
      <alignment horizontal="center" vertical="top" wrapText="1"/>
    </xf>
    <xf numFmtId="0" fontId="30" fillId="24" borderId="22" xfId="0" applyNumberFormat="1" applyFont="1" applyFill="1" applyBorder="1" applyAlignment="1" applyProtection="1">
      <alignment horizontal="center" vertical="top" wrapText="1"/>
    </xf>
    <xf numFmtId="0" fontId="30" fillId="24" borderId="22" xfId="0" applyNumberFormat="1" applyFont="1" applyFill="1" applyBorder="1" applyAlignment="1" applyProtection="1">
      <alignment vertical="top" wrapText="1"/>
    </xf>
    <xf numFmtId="2" fontId="30" fillId="24" borderId="15" xfId="0" applyNumberFormat="1" applyFont="1" applyFill="1" applyBorder="1" applyAlignment="1">
      <alignment horizontal="center" vertical="top" wrapText="1"/>
    </xf>
    <xf numFmtId="2" fontId="30" fillId="24" borderId="11" xfId="0" applyNumberFormat="1" applyFont="1" applyFill="1" applyBorder="1" applyAlignment="1">
      <alignment horizontal="center" vertical="top" wrapText="1"/>
    </xf>
    <xf numFmtId="164" fontId="30" fillId="24" borderId="11" xfId="28" applyFont="1" applyFill="1" applyBorder="1" applyAlignment="1" applyProtection="1">
      <alignment horizontal="center" vertical="top" wrapText="1"/>
    </xf>
    <xf numFmtId="164" fontId="30" fillId="24" borderId="25" xfId="28" applyFont="1" applyFill="1" applyBorder="1" applyAlignment="1" applyProtection="1">
      <alignment horizontal="center" vertical="top" wrapText="1"/>
    </xf>
    <xf numFmtId="164" fontId="30" fillId="24" borderId="12" xfId="28" applyFont="1" applyFill="1" applyBorder="1" applyAlignment="1" applyProtection="1">
      <alignment horizontal="center" vertical="top" wrapText="1"/>
    </xf>
    <xf numFmtId="1" fontId="31" fillId="24" borderId="12" xfId="0" applyNumberFormat="1" applyFont="1" applyFill="1" applyBorder="1" applyAlignment="1" applyProtection="1">
      <alignment horizontal="center" vertical="top" wrapText="1"/>
    </xf>
    <xf numFmtId="4" fontId="28" fillId="24" borderId="0" xfId="0" applyNumberFormat="1" applyFont="1" applyFill="1" applyBorder="1" applyAlignment="1" applyProtection="1">
      <alignment horizontal="right" vertical="top"/>
    </xf>
    <xf numFmtId="0" fontId="3" fillId="24" borderId="0" xfId="0" applyNumberFormat="1" applyFont="1" applyFill="1" applyBorder="1" applyAlignment="1" applyProtection="1">
      <alignment vertical="top"/>
    </xf>
    <xf numFmtId="0" fontId="3" fillId="24" borderId="0" xfId="0" applyNumberFormat="1" applyFont="1" applyFill="1" applyBorder="1" applyAlignment="1" applyProtection="1">
      <alignment horizontal="center" vertical="top"/>
    </xf>
    <xf numFmtId="0" fontId="3" fillId="24" borderId="0" xfId="0" applyNumberFormat="1" applyFont="1" applyFill="1" applyBorder="1" applyAlignment="1" applyProtection="1">
      <alignment vertical="top" wrapText="1"/>
    </xf>
    <xf numFmtId="0" fontId="3" fillId="24" borderId="0" xfId="0" applyNumberFormat="1" applyFont="1" applyFill="1" applyBorder="1" applyAlignment="1" applyProtection="1">
      <alignment horizontal="center" vertical="top" wrapText="1"/>
    </xf>
    <xf numFmtId="0" fontId="0" fillId="24" borderId="0" xfId="0" applyNumberFormat="1" applyFont="1" applyFill="1" applyBorder="1" applyAlignment="1" applyProtection="1">
      <alignment horizontal="center" vertical="top" wrapText="1"/>
    </xf>
    <xf numFmtId="1" fontId="0" fillId="24" borderId="0" xfId="0" applyNumberFormat="1" applyFont="1" applyFill="1" applyBorder="1" applyAlignment="1" applyProtection="1">
      <alignment horizontal="center" vertical="top"/>
    </xf>
    <xf numFmtId="0" fontId="37" fillId="24" borderId="0" xfId="0" applyNumberFormat="1" applyFont="1" applyFill="1" applyBorder="1" applyAlignment="1" applyProtection="1">
      <alignment vertical="top" wrapText="1"/>
    </xf>
    <xf numFmtId="0" fontId="1" fillId="24" borderId="0" xfId="0" applyNumberFormat="1" applyFont="1" applyFill="1" applyBorder="1" applyAlignment="1" applyProtection="1">
      <alignment vertical="top" wrapText="1"/>
    </xf>
    <xf numFmtId="0" fontId="1" fillId="24" borderId="0" xfId="0" applyNumberFormat="1" applyFont="1" applyFill="1" applyBorder="1" applyAlignment="1" applyProtection="1">
      <alignment horizontal="center" vertical="top" wrapText="1"/>
    </xf>
    <xf numFmtId="0" fontId="1" fillId="24" borderId="0" xfId="0" applyNumberFormat="1" applyFont="1" applyFill="1" applyBorder="1" applyAlignment="1" applyProtection="1">
      <alignment horizontal="center" vertical="top"/>
    </xf>
    <xf numFmtId="1" fontId="1" fillId="24" borderId="0" xfId="0" applyNumberFormat="1" applyFont="1" applyFill="1" applyBorder="1" applyAlignment="1" applyProtection="1">
      <alignment horizontal="center" vertical="top"/>
    </xf>
    <xf numFmtId="0" fontId="2" fillId="24" borderId="0" xfId="0" applyNumberFormat="1" applyFont="1" applyFill="1" applyBorder="1" applyAlignment="1" applyProtection="1">
      <alignment horizontal="center" vertical="top"/>
    </xf>
    <xf numFmtId="0" fontId="2" fillId="24" borderId="0" xfId="0" applyNumberFormat="1" applyFont="1" applyFill="1" applyBorder="1" applyAlignment="1" applyProtection="1">
      <alignment horizontal="center" vertical="top" wrapText="1"/>
    </xf>
    <xf numFmtId="0" fontId="30" fillId="24" borderId="14" xfId="0" applyFont="1" applyFill="1" applyBorder="1" applyAlignment="1">
      <alignment vertical="top" wrapText="1"/>
    </xf>
    <xf numFmtId="49" fontId="30" fillId="24" borderId="13" xfId="0" applyNumberFormat="1" applyFont="1" applyFill="1" applyBorder="1" applyAlignment="1">
      <alignment horizontal="center" vertical="top" wrapText="1"/>
    </xf>
    <xf numFmtId="14" fontId="30" fillId="24" borderId="35" xfId="0" applyNumberFormat="1" applyFont="1" applyFill="1" applyBorder="1" applyAlignment="1" applyProtection="1">
      <alignment horizontal="center" vertical="top"/>
    </xf>
    <xf numFmtId="0" fontId="43" fillId="24" borderId="10" xfId="0" applyNumberFormat="1" applyFont="1" applyFill="1" applyBorder="1" applyAlignment="1" applyProtection="1">
      <alignment horizontal="left" vertical="top" wrapText="1"/>
    </xf>
    <xf numFmtId="14" fontId="30" fillId="24" borderId="15" xfId="0" applyNumberFormat="1" applyFont="1" applyFill="1" applyBorder="1" applyAlignment="1">
      <alignment horizontal="center" vertical="top" wrapText="1"/>
    </xf>
    <xf numFmtId="1" fontId="27" fillId="24" borderId="0" xfId="0" applyNumberFormat="1" applyFont="1" applyFill="1" applyBorder="1" applyAlignment="1" applyProtection="1">
      <alignment horizontal="center" vertical="top" wrapText="1"/>
    </xf>
    <xf numFmtId="1" fontId="27" fillId="24" borderId="12" xfId="0" applyNumberFormat="1" applyFont="1" applyFill="1" applyBorder="1" applyAlignment="1" applyProtection="1">
      <alignment horizontal="center" vertical="top"/>
    </xf>
    <xf numFmtId="4" fontId="27" fillId="24" borderId="12" xfId="0" applyNumberFormat="1" applyFont="1" applyFill="1" applyBorder="1" applyAlignment="1" applyProtection="1">
      <alignment horizontal="center" vertical="top"/>
    </xf>
    <xf numFmtId="14" fontId="6" fillId="24" borderId="0" xfId="0" applyNumberFormat="1" applyFont="1" applyFill="1" applyBorder="1" applyAlignment="1" applyProtection="1">
      <alignment horizontal="center" vertical="top"/>
    </xf>
    <xf numFmtId="0" fontId="2" fillId="24" borderId="0" xfId="0" applyFont="1" applyFill="1" applyBorder="1" applyAlignment="1">
      <alignment vertical="top" wrapText="1"/>
    </xf>
    <xf numFmtId="0" fontId="2" fillId="24" borderId="0" xfId="0" applyFont="1" applyFill="1" applyBorder="1" applyAlignment="1">
      <alignment horizontal="center" vertical="top" wrapText="1"/>
    </xf>
    <xf numFmtId="1" fontId="2" fillId="24" borderId="0" xfId="0" applyNumberFormat="1" applyFont="1" applyFill="1" applyBorder="1" applyAlignment="1" applyProtection="1">
      <alignment horizontal="center" vertical="top" wrapText="1"/>
    </xf>
    <xf numFmtId="4" fontId="2" fillId="24" borderId="0" xfId="0" applyNumberFormat="1" applyFont="1" applyFill="1" applyBorder="1" applyAlignment="1" applyProtection="1">
      <alignment horizontal="center" vertical="top"/>
    </xf>
    <xf numFmtId="14" fontId="2" fillId="24" borderId="0" xfId="0" applyNumberFormat="1" applyFont="1" applyFill="1" applyBorder="1" applyAlignment="1" applyProtection="1">
      <alignment horizontal="center" vertical="top"/>
    </xf>
    <xf numFmtId="14" fontId="2" fillId="24" borderId="0" xfId="0" applyNumberFormat="1" applyFont="1" applyFill="1" applyBorder="1" applyAlignment="1" applyProtection="1">
      <alignment horizontal="center" vertical="top" wrapText="1"/>
    </xf>
    <xf numFmtId="0" fontId="2" fillId="24" borderId="0" xfId="0" applyNumberFormat="1" applyFont="1" applyFill="1" applyBorder="1" applyAlignment="1" applyProtection="1">
      <alignment vertical="top"/>
    </xf>
    <xf numFmtId="0" fontId="2" fillId="24" borderId="0" xfId="0" applyNumberFormat="1" applyFont="1" applyFill="1" applyBorder="1" applyAlignment="1" applyProtection="1">
      <alignment vertical="top" wrapText="1"/>
    </xf>
    <xf numFmtId="1" fontId="2" fillId="24" borderId="0" xfId="0" applyNumberFormat="1" applyFont="1" applyFill="1" applyBorder="1" applyAlignment="1" applyProtection="1">
      <alignment horizontal="center" vertical="top"/>
    </xf>
    <xf numFmtId="0" fontId="30" fillId="24" borderId="10" xfId="0" applyNumberFormat="1" applyFont="1" applyFill="1" applyBorder="1" applyAlignment="1" applyProtection="1">
      <alignment horizontal="left" wrapText="1"/>
    </xf>
    <xf numFmtId="1" fontId="30" fillId="24" borderId="10" xfId="0" applyNumberFormat="1" applyFont="1" applyFill="1" applyBorder="1" applyAlignment="1" applyProtection="1">
      <alignment horizontal="center" wrapText="1"/>
    </xf>
    <xf numFmtId="4" fontId="30" fillId="24" borderId="10" xfId="0" applyNumberFormat="1" applyFont="1" applyFill="1" applyBorder="1" applyAlignment="1" applyProtection="1">
      <alignment horizontal="center" wrapText="1"/>
    </xf>
    <xf numFmtId="168" fontId="30" fillId="24" borderId="10" xfId="0" applyNumberFormat="1" applyFont="1" applyFill="1" applyBorder="1" applyAlignment="1" applyProtection="1">
      <alignment horizontal="center"/>
    </xf>
    <xf numFmtId="0" fontId="0" fillId="24" borderId="10" xfId="0" applyNumberFormat="1" applyFont="1" applyFill="1" applyBorder="1" applyAlignment="1" applyProtection="1">
      <alignment horizontal="center"/>
    </xf>
    <xf numFmtId="0" fontId="0" fillId="24" borderId="10" xfId="0" applyNumberFormat="1" applyFont="1" applyFill="1" applyBorder="1" applyAlignment="1" applyProtection="1"/>
    <xf numFmtId="0" fontId="3" fillId="24" borderId="10" xfId="0" applyNumberFormat="1" applyFont="1" applyFill="1" applyBorder="1" applyAlignment="1" applyProtection="1">
      <alignment horizontal="center"/>
    </xf>
    <xf numFmtId="0" fontId="29" fillId="0" borderId="0" xfId="0" applyFont="1" applyFill="1" applyAlignment="1"/>
    <xf numFmtId="0" fontId="26" fillId="0" borderId="0" xfId="0" applyFont="1" applyFill="1" applyAlignment="1"/>
    <xf numFmtId="0" fontId="27" fillId="0" borderId="0" xfId="0" applyFont="1" applyFill="1" applyAlignment="1"/>
    <xf numFmtId="0" fontId="28" fillId="0" borderId="0" xfId="0" applyFont="1" applyFill="1" applyAlignment="1">
      <alignment horizontal="center"/>
    </xf>
    <xf numFmtId="0" fontId="29" fillId="0" borderId="0" xfId="0" applyFont="1" applyBorder="1" applyAlignment="1"/>
    <xf numFmtId="0" fontId="26" fillId="0" borderId="0" xfId="0" applyFont="1" applyBorder="1" applyAlignment="1"/>
    <xf numFmtId="0" fontId="27" fillId="0" borderId="0" xfId="0" applyFont="1" applyBorder="1" applyAlignment="1"/>
    <xf numFmtId="0" fontId="28"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horizontal="center"/>
    </xf>
    <xf numFmtId="0" fontId="30" fillId="0" borderId="10" xfId="0" applyNumberFormat="1" applyFont="1" applyFill="1" applyBorder="1" applyAlignment="1" applyProtection="1">
      <alignment horizontal="center" vertical="top" wrapText="1"/>
    </xf>
    <xf numFmtId="0" fontId="30" fillId="0" borderId="10" xfId="0" applyNumberFormat="1" applyFont="1" applyFill="1" applyBorder="1" applyAlignment="1" applyProtection="1">
      <alignment vertical="top"/>
    </xf>
    <xf numFmtId="14" fontId="30" fillId="0" borderId="10" xfId="0" applyNumberFormat="1" applyFont="1" applyFill="1" applyBorder="1" applyAlignment="1" applyProtection="1">
      <alignment vertical="top"/>
    </xf>
    <xf numFmtId="4" fontId="30" fillId="0" borderId="10" xfId="0" applyNumberFormat="1" applyFont="1" applyFill="1" applyBorder="1" applyAlignment="1" applyProtection="1">
      <alignment vertical="top"/>
    </xf>
    <xf numFmtId="9" fontId="30" fillId="0" borderId="10" xfId="0" applyNumberFormat="1" applyFont="1" applyFill="1" applyBorder="1" applyAlignment="1" applyProtection="1">
      <alignment horizontal="center" vertical="top"/>
    </xf>
    <xf numFmtId="14" fontId="30" fillId="0" borderId="10" xfId="0" applyNumberFormat="1" applyFont="1" applyFill="1" applyBorder="1" applyAlignment="1" applyProtection="1">
      <alignment horizontal="center" vertical="top" wrapText="1"/>
    </xf>
    <xf numFmtId="0" fontId="30" fillId="0" borderId="0" xfId="0" applyNumberFormat="1" applyFont="1" applyFill="1" applyBorder="1" applyAlignment="1" applyProtection="1">
      <alignment vertical="top"/>
    </xf>
    <xf numFmtId="0" fontId="28" fillId="0" borderId="0" xfId="0" applyNumberFormat="1" applyFont="1" applyFill="1" applyBorder="1" applyAlignment="1" applyProtection="1">
      <alignment vertical="top"/>
    </xf>
    <xf numFmtId="0" fontId="30" fillId="24" borderId="11" xfId="0" applyFont="1" applyFill="1" applyBorder="1" applyAlignment="1">
      <alignment horizontal="center" vertical="center" wrapText="1"/>
    </xf>
    <xf numFmtId="0" fontId="30" fillId="24" borderId="25" xfId="0"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37" fillId="24" borderId="0" xfId="0" applyFont="1" applyFill="1" applyBorder="1" applyAlignment="1">
      <alignment horizontal="left" vertical="top"/>
    </xf>
    <xf numFmtId="3" fontId="27" fillId="24" borderId="15" xfId="0" applyNumberFormat="1" applyFont="1" applyFill="1" applyBorder="1" applyAlignment="1" applyProtection="1">
      <alignment horizontal="center" vertical="top"/>
    </xf>
    <xf numFmtId="0" fontId="30" fillId="24" borderId="12" xfId="0" applyNumberFormat="1" applyFont="1" applyFill="1" applyBorder="1" applyAlignment="1" applyProtection="1">
      <alignment horizontal="center"/>
    </xf>
    <xf numFmtId="0" fontId="30" fillId="24" borderId="12" xfId="0" applyNumberFormat="1" applyFont="1" applyFill="1" applyBorder="1" applyAlignment="1" applyProtection="1">
      <alignment wrapText="1"/>
    </xf>
    <xf numFmtId="0" fontId="30" fillId="24" borderId="12" xfId="0" applyNumberFormat="1" applyFont="1" applyFill="1" applyBorder="1" applyAlignment="1" applyProtection="1">
      <alignment horizontal="left" wrapText="1"/>
    </xf>
    <xf numFmtId="1" fontId="30" fillId="24" borderId="12" xfId="0" applyNumberFormat="1" applyFont="1" applyFill="1" applyBorder="1" applyAlignment="1" applyProtection="1">
      <alignment horizontal="center" wrapText="1"/>
    </xf>
    <xf numFmtId="14" fontId="30" fillId="24" borderId="12" xfId="0" applyNumberFormat="1" applyFont="1" applyFill="1" applyBorder="1" applyAlignment="1" applyProtection="1">
      <alignment horizontal="center"/>
    </xf>
    <xf numFmtId="4" fontId="30" fillId="24" borderId="12" xfId="0" applyNumberFormat="1" applyFont="1" applyFill="1" applyBorder="1" applyAlignment="1" applyProtection="1">
      <alignment horizontal="center" wrapText="1"/>
    </xf>
    <xf numFmtId="2" fontId="30" fillId="24" borderId="10" xfId="0" applyNumberFormat="1" applyFont="1" applyFill="1" applyBorder="1" applyAlignment="1" applyProtection="1">
      <alignment horizontal="center" wrapText="1"/>
    </xf>
    <xf numFmtId="0" fontId="31" fillId="0" borderId="10" xfId="0"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0" fillId="0" borderId="10" xfId="0" applyFont="1" applyFill="1" applyBorder="1" applyAlignment="1">
      <alignment horizontal="center"/>
    </xf>
    <xf numFmtId="4" fontId="28" fillId="0" borderId="10" xfId="0" applyNumberFormat="1" applyFont="1" applyFill="1" applyBorder="1" applyAlignment="1" applyProtection="1">
      <alignment vertical="top"/>
    </xf>
    <xf numFmtId="2" fontId="30" fillId="24" borderId="10" xfId="0" applyNumberFormat="1" applyFont="1" applyFill="1" applyBorder="1" applyAlignment="1" applyProtection="1">
      <alignment horizontal="center" vertical="top" wrapText="1"/>
    </xf>
  </cellXfs>
  <cellStyles count="4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Денежный" xfId="28" builtinId="4"/>
    <cellStyle name="Денежный 2" xfId="46"/>
    <cellStyle name="Заголовок 1" xfId="29" builtinId="16" customBuiltin="1"/>
    <cellStyle name="Заголовок 2" xfId="30" builtinId="17" customBuiltin="1"/>
    <cellStyle name="Заголовок 3" xfId="31" builtinId="18" customBuiltin="1"/>
    <cellStyle name="Заголовок 4" xfId="32" builtinId="19" customBuiltin="1"/>
    <cellStyle name="Итог" xfId="33" builtinId="25" customBuiltin="1"/>
    <cellStyle name="Контрольная ячейка" xfId="34" builtinId="23" customBuiltin="1"/>
    <cellStyle name="Название" xfId="35" builtinId="15" customBuiltin="1"/>
    <cellStyle name="Нейтральный" xfId="36" builtinId="28" customBuiltin="1"/>
    <cellStyle name="Обычный" xfId="0" builtinId="0"/>
    <cellStyle name="Обычный 2" xfId="45"/>
    <cellStyle name="Обычный_Лист1" xfId="37"/>
    <cellStyle name="Обычный_МУП ЯрТЭК менее 10тыс." xfId="38"/>
    <cellStyle name="Плохой" xfId="39" builtinId="27" customBuiltin="1"/>
    <cellStyle name="Пояснение" xfId="40" builtinId="53" customBuiltin="1"/>
    <cellStyle name="Примечание" xfId="41" builtinId="10" customBuiltin="1"/>
    <cellStyle name="Связанная ячейка" xfId="42" builtinId="24" customBuiltin="1"/>
    <cellStyle name="Текст предупреждения" xfId="43" builtinId="11" customBuiltin="1"/>
    <cellStyle name="Хороший" xfId="4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1"/>
  <sheetViews>
    <sheetView topLeftCell="B115" workbookViewId="0">
      <selection activeCell="F10" sqref="F10"/>
    </sheetView>
  </sheetViews>
  <sheetFormatPr defaultColWidth="9.140625" defaultRowHeight="12.75" x14ac:dyDescent="0.2"/>
  <cols>
    <col min="1" max="1" width="3.85546875" style="342" hidden="1" customWidth="1"/>
    <col min="2" max="2" width="3.85546875" style="342" customWidth="1"/>
    <col min="3" max="3" width="9" style="343" customWidth="1"/>
    <col min="4" max="4" width="16.140625" style="342" customWidth="1"/>
    <col min="5" max="5" width="17.42578125" style="342" customWidth="1"/>
    <col min="6" max="6" width="25" style="342" customWidth="1"/>
    <col min="7" max="7" width="12.5703125" style="344" customWidth="1"/>
    <col min="8" max="8" width="13" style="344" customWidth="1"/>
    <col min="9" max="9" width="15.28515625" style="345" customWidth="1"/>
    <col min="10" max="10" width="13.28515625" style="346" hidden="1" customWidth="1"/>
    <col min="11" max="11" width="13.28515625" style="345" hidden="1" customWidth="1"/>
    <col min="12" max="12" width="14.7109375" style="344" hidden="1" customWidth="1"/>
    <col min="13" max="13" width="13.28515625" style="345" hidden="1" customWidth="1"/>
    <col min="14" max="14" width="18.28515625" style="342" customWidth="1"/>
    <col min="15" max="15" width="17.5703125" style="343" customWidth="1"/>
    <col min="16" max="16" width="14.5703125" style="342" customWidth="1"/>
    <col min="17" max="17" width="11.42578125" style="343" customWidth="1"/>
    <col min="18" max="18" width="14.7109375" style="159" customWidth="1"/>
    <col min="19" max="19" width="9.85546875" style="159" customWidth="1"/>
    <col min="20" max="20" width="9.5703125" style="159" customWidth="1"/>
    <col min="21" max="21" width="24" style="342" customWidth="1"/>
    <col min="22" max="22" width="9.28515625" style="342" customWidth="1"/>
    <col min="23" max="23" width="14.42578125" style="342" customWidth="1"/>
    <col min="24" max="16384" width="9.140625" style="343"/>
  </cols>
  <sheetData>
    <row r="1" spans="1:23" ht="17.25" customHeight="1" x14ac:dyDescent="0.2">
      <c r="B1" s="863" t="s">
        <v>12980</v>
      </c>
    </row>
    <row r="2" spans="1:23" ht="18.75" x14ac:dyDescent="0.2">
      <c r="A2" s="347" t="s">
        <v>12407</v>
      </c>
      <c r="B2" s="347" t="s">
        <v>17255</v>
      </c>
      <c r="C2" s="347"/>
      <c r="D2" s="347"/>
      <c r="E2" s="347"/>
      <c r="F2" s="348"/>
      <c r="I2" s="349"/>
    </row>
    <row r="3" spans="1:23" s="354" customFormat="1" ht="56.25" customHeight="1" x14ac:dyDescent="0.2">
      <c r="A3" s="316" t="s">
        <v>3972</v>
      </c>
      <c r="B3" s="327" t="s">
        <v>17254</v>
      </c>
      <c r="C3" s="316" t="s">
        <v>6165</v>
      </c>
      <c r="D3" s="316" t="s">
        <v>12408</v>
      </c>
      <c r="E3" s="327" t="s">
        <v>12409</v>
      </c>
      <c r="F3" s="316" t="s">
        <v>12410</v>
      </c>
      <c r="G3" s="327" t="s">
        <v>12411</v>
      </c>
      <c r="H3" s="327" t="s">
        <v>12412</v>
      </c>
      <c r="I3" s="350" t="s">
        <v>12413</v>
      </c>
      <c r="J3" s="351" t="s">
        <v>12414</v>
      </c>
      <c r="K3" s="350" t="s">
        <v>12415</v>
      </c>
      <c r="L3" s="327" t="s">
        <v>12416</v>
      </c>
      <c r="M3" s="350" t="s">
        <v>12417</v>
      </c>
      <c r="N3" s="316" t="s">
        <v>12418</v>
      </c>
      <c r="O3" s="352" t="s">
        <v>2417</v>
      </c>
      <c r="P3" s="327" t="s">
        <v>5331</v>
      </c>
      <c r="Q3" s="327" t="s">
        <v>12419</v>
      </c>
      <c r="R3" s="316" t="s">
        <v>3130</v>
      </c>
      <c r="S3" s="316"/>
      <c r="T3" s="316"/>
      <c r="U3" s="353" t="s">
        <v>12420</v>
      </c>
      <c r="V3" s="353"/>
      <c r="W3" s="353"/>
    </row>
    <row r="4" spans="1:23" s="357" customFormat="1" ht="37.5" customHeight="1" x14ac:dyDescent="0.2">
      <c r="A4" s="316"/>
      <c r="B4" s="332"/>
      <c r="C4" s="316"/>
      <c r="D4" s="316"/>
      <c r="E4" s="332"/>
      <c r="F4" s="316"/>
      <c r="G4" s="332"/>
      <c r="H4" s="332"/>
      <c r="I4" s="355"/>
      <c r="J4" s="356"/>
      <c r="K4" s="355"/>
      <c r="L4" s="332"/>
      <c r="M4" s="355"/>
      <c r="N4" s="316"/>
      <c r="O4" s="352"/>
      <c r="P4" s="332"/>
      <c r="Q4" s="332"/>
      <c r="R4" s="285" t="s">
        <v>3771</v>
      </c>
      <c r="S4" s="285" t="s">
        <v>1598</v>
      </c>
      <c r="T4" s="285" t="s">
        <v>3131</v>
      </c>
      <c r="U4" s="285" t="s">
        <v>3771</v>
      </c>
      <c r="V4" s="285" t="s">
        <v>1598</v>
      </c>
      <c r="W4" s="70" t="s">
        <v>3131</v>
      </c>
    </row>
    <row r="5" spans="1:23" s="357" customFormat="1" x14ac:dyDescent="0.2">
      <c r="A5" s="358">
        <v>1</v>
      </c>
      <c r="B5" s="358">
        <v>1</v>
      </c>
      <c r="C5" s="289">
        <v>2</v>
      </c>
      <c r="D5" s="289">
        <v>3</v>
      </c>
      <c r="E5" s="289">
        <v>4</v>
      </c>
      <c r="F5" s="289">
        <v>5</v>
      </c>
      <c r="G5" s="289">
        <v>6</v>
      </c>
      <c r="H5" s="289">
        <v>7</v>
      </c>
      <c r="I5" s="289">
        <v>8</v>
      </c>
      <c r="J5" s="291">
        <v>9</v>
      </c>
      <c r="K5" s="289">
        <v>10</v>
      </c>
      <c r="L5" s="289">
        <v>11</v>
      </c>
      <c r="M5" s="289">
        <v>12</v>
      </c>
      <c r="N5" s="289">
        <v>13</v>
      </c>
      <c r="O5" s="289">
        <v>14</v>
      </c>
      <c r="P5" s="289">
        <v>15</v>
      </c>
      <c r="Q5" s="285">
        <v>16</v>
      </c>
      <c r="R5" s="285">
        <v>17</v>
      </c>
      <c r="S5" s="285">
        <v>18</v>
      </c>
      <c r="T5" s="285">
        <v>19</v>
      </c>
      <c r="U5" s="358">
        <v>20</v>
      </c>
      <c r="V5" s="358">
        <v>21</v>
      </c>
      <c r="W5" s="358">
        <v>22</v>
      </c>
    </row>
    <row r="6" spans="1:23" s="354" customFormat="1" ht="51.75" customHeight="1" x14ac:dyDescent="0.2">
      <c r="A6" s="358">
        <v>1</v>
      </c>
      <c r="B6" s="358">
        <v>1</v>
      </c>
      <c r="C6" s="12" t="s">
        <v>12421</v>
      </c>
      <c r="D6" s="22" t="s">
        <v>12422</v>
      </c>
      <c r="E6" s="22" t="s">
        <v>12423</v>
      </c>
      <c r="F6" s="22" t="s">
        <v>12424</v>
      </c>
      <c r="G6" s="289">
        <v>28828</v>
      </c>
      <c r="H6" s="40">
        <v>28828</v>
      </c>
      <c r="I6" s="17">
        <v>30004470.68</v>
      </c>
      <c r="J6" s="359"/>
      <c r="K6" s="17"/>
      <c r="L6" s="285"/>
      <c r="M6" s="17"/>
      <c r="N6" s="22" t="s">
        <v>12425</v>
      </c>
      <c r="O6" s="285" t="s">
        <v>12426</v>
      </c>
      <c r="P6" s="22" t="s">
        <v>12427</v>
      </c>
      <c r="Q6" s="285"/>
      <c r="R6" s="361" t="s">
        <v>3136</v>
      </c>
      <c r="S6" s="362">
        <v>40781</v>
      </c>
      <c r="T6" s="363">
        <v>927</v>
      </c>
      <c r="U6" s="22" t="s">
        <v>12428</v>
      </c>
      <c r="V6" s="361" t="s">
        <v>12429</v>
      </c>
      <c r="W6" s="361" t="s">
        <v>12430</v>
      </c>
    </row>
    <row r="7" spans="1:23" s="354" customFormat="1" ht="51" customHeight="1" x14ac:dyDescent="0.2">
      <c r="A7" s="358">
        <v>2</v>
      </c>
      <c r="B7" s="358">
        <v>2</v>
      </c>
      <c r="C7" s="12" t="s">
        <v>12431</v>
      </c>
      <c r="D7" s="22" t="s">
        <v>12432</v>
      </c>
      <c r="E7" s="22" t="s">
        <v>12423</v>
      </c>
      <c r="F7" s="22" t="s">
        <v>12433</v>
      </c>
      <c r="G7" s="289">
        <v>11538</v>
      </c>
      <c r="H7" s="40">
        <v>11538</v>
      </c>
      <c r="I7" s="40">
        <v>12008865.779999999</v>
      </c>
      <c r="J7" s="359"/>
      <c r="K7" s="40"/>
      <c r="L7" s="289"/>
      <c r="M7" s="40"/>
      <c r="N7" s="22" t="s">
        <v>12434</v>
      </c>
      <c r="O7" s="285" t="s">
        <v>12435</v>
      </c>
      <c r="P7" s="22" t="s">
        <v>12427</v>
      </c>
      <c r="Q7" s="285"/>
      <c r="R7" s="361" t="s">
        <v>3136</v>
      </c>
      <c r="S7" s="362">
        <v>40781</v>
      </c>
      <c r="T7" s="363">
        <v>927</v>
      </c>
      <c r="U7" s="22" t="s">
        <v>12428</v>
      </c>
      <c r="V7" s="361" t="s">
        <v>12436</v>
      </c>
      <c r="W7" s="361" t="s">
        <v>12437</v>
      </c>
    </row>
    <row r="8" spans="1:23" s="354" customFormat="1" ht="87" customHeight="1" x14ac:dyDescent="0.2">
      <c r="A8" s="358">
        <v>3</v>
      </c>
      <c r="B8" s="358">
        <v>3</v>
      </c>
      <c r="C8" s="12" t="s">
        <v>12438</v>
      </c>
      <c r="D8" s="22" t="s">
        <v>12439</v>
      </c>
      <c r="E8" s="22" t="s">
        <v>12423</v>
      </c>
      <c r="F8" s="22" t="s">
        <v>12440</v>
      </c>
      <c r="G8" s="289">
        <v>15056</v>
      </c>
      <c r="H8" s="40">
        <v>15056</v>
      </c>
      <c r="I8" s="40">
        <v>12379645.439999999</v>
      </c>
      <c r="J8" s="359"/>
      <c r="K8" s="40"/>
      <c r="L8" s="289"/>
      <c r="M8" s="40"/>
      <c r="N8" s="22" t="s">
        <v>12441</v>
      </c>
      <c r="O8" s="285" t="s">
        <v>12442</v>
      </c>
      <c r="P8" s="22" t="s">
        <v>12427</v>
      </c>
      <c r="Q8" s="285"/>
      <c r="R8" s="361" t="s">
        <v>3136</v>
      </c>
      <c r="S8" s="140" t="s">
        <v>12443</v>
      </c>
      <c r="T8" s="363" t="s">
        <v>12444</v>
      </c>
      <c r="U8" s="22" t="s">
        <v>12445</v>
      </c>
      <c r="V8" s="361" t="s">
        <v>12446</v>
      </c>
      <c r="W8" s="361" t="s">
        <v>12447</v>
      </c>
    </row>
    <row r="9" spans="1:23" s="354" customFormat="1" ht="70.5" customHeight="1" x14ac:dyDescent="0.2">
      <c r="A9" s="358">
        <v>4</v>
      </c>
      <c r="B9" s="358">
        <v>4</v>
      </c>
      <c r="C9" s="12" t="s">
        <v>12448</v>
      </c>
      <c r="D9" s="22" t="s">
        <v>12449</v>
      </c>
      <c r="E9" s="22" t="s">
        <v>12423</v>
      </c>
      <c r="F9" s="22" t="s">
        <v>12450</v>
      </c>
      <c r="G9" s="289">
        <v>25468</v>
      </c>
      <c r="H9" s="40">
        <v>25468</v>
      </c>
      <c r="I9" s="40">
        <v>26507349.079999998</v>
      </c>
      <c r="J9" s="359"/>
      <c r="K9" s="40"/>
      <c r="L9" s="289"/>
      <c r="M9" s="40"/>
      <c r="N9" s="22" t="s">
        <v>12451</v>
      </c>
      <c r="O9" s="285" t="s">
        <v>12452</v>
      </c>
      <c r="P9" s="22" t="s">
        <v>12427</v>
      </c>
      <c r="Q9" s="285"/>
      <c r="R9" s="361" t="s">
        <v>3136</v>
      </c>
      <c r="S9" s="362">
        <v>40781</v>
      </c>
      <c r="T9" s="363">
        <v>927</v>
      </c>
      <c r="U9" s="22" t="s">
        <v>12428</v>
      </c>
      <c r="V9" s="361" t="s">
        <v>12453</v>
      </c>
      <c r="W9" s="361" t="s">
        <v>12454</v>
      </c>
    </row>
    <row r="10" spans="1:23" s="354" customFormat="1" ht="54.75" customHeight="1" x14ac:dyDescent="0.2">
      <c r="A10" s="364">
        <v>5</v>
      </c>
      <c r="B10" s="358">
        <v>5</v>
      </c>
      <c r="C10" s="12" t="s">
        <v>12455</v>
      </c>
      <c r="D10" s="12" t="s">
        <v>12456</v>
      </c>
      <c r="E10" s="22" t="s">
        <v>12423</v>
      </c>
      <c r="F10" s="22" t="s">
        <v>12457</v>
      </c>
      <c r="G10" s="289">
        <v>413</v>
      </c>
      <c r="H10" s="40">
        <v>413</v>
      </c>
      <c r="I10" s="40">
        <v>167644.96</v>
      </c>
      <c r="J10" s="359"/>
      <c r="K10" s="40"/>
      <c r="L10" s="289"/>
      <c r="M10" s="40"/>
      <c r="N10" s="22" t="s">
        <v>12458</v>
      </c>
      <c r="O10" s="22" t="s">
        <v>5718</v>
      </c>
      <c r="P10" s="22" t="s">
        <v>2614</v>
      </c>
      <c r="Q10" s="22" t="s">
        <v>10784</v>
      </c>
      <c r="R10" s="361" t="s">
        <v>3136</v>
      </c>
      <c r="S10" s="140">
        <v>41792</v>
      </c>
      <c r="T10" s="361">
        <v>512</v>
      </c>
      <c r="U10" s="22" t="s">
        <v>12428</v>
      </c>
      <c r="V10" s="140">
        <v>41719</v>
      </c>
      <c r="W10" s="361" t="s">
        <v>12459</v>
      </c>
    </row>
    <row r="11" spans="1:23" s="354" customFormat="1" ht="48.75" customHeight="1" x14ac:dyDescent="0.2">
      <c r="A11" s="364"/>
      <c r="B11" s="358">
        <v>6</v>
      </c>
      <c r="C11" s="12" t="s">
        <v>12455</v>
      </c>
      <c r="D11" s="12" t="s">
        <v>12456</v>
      </c>
      <c r="E11" s="22" t="s">
        <v>12423</v>
      </c>
      <c r="F11" s="22" t="s">
        <v>12457</v>
      </c>
      <c r="G11" s="289">
        <v>2016</v>
      </c>
      <c r="H11" s="40">
        <v>2016</v>
      </c>
      <c r="I11" s="40">
        <v>3344685.12</v>
      </c>
      <c r="J11" s="359"/>
      <c r="K11" s="40"/>
      <c r="L11" s="289"/>
      <c r="M11" s="40"/>
      <c r="N11" s="22" t="s">
        <v>12458</v>
      </c>
      <c r="O11" s="22" t="s">
        <v>12460</v>
      </c>
      <c r="P11" s="22" t="s">
        <v>2614</v>
      </c>
      <c r="Q11" s="22" t="s">
        <v>10784</v>
      </c>
      <c r="R11" s="361" t="s">
        <v>3136</v>
      </c>
      <c r="S11" s="140">
        <v>41792</v>
      </c>
      <c r="T11" s="361">
        <v>512</v>
      </c>
      <c r="U11" s="22" t="s">
        <v>12428</v>
      </c>
      <c r="V11" s="140">
        <v>41719</v>
      </c>
      <c r="W11" s="361" t="s">
        <v>12459</v>
      </c>
    </row>
    <row r="12" spans="1:23" s="354" customFormat="1" ht="63" customHeight="1" x14ac:dyDescent="0.2">
      <c r="A12" s="365">
        <v>6</v>
      </c>
      <c r="B12" s="860">
        <v>7</v>
      </c>
      <c r="C12" s="12" t="s">
        <v>12461</v>
      </c>
      <c r="D12" s="12" t="s">
        <v>12462</v>
      </c>
      <c r="E12" s="22" t="s">
        <v>12423</v>
      </c>
      <c r="F12" s="22" t="s">
        <v>12463</v>
      </c>
      <c r="G12" s="289">
        <v>14808</v>
      </c>
      <c r="H12" s="40">
        <v>14808</v>
      </c>
      <c r="I12" s="40">
        <v>9008150.6400000006</v>
      </c>
      <c r="J12" s="359"/>
      <c r="K12" s="40"/>
      <c r="L12" s="289"/>
      <c r="M12" s="40"/>
      <c r="N12" s="22" t="s">
        <v>12464</v>
      </c>
      <c r="O12" s="22" t="s">
        <v>4877</v>
      </c>
      <c r="P12" s="22" t="s">
        <v>12465</v>
      </c>
      <c r="Q12" s="22" t="s">
        <v>10784</v>
      </c>
      <c r="R12" s="361" t="s">
        <v>12466</v>
      </c>
      <c r="S12" s="140" t="s">
        <v>12467</v>
      </c>
      <c r="T12" s="361" t="s">
        <v>12468</v>
      </c>
      <c r="U12" s="361" t="s">
        <v>12369</v>
      </c>
      <c r="V12" s="140">
        <v>44193</v>
      </c>
      <c r="W12" s="361" t="s">
        <v>12469</v>
      </c>
    </row>
    <row r="13" spans="1:23" s="354" customFormat="1" ht="62.25" customHeight="1" x14ac:dyDescent="0.2">
      <c r="A13" s="366"/>
      <c r="B13" s="861"/>
      <c r="C13" s="12" t="s">
        <v>12461</v>
      </c>
      <c r="D13" s="12" t="s">
        <v>12462</v>
      </c>
      <c r="E13" s="22" t="s">
        <v>12423</v>
      </c>
      <c r="F13" s="22" t="s">
        <v>12463</v>
      </c>
      <c r="G13" s="289">
        <v>1699</v>
      </c>
      <c r="H13" s="40">
        <v>1699</v>
      </c>
      <c r="I13" s="40">
        <v>1033552.67</v>
      </c>
      <c r="J13" s="359"/>
      <c r="K13" s="40"/>
      <c r="L13" s="289"/>
      <c r="M13" s="40"/>
      <c r="N13" s="22" t="s">
        <v>12464</v>
      </c>
      <c r="O13" s="22" t="s">
        <v>5718</v>
      </c>
      <c r="P13" s="22" t="s">
        <v>12465</v>
      </c>
      <c r="Q13" s="22" t="s">
        <v>10784</v>
      </c>
      <c r="R13" s="361" t="s">
        <v>12470</v>
      </c>
      <c r="S13" s="140" t="s">
        <v>12471</v>
      </c>
      <c r="T13" s="361" t="s">
        <v>12468</v>
      </c>
      <c r="U13" s="361" t="s">
        <v>12369</v>
      </c>
      <c r="V13" s="140">
        <v>44193</v>
      </c>
      <c r="W13" s="361" t="s">
        <v>12469</v>
      </c>
    </row>
    <row r="14" spans="1:23" s="354" customFormat="1" ht="58.5" customHeight="1" x14ac:dyDescent="0.2">
      <c r="A14" s="366"/>
      <c r="B14" s="861"/>
      <c r="C14" s="12" t="s">
        <v>12461</v>
      </c>
      <c r="D14" s="12" t="s">
        <v>12462</v>
      </c>
      <c r="E14" s="22" t="s">
        <v>12423</v>
      </c>
      <c r="F14" s="22" t="s">
        <v>12463</v>
      </c>
      <c r="G14" s="289">
        <v>234</v>
      </c>
      <c r="H14" s="40">
        <v>234</v>
      </c>
      <c r="I14" s="40">
        <v>142349.22</v>
      </c>
      <c r="J14" s="359"/>
      <c r="K14" s="40"/>
      <c r="L14" s="289"/>
      <c r="M14" s="40"/>
      <c r="N14" s="22" t="s">
        <v>12464</v>
      </c>
      <c r="O14" s="22" t="s">
        <v>12472</v>
      </c>
      <c r="P14" s="22" t="s">
        <v>12465</v>
      </c>
      <c r="Q14" s="22" t="s">
        <v>10784</v>
      </c>
      <c r="R14" s="361" t="s">
        <v>12466</v>
      </c>
      <c r="S14" s="140" t="s">
        <v>12471</v>
      </c>
      <c r="T14" s="361" t="s">
        <v>12468</v>
      </c>
      <c r="U14" s="361" t="s">
        <v>12369</v>
      </c>
      <c r="V14" s="140">
        <v>44193</v>
      </c>
      <c r="W14" s="361" t="s">
        <v>12469</v>
      </c>
    </row>
    <row r="15" spans="1:23" s="354" customFormat="1" ht="63.75" customHeight="1" x14ac:dyDescent="0.2">
      <c r="A15" s="366"/>
      <c r="B15" s="861"/>
      <c r="C15" s="12" t="s">
        <v>12461</v>
      </c>
      <c r="D15" s="12" t="s">
        <v>12462</v>
      </c>
      <c r="E15" s="22" t="s">
        <v>12423</v>
      </c>
      <c r="F15" s="22" t="s">
        <v>12463</v>
      </c>
      <c r="G15" s="289">
        <v>113</v>
      </c>
      <c r="H15" s="40">
        <v>113</v>
      </c>
      <c r="I15" s="40">
        <v>68741.289999999994</v>
      </c>
      <c r="J15" s="359"/>
      <c r="K15" s="40"/>
      <c r="L15" s="289"/>
      <c r="M15" s="40"/>
      <c r="N15" s="22" t="s">
        <v>12464</v>
      </c>
      <c r="O15" s="22" t="s">
        <v>2550</v>
      </c>
      <c r="P15" s="22" t="s">
        <v>12465</v>
      </c>
      <c r="Q15" s="22" t="s">
        <v>10784</v>
      </c>
      <c r="R15" s="361" t="s">
        <v>12466</v>
      </c>
      <c r="S15" s="140" t="s">
        <v>12471</v>
      </c>
      <c r="T15" s="361" t="s">
        <v>12468</v>
      </c>
      <c r="U15" s="361" t="s">
        <v>12369</v>
      </c>
      <c r="V15" s="140">
        <v>44193</v>
      </c>
      <c r="W15" s="361" t="s">
        <v>12469</v>
      </c>
    </row>
    <row r="16" spans="1:23" s="354" customFormat="1" ht="68.25" customHeight="1" x14ac:dyDescent="0.2">
      <c r="A16" s="366"/>
      <c r="B16" s="861"/>
      <c r="C16" s="12" t="s">
        <v>12461</v>
      </c>
      <c r="D16" s="12" t="s">
        <v>12462</v>
      </c>
      <c r="E16" s="22" t="s">
        <v>12423</v>
      </c>
      <c r="F16" s="22" t="s">
        <v>12463</v>
      </c>
      <c r="G16" s="289">
        <v>6385</v>
      </c>
      <c r="H16" s="40">
        <v>6385</v>
      </c>
      <c r="I16" s="40">
        <v>3884187.05</v>
      </c>
      <c r="J16" s="359"/>
      <c r="K16" s="40"/>
      <c r="L16" s="289"/>
      <c r="M16" s="40"/>
      <c r="N16" s="22" t="s">
        <v>12464</v>
      </c>
      <c r="O16" s="22" t="s">
        <v>4296</v>
      </c>
      <c r="P16" s="22" t="s">
        <v>12465</v>
      </c>
      <c r="Q16" s="22" t="s">
        <v>10784</v>
      </c>
      <c r="R16" s="361" t="s">
        <v>12473</v>
      </c>
      <c r="S16" s="140" t="s">
        <v>12471</v>
      </c>
      <c r="T16" s="361" t="s">
        <v>12468</v>
      </c>
      <c r="U16" s="361" t="s">
        <v>12369</v>
      </c>
      <c r="V16" s="140">
        <v>44193</v>
      </c>
      <c r="W16" s="361" t="s">
        <v>12469</v>
      </c>
    </row>
    <row r="17" spans="1:23" s="354" customFormat="1" ht="60" customHeight="1" x14ac:dyDescent="0.2">
      <c r="A17" s="367"/>
      <c r="B17" s="862"/>
      <c r="C17" s="12" t="s">
        <v>12461</v>
      </c>
      <c r="D17" s="12" t="s">
        <v>12462</v>
      </c>
      <c r="E17" s="22" t="s">
        <v>12423</v>
      </c>
      <c r="F17" s="22" t="s">
        <v>12463</v>
      </c>
      <c r="G17" s="363">
        <v>831</v>
      </c>
      <c r="H17" s="368">
        <v>831</v>
      </c>
      <c r="I17" s="40">
        <v>505522.23</v>
      </c>
      <c r="J17" s="359"/>
      <c r="K17" s="359"/>
      <c r="L17" s="359"/>
      <c r="M17" s="359"/>
      <c r="N17" s="22" t="s">
        <v>12464</v>
      </c>
      <c r="O17" s="359"/>
      <c r="P17" s="22" t="s">
        <v>2042</v>
      </c>
      <c r="Q17" s="22" t="s">
        <v>10784</v>
      </c>
      <c r="R17" s="140" t="s">
        <v>4020</v>
      </c>
      <c r="S17" s="140" t="s">
        <v>12474</v>
      </c>
      <c r="T17" s="361" t="s">
        <v>12475</v>
      </c>
      <c r="U17" s="361" t="s">
        <v>12369</v>
      </c>
      <c r="V17" s="140">
        <v>44193</v>
      </c>
      <c r="W17" s="361" t="s">
        <v>12469</v>
      </c>
    </row>
    <row r="18" spans="1:23" s="354" customFormat="1" ht="48" customHeight="1" x14ac:dyDescent="0.2">
      <c r="A18" s="358">
        <v>7</v>
      </c>
      <c r="B18" s="358">
        <v>8</v>
      </c>
      <c r="C18" s="12" t="s">
        <v>12476</v>
      </c>
      <c r="D18" s="22" t="s">
        <v>12477</v>
      </c>
      <c r="E18" s="22" t="s">
        <v>12423</v>
      </c>
      <c r="F18" s="22" t="s">
        <v>12478</v>
      </c>
      <c r="G18" s="289">
        <v>4134</v>
      </c>
      <c r="H18" s="40">
        <f>K18*G18/M18</f>
        <v>48.854722747780528</v>
      </c>
      <c r="I18" s="40">
        <f>(J18/G18)*H18</f>
        <v>106864.82053849513</v>
      </c>
      <c r="J18" s="174">
        <v>9042711.5999999996</v>
      </c>
      <c r="K18" s="40">
        <v>60.9</v>
      </c>
      <c r="L18" s="289">
        <v>55</v>
      </c>
      <c r="M18" s="40">
        <f>2687.45+1445.3+1020.5</f>
        <v>5153.25</v>
      </c>
      <c r="N18" s="22" t="s">
        <v>12479</v>
      </c>
      <c r="O18" s="22" t="s">
        <v>12480</v>
      </c>
      <c r="P18" s="22" t="s">
        <v>2042</v>
      </c>
      <c r="Q18" s="22" t="s">
        <v>10784</v>
      </c>
      <c r="R18" s="22"/>
      <c r="S18" s="361"/>
      <c r="T18" s="361"/>
      <c r="U18" s="358"/>
      <c r="V18" s="358"/>
      <c r="W18" s="358"/>
    </row>
    <row r="19" spans="1:23" s="354" customFormat="1" ht="48" customHeight="1" x14ac:dyDescent="0.2">
      <c r="A19" s="358">
        <v>8</v>
      </c>
      <c r="B19" s="358">
        <v>9</v>
      </c>
      <c r="C19" s="12" t="s">
        <v>12481</v>
      </c>
      <c r="D19" s="22" t="s">
        <v>12482</v>
      </c>
      <c r="E19" s="22" t="s">
        <v>12423</v>
      </c>
      <c r="F19" s="22" t="s">
        <v>12483</v>
      </c>
      <c r="G19" s="289">
        <v>1127</v>
      </c>
      <c r="H19" s="40">
        <f>K19*G19/M19</f>
        <v>26.631578947368421</v>
      </c>
      <c r="I19" s="40">
        <f>(J19/G19)*(K19*G19/M19)</f>
        <v>58253.915789473678</v>
      </c>
      <c r="J19" s="174">
        <v>2465199.7999999998</v>
      </c>
      <c r="K19" s="40">
        <f>43+60.4</f>
        <v>103.4</v>
      </c>
      <c r="L19" s="289">
        <v>49.57</v>
      </c>
      <c r="M19" s="40">
        <f>3331.6+0+1044.1</f>
        <v>4375.7</v>
      </c>
      <c r="N19" s="22" t="s">
        <v>12484</v>
      </c>
      <c r="O19" s="22" t="s">
        <v>12480</v>
      </c>
      <c r="P19" s="22" t="s">
        <v>2042</v>
      </c>
      <c r="Q19" s="22" t="s">
        <v>10784</v>
      </c>
      <c r="R19" s="22"/>
      <c r="S19" s="361"/>
      <c r="T19" s="361"/>
      <c r="U19" s="358"/>
      <c r="V19" s="358"/>
      <c r="W19" s="358"/>
    </row>
    <row r="20" spans="1:23" s="354" customFormat="1" ht="46.5" customHeight="1" x14ac:dyDescent="0.2">
      <c r="A20" s="358">
        <v>10</v>
      </c>
      <c r="B20" s="358">
        <v>10</v>
      </c>
      <c r="C20" s="12" t="s">
        <v>12485</v>
      </c>
      <c r="D20" s="12" t="s">
        <v>12486</v>
      </c>
      <c r="E20" s="22" t="s">
        <v>12423</v>
      </c>
      <c r="F20" s="22" t="s">
        <v>12483</v>
      </c>
      <c r="G20" s="289">
        <v>1338</v>
      </c>
      <c r="H20" s="40">
        <f>K20*G20/M20</f>
        <v>11.473071989597791</v>
      </c>
      <c r="I20" s="40">
        <f>(J20/G20)*(K20*G20/M20)</f>
        <v>25096.197670046211</v>
      </c>
      <c r="J20" s="174">
        <v>2926741.2</v>
      </c>
      <c r="K20" s="40">
        <v>48.8</v>
      </c>
      <c r="L20" s="289">
        <v>39</v>
      </c>
      <c r="M20" s="40">
        <v>5691.1</v>
      </c>
      <c r="N20" s="22" t="s">
        <v>12487</v>
      </c>
      <c r="O20" s="22" t="s">
        <v>12480</v>
      </c>
      <c r="P20" s="22" t="s">
        <v>2042</v>
      </c>
      <c r="Q20" s="22" t="s">
        <v>10784</v>
      </c>
      <c r="R20" s="22"/>
      <c r="S20" s="361"/>
      <c r="T20" s="285"/>
      <c r="U20" s="358"/>
      <c r="V20" s="358"/>
      <c r="W20" s="358"/>
    </row>
    <row r="21" spans="1:23" s="354" customFormat="1" ht="52.5" customHeight="1" x14ac:dyDescent="0.2">
      <c r="A21" s="358">
        <v>11</v>
      </c>
      <c r="B21" s="358">
        <v>11</v>
      </c>
      <c r="C21" s="12" t="s">
        <v>12488</v>
      </c>
      <c r="D21" s="12" t="s">
        <v>12489</v>
      </c>
      <c r="E21" s="361" t="s">
        <v>12423</v>
      </c>
      <c r="F21" s="254" t="s">
        <v>12490</v>
      </c>
      <c r="G21" s="363">
        <v>9938</v>
      </c>
      <c r="H21" s="40">
        <f>G21</f>
        <v>9938</v>
      </c>
      <c r="I21" s="40">
        <v>11621994.1</v>
      </c>
      <c r="J21" s="369"/>
      <c r="K21" s="359"/>
      <c r="L21" s="359"/>
      <c r="M21" s="359"/>
      <c r="N21" s="22" t="s">
        <v>12491</v>
      </c>
      <c r="O21" s="254" t="s">
        <v>7967</v>
      </c>
      <c r="P21" s="22" t="s">
        <v>12427</v>
      </c>
      <c r="Q21" s="22"/>
      <c r="R21" s="140" t="s">
        <v>3136</v>
      </c>
      <c r="S21" s="361">
        <v>40781</v>
      </c>
      <c r="T21" s="140">
        <v>927</v>
      </c>
      <c r="U21" s="361" t="s">
        <v>12428</v>
      </c>
      <c r="V21" s="140" t="s">
        <v>12492</v>
      </c>
      <c r="W21" s="361" t="s">
        <v>12493</v>
      </c>
    </row>
    <row r="22" spans="1:23" s="354" customFormat="1" ht="39" customHeight="1" x14ac:dyDescent="0.2">
      <c r="A22" s="358">
        <v>12</v>
      </c>
      <c r="B22" s="358">
        <v>12</v>
      </c>
      <c r="C22" s="12" t="s">
        <v>12494</v>
      </c>
      <c r="D22" s="22" t="s">
        <v>12495</v>
      </c>
      <c r="E22" s="22" t="s">
        <v>12423</v>
      </c>
      <c r="F22" s="22" t="s">
        <v>12478</v>
      </c>
      <c r="G22" s="289">
        <v>4156</v>
      </c>
      <c r="H22" s="40">
        <f t="shared" ref="H22:H35" si="0">K22*G22/M22</f>
        <v>40.358533677727003</v>
      </c>
      <c r="I22" s="40">
        <f t="shared" ref="I22:I35" si="1">(J22/G22)*(K22*G22/M22)</f>
        <v>88280.256566660057</v>
      </c>
      <c r="J22" s="174">
        <v>9090834.4000000004</v>
      </c>
      <c r="K22" s="40">
        <v>39.1</v>
      </c>
      <c r="L22" s="289">
        <v>17</v>
      </c>
      <c r="M22" s="40">
        <f>3053.8+41.2+931.4</f>
        <v>4026.4</v>
      </c>
      <c r="N22" s="22" t="s">
        <v>12496</v>
      </c>
      <c r="O22" s="363" t="s">
        <v>12480</v>
      </c>
      <c r="P22" s="22" t="s">
        <v>2042</v>
      </c>
      <c r="Q22" s="22" t="s">
        <v>10784</v>
      </c>
      <c r="R22" s="22"/>
      <c r="S22" s="361"/>
      <c r="T22" s="361"/>
      <c r="U22" s="358"/>
      <c r="V22" s="358"/>
      <c r="W22" s="358"/>
    </row>
    <row r="23" spans="1:23" s="354" customFormat="1" ht="40.5" customHeight="1" x14ac:dyDescent="0.2">
      <c r="A23" s="358">
        <v>13</v>
      </c>
      <c r="B23" s="358">
        <v>13</v>
      </c>
      <c r="C23" s="12" t="s">
        <v>12497</v>
      </c>
      <c r="D23" s="22" t="s">
        <v>12498</v>
      </c>
      <c r="E23" s="22" t="s">
        <v>12423</v>
      </c>
      <c r="F23" s="22" t="s">
        <v>12478</v>
      </c>
      <c r="G23" s="289">
        <v>4297</v>
      </c>
      <c r="H23" s="40">
        <f t="shared" si="0"/>
        <v>104.10104813908241</v>
      </c>
      <c r="I23" s="40">
        <f t="shared" si="1"/>
        <v>227710.63269942888</v>
      </c>
      <c r="J23" s="174">
        <v>9399257.8000000007</v>
      </c>
      <c r="K23" s="40">
        <f>38.5+58</f>
        <v>96.5</v>
      </c>
      <c r="L23" s="289" t="s">
        <v>12499</v>
      </c>
      <c r="M23" s="40">
        <f>3112.95+0+870.3</f>
        <v>3983.25</v>
      </c>
      <c r="N23" s="22" t="s">
        <v>12500</v>
      </c>
      <c r="O23" s="363" t="s">
        <v>12480</v>
      </c>
      <c r="P23" s="22" t="s">
        <v>2042</v>
      </c>
      <c r="Q23" s="22" t="s">
        <v>10784</v>
      </c>
      <c r="R23" s="22"/>
      <c r="S23" s="361"/>
      <c r="T23" s="361"/>
      <c r="U23" s="358"/>
      <c r="V23" s="358"/>
      <c r="W23" s="358"/>
    </row>
    <row r="24" spans="1:23" s="354" customFormat="1" ht="48" customHeight="1" x14ac:dyDescent="0.2">
      <c r="A24" s="358">
        <v>14</v>
      </c>
      <c r="B24" s="358">
        <v>14</v>
      </c>
      <c r="C24" s="12" t="s">
        <v>12501</v>
      </c>
      <c r="D24" s="22" t="s">
        <v>12502</v>
      </c>
      <c r="E24" s="22" t="s">
        <v>12423</v>
      </c>
      <c r="F24" s="22" t="s">
        <v>12478</v>
      </c>
      <c r="G24" s="289">
        <v>4349</v>
      </c>
      <c r="H24" s="40">
        <f t="shared" si="0"/>
        <v>57.310668893808121</v>
      </c>
      <c r="I24" s="40">
        <f t="shared" si="1"/>
        <v>125361.35713831589</v>
      </c>
      <c r="J24" s="174">
        <v>9513002.5999999996</v>
      </c>
      <c r="K24" s="40">
        <v>45.6</v>
      </c>
      <c r="L24" s="289">
        <v>54</v>
      </c>
      <c r="M24" s="40">
        <f>2123.54+405.1+931.7</f>
        <v>3460.34</v>
      </c>
      <c r="N24" s="22" t="s">
        <v>12503</v>
      </c>
      <c r="O24" s="363" t="s">
        <v>12480</v>
      </c>
      <c r="P24" s="22" t="s">
        <v>2042</v>
      </c>
      <c r="Q24" s="22" t="s">
        <v>10784</v>
      </c>
      <c r="R24" s="22"/>
      <c r="S24" s="361"/>
      <c r="T24" s="361"/>
      <c r="U24" s="358"/>
      <c r="V24" s="358"/>
      <c r="W24" s="358"/>
    </row>
    <row r="25" spans="1:23" s="354" customFormat="1" ht="49.5" customHeight="1" x14ac:dyDescent="0.2">
      <c r="A25" s="358">
        <v>15</v>
      </c>
      <c r="B25" s="358">
        <v>15</v>
      </c>
      <c r="C25" s="12" t="s">
        <v>12504</v>
      </c>
      <c r="D25" s="22" t="s">
        <v>12505</v>
      </c>
      <c r="E25" s="22" t="s">
        <v>12423</v>
      </c>
      <c r="F25" s="22" t="s">
        <v>12478</v>
      </c>
      <c r="G25" s="289">
        <v>4422</v>
      </c>
      <c r="H25" s="40">
        <f t="shared" si="0"/>
        <v>29.407293226459966</v>
      </c>
      <c r="I25" s="40">
        <f t="shared" si="1"/>
        <v>64325.513203558534</v>
      </c>
      <c r="J25" s="174">
        <v>9672682.8000000007</v>
      </c>
      <c r="K25" s="40">
        <v>30.2</v>
      </c>
      <c r="L25" s="289">
        <v>9</v>
      </c>
      <c r="M25" s="40">
        <f>3511.4+0+1029.8</f>
        <v>4541.2</v>
      </c>
      <c r="N25" s="22" t="s">
        <v>12506</v>
      </c>
      <c r="O25" s="363" t="s">
        <v>12480</v>
      </c>
      <c r="P25" s="22" t="s">
        <v>2042</v>
      </c>
      <c r="Q25" s="22" t="s">
        <v>10784</v>
      </c>
      <c r="R25" s="22"/>
      <c r="S25" s="361"/>
      <c r="T25" s="361"/>
      <c r="U25" s="358"/>
      <c r="V25" s="358"/>
      <c r="W25" s="358"/>
    </row>
    <row r="26" spans="1:23" s="354" customFormat="1" ht="54.75" customHeight="1" x14ac:dyDescent="0.2">
      <c r="A26" s="358">
        <v>16</v>
      </c>
      <c r="B26" s="358">
        <v>16</v>
      </c>
      <c r="C26" s="12" t="s">
        <v>12507</v>
      </c>
      <c r="D26" s="12" t="s">
        <v>12508</v>
      </c>
      <c r="E26" s="22" t="s">
        <v>12423</v>
      </c>
      <c r="F26" s="22" t="s">
        <v>12478</v>
      </c>
      <c r="G26" s="289">
        <v>5054</v>
      </c>
      <c r="H26" s="40">
        <f t="shared" si="0"/>
        <v>40.237246680642905</v>
      </c>
      <c r="I26" s="40">
        <f t="shared" si="1"/>
        <v>79213.458050314468</v>
      </c>
      <c r="J26" s="174">
        <v>9949607.6400000006</v>
      </c>
      <c r="K26" s="40">
        <v>31.9</v>
      </c>
      <c r="L26" s="289">
        <v>43</v>
      </c>
      <c r="M26" s="40">
        <f>3051.1+97.3+858.4</f>
        <v>4006.8</v>
      </c>
      <c r="N26" s="22" t="s">
        <v>12509</v>
      </c>
      <c r="O26" s="363" t="s">
        <v>12480</v>
      </c>
      <c r="P26" s="22" t="s">
        <v>2042</v>
      </c>
      <c r="Q26" s="22" t="s">
        <v>10784</v>
      </c>
      <c r="R26" s="22"/>
      <c r="S26" s="361"/>
      <c r="T26" s="361"/>
      <c r="U26" s="358"/>
      <c r="V26" s="358"/>
      <c r="W26" s="358"/>
    </row>
    <row r="27" spans="1:23" s="354" customFormat="1" ht="49.5" customHeight="1" x14ac:dyDescent="0.2">
      <c r="A27" s="358">
        <v>17</v>
      </c>
      <c r="B27" s="358">
        <v>17</v>
      </c>
      <c r="C27" s="12" t="s">
        <v>12510</v>
      </c>
      <c r="D27" s="12" t="s">
        <v>12511</v>
      </c>
      <c r="E27" s="22" t="s">
        <v>12423</v>
      </c>
      <c r="F27" s="22" t="s">
        <v>12478</v>
      </c>
      <c r="G27" s="289">
        <v>3739</v>
      </c>
      <c r="H27" s="40">
        <f t="shared" si="0"/>
        <v>38.310618483894523</v>
      </c>
      <c r="I27" s="40">
        <f t="shared" si="1"/>
        <v>83800.646871670877</v>
      </c>
      <c r="J27" s="174">
        <v>8178688.5999999996</v>
      </c>
      <c r="K27" s="40">
        <v>42.8</v>
      </c>
      <c r="L27" s="289">
        <v>79</v>
      </c>
      <c r="M27" s="40">
        <f>3186.45+990.7</f>
        <v>4177.1499999999996</v>
      </c>
      <c r="N27" s="22" t="s">
        <v>12512</v>
      </c>
      <c r="O27" s="363" t="s">
        <v>12480</v>
      </c>
      <c r="P27" s="22" t="s">
        <v>2042</v>
      </c>
      <c r="Q27" s="22" t="s">
        <v>10784</v>
      </c>
      <c r="R27" s="22"/>
      <c r="S27" s="361"/>
      <c r="T27" s="361"/>
      <c r="U27" s="358"/>
      <c r="V27" s="358"/>
      <c r="W27" s="358"/>
    </row>
    <row r="28" spans="1:23" s="354" customFormat="1" ht="54" customHeight="1" x14ac:dyDescent="0.2">
      <c r="A28" s="358">
        <v>18</v>
      </c>
      <c r="B28" s="358">
        <v>18</v>
      </c>
      <c r="C28" s="12" t="s">
        <v>12513</v>
      </c>
      <c r="D28" s="12" t="s">
        <v>12514</v>
      </c>
      <c r="E28" s="22" t="s">
        <v>12423</v>
      </c>
      <c r="F28" s="22" t="s">
        <v>12478</v>
      </c>
      <c r="G28" s="289">
        <v>4874</v>
      </c>
      <c r="H28" s="40">
        <f t="shared" si="0"/>
        <v>50.656180926905549</v>
      </c>
      <c r="I28" s="40">
        <f t="shared" si="1"/>
        <v>110805.33015951321</v>
      </c>
      <c r="J28" s="174">
        <v>10661387.6</v>
      </c>
      <c r="K28" s="40">
        <v>43.4</v>
      </c>
      <c r="L28" s="289">
        <v>16</v>
      </c>
      <c r="M28" s="40">
        <f>3214.53+0+961.3</f>
        <v>4175.83</v>
      </c>
      <c r="N28" s="22" t="s">
        <v>12515</v>
      </c>
      <c r="O28" s="363" t="s">
        <v>12480</v>
      </c>
      <c r="P28" s="22" t="s">
        <v>2042</v>
      </c>
      <c r="Q28" s="22" t="s">
        <v>10784</v>
      </c>
      <c r="R28" s="22"/>
      <c r="S28" s="361"/>
      <c r="T28" s="361"/>
      <c r="U28" s="358"/>
      <c r="V28" s="358"/>
      <c r="W28" s="358"/>
    </row>
    <row r="29" spans="1:23" s="354" customFormat="1" ht="51" customHeight="1" x14ac:dyDescent="0.2">
      <c r="A29" s="358">
        <v>19</v>
      </c>
      <c r="B29" s="358">
        <v>19</v>
      </c>
      <c r="C29" s="12" t="s">
        <v>12516</v>
      </c>
      <c r="D29" s="12" t="s">
        <v>12517</v>
      </c>
      <c r="E29" s="22" t="s">
        <v>12423</v>
      </c>
      <c r="F29" s="22" t="s">
        <v>12478</v>
      </c>
      <c r="G29" s="289">
        <v>3935</v>
      </c>
      <c r="H29" s="40">
        <f>K29*G29/M29</f>
        <v>336.52262443438912</v>
      </c>
      <c r="I29" s="40">
        <f>(J29/G29)*(K29*G29/M29)</f>
        <v>736109.58868778276</v>
      </c>
      <c r="J29" s="174">
        <v>8607419</v>
      </c>
      <c r="K29" s="40">
        <f>404-44.9</f>
        <v>359.1</v>
      </c>
      <c r="L29" s="285" t="s">
        <v>12518</v>
      </c>
      <c r="M29" s="40">
        <f>3043+166.8+989.2</f>
        <v>4199</v>
      </c>
      <c r="N29" s="22" t="s">
        <v>12519</v>
      </c>
      <c r="O29" s="363" t="s">
        <v>12480</v>
      </c>
      <c r="P29" s="22" t="s">
        <v>2042</v>
      </c>
      <c r="Q29" s="22" t="s">
        <v>10784</v>
      </c>
      <c r="R29" s="22" t="s">
        <v>10693</v>
      </c>
      <c r="S29" s="361">
        <v>1228</v>
      </c>
      <c r="T29" s="140">
        <v>44923</v>
      </c>
      <c r="U29" s="363" t="s">
        <v>12520</v>
      </c>
      <c r="V29" s="362">
        <v>44909</v>
      </c>
      <c r="W29" s="361" t="s">
        <v>12521</v>
      </c>
    </row>
    <row r="30" spans="1:23" s="354" customFormat="1" ht="43.5" customHeight="1" x14ac:dyDescent="0.2">
      <c r="A30" s="358">
        <v>20</v>
      </c>
      <c r="B30" s="358">
        <v>20</v>
      </c>
      <c r="C30" s="12" t="s">
        <v>12522</v>
      </c>
      <c r="D30" s="12" t="s">
        <v>12523</v>
      </c>
      <c r="E30" s="22" t="s">
        <v>12423</v>
      </c>
      <c r="F30" s="22" t="s">
        <v>12483</v>
      </c>
      <c r="G30" s="289">
        <v>1354</v>
      </c>
      <c r="H30" s="40">
        <f t="shared" si="0"/>
        <v>11.389004509191814</v>
      </c>
      <c r="I30" s="40">
        <f t="shared" si="1"/>
        <v>24912.308463406174</v>
      </c>
      <c r="J30" s="174">
        <v>2961739.6</v>
      </c>
      <c r="K30" s="40">
        <v>48.5</v>
      </c>
      <c r="L30" s="289">
        <v>69</v>
      </c>
      <c r="M30" s="40">
        <f>4232.5+0+1533.5</f>
        <v>5766</v>
      </c>
      <c r="N30" s="22" t="s">
        <v>12524</v>
      </c>
      <c r="O30" s="363" t="s">
        <v>12480</v>
      </c>
      <c r="P30" s="22" t="s">
        <v>2042</v>
      </c>
      <c r="Q30" s="22" t="s">
        <v>10784</v>
      </c>
      <c r="R30" s="22"/>
      <c r="S30" s="361"/>
      <c r="T30" s="285"/>
      <c r="U30" s="358"/>
      <c r="V30" s="358"/>
      <c r="W30" s="358"/>
    </row>
    <row r="31" spans="1:23" s="354" customFormat="1" ht="42" customHeight="1" x14ac:dyDescent="0.2">
      <c r="A31" s="358">
        <v>21</v>
      </c>
      <c r="B31" s="358">
        <v>21</v>
      </c>
      <c r="C31" s="12" t="s">
        <v>12525</v>
      </c>
      <c r="D31" s="22" t="s">
        <v>12526</v>
      </c>
      <c r="E31" s="22" t="s">
        <v>12423</v>
      </c>
      <c r="F31" s="22" t="s">
        <v>12478</v>
      </c>
      <c r="G31" s="289">
        <v>4979</v>
      </c>
      <c r="H31" s="40">
        <f t="shared" si="0"/>
        <v>69.221887132863429</v>
      </c>
      <c r="I31" s="40">
        <f t="shared" si="1"/>
        <v>151415.95591442546</v>
      </c>
      <c r="J31" s="174">
        <v>10891064.6</v>
      </c>
      <c r="K31" s="40">
        <v>78.599999999999994</v>
      </c>
      <c r="L31" s="289" t="s">
        <v>12527</v>
      </c>
      <c r="M31" s="40">
        <f>4099.95+26+1527.6</f>
        <v>5653.5499999999993</v>
      </c>
      <c r="N31" s="22" t="s">
        <v>12528</v>
      </c>
      <c r="O31" s="363" t="s">
        <v>12480</v>
      </c>
      <c r="P31" s="22" t="s">
        <v>2042</v>
      </c>
      <c r="Q31" s="22" t="s">
        <v>10784</v>
      </c>
      <c r="R31" s="22"/>
      <c r="S31" s="361"/>
      <c r="T31" s="361"/>
      <c r="U31" s="358"/>
      <c r="V31" s="358"/>
      <c r="W31" s="358"/>
    </row>
    <row r="32" spans="1:23" s="354" customFormat="1" ht="47.25" customHeight="1" x14ac:dyDescent="0.2">
      <c r="A32" s="358">
        <v>22</v>
      </c>
      <c r="B32" s="358">
        <v>22</v>
      </c>
      <c r="C32" s="12" t="s">
        <v>12529</v>
      </c>
      <c r="D32" s="22" t="s">
        <v>12530</v>
      </c>
      <c r="E32" s="22" t="s">
        <v>12423</v>
      </c>
      <c r="F32" s="22" t="s">
        <v>12478</v>
      </c>
      <c r="G32" s="289">
        <v>4506</v>
      </c>
      <c r="H32" s="40">
        <f t="shared" si="0"/>
        <v>62.402232327408022</v>
      </c>
      <c r="I32" s="40">
        <f t="shared" si="1"/>
        <v>136498.64299297231</v>
      </c>
      <c r="J32" s="174">
        <v>9856424.4000000004</v>
      </c>
      <c r="K32" s="40">
        <v>80.400000000000006</v>
      </c>
      <c r="L32" s="289">
        <v>78</v>
      </c>
      <c r="M32" s="40">
        <f>4274.1+0+1531.5</f>
        <v>5805.6</v>
      </c>
      <c r="N32" s="22" t="s">
        <v>12531</v>
      </c>
      <c r="O32" s="363" t="s">
        <v>12480</v>
      </c>
      <c r="P32" s="22" t="s">
        <v>2042</v>
      </c>
      <c r="Q32" s="22" t="s">
        <v>10784</v>
      </c>
      <c r="R32" s="22"/>
      <c r="S32" s="361"/>
      <c r="T32" s="361"/>
      <c r="U32" s="358"/>
      <c r="V32" s="358"/>
      <c r="W32" s="358"/>
    </row>
    <row r="33" spans="1:23" s="354" customFormat="1" ht="51" customHeight="1" x14ac:dyDescent="0.2">
      <c r="A33" s="358">
        <v>23</v>
      </c>
      <c r="B33" s="358">
        <v>23</v>
      </c>
      <c r="C33" s="12" t="s">
        <v>12532</v>
      </c>
      <c r="D33" s="12" t="s">
        <v>12533</v>
      </c>
      <c r="E33" s="22" t="s">
        <v>12423</v>
      </c>
      <c r="F33" s="22" t="s">
        <v>12478</v>
      </c>
      <c r="G33" s="289">
        <v>2952</v>
      </c>
      <c r="H33" s="40">
        <f t="shared" si="0"/>
        <v>44.620822712613901</v>
      </c>
      <c r="I33" s="40">
        <f t="shared" si="1"/>
        <v>34876.527448633286</v>
      </c>
      <c r="J33" s="174">
        <v>2307342.2400000002</v>
      </c>
      <c r="K33" s="40">
        <v>32.200000000000003</v>
      </c>
      <c r="L33" s="289">
        <v>32</v>
      </c>
      <c r="M33" s="40">
        <f>1485.07+0+645.2</f>
        <v>2130.27</v>
      </c>
      <c r="N33" s="22" t="s">
        <v>12534</v>
      </c>
      <c r="O33" s="363" t="s">
        <v>12480</v>
      </c>
      <c r="P33" s="22" t="s">
        <v>2042</v>
      </c>
      <c r="Q33" s="22" t="s">
        <v>10784</v>
      </c>
      <c r="R33" s="22"/>
      <c r="S33" s="361"/>
      <c r="T33" s="361"/>
      <c r="U33" s="358"/>
      <c r="V33" s="358"/>
      <c r="W33" s="358"/>
    </row>
    <row r="34" spans="1:23" s="354" customFormat="1" ht="49.5" customHeight="1" x14ac:dyDescent="0.2">
      <c r="A34" s="358">
        <v>24</v>
      </c>
      <c r="B34" s="358">
        <v>24</v>
      </c>
      <c r="C34" s="12" t="s">
        <v>12535</v>
      </c>
      <c r="D34" s="12" t="s">
        <v>12536</v>
      </c>
      <c r="E34" s="22" t="s">
        <v>12423</v>
      </c>
      <c r="F34" s="22" t="s">
        <v>12478</v>
      </c>
      <c r="G34" s="289">
        <v>3586</v>
      </c>
      <c r="H34" s="40">
        <f t="shared" si="0"/>
        <v>45.136828145492316</v>
      </c>
      <c r="I34" s="40">
        <f>(J34/G34)*(K34*G34/M34)</f>
        <v>124892.24937373286</v>
      </c>
      <c r="J34" s="174">
        <v>9922354.4199999999</v>
      </c>
      <c r="K34" s="40">
        <v>42.9</v>
      </c>
      <c r="L34" s="289">
        <v>38</v>
      </c>
      <c r="M34" s="40">
        <f>2400.69+117+890.6</f>
        <v>3408.29</v>
      </c>
      <c r="N34" s="22" t="s">
        <v>12537</v>
      </c>
      <c r="O34" s="363" t="s">
        <v>12480</v>
      </c>
      <c r="P34" s="22" t="s">
        <v>2042</v>
      </c>
      <c r="Q34" s="22" t="s">
        <v>10784</v>
      </c>
      <c r="R34" s="22"/>
      <c r="S34" s="289"/>
      <c r="T34" s="40"/>
      <c r="U34" s="22"/>
      <c r="V34" s="358"/>
      <c r="W34" s="358"/>
    </row>
    <row r="35" spans="1:23" s="354" customFormat="1" ht="50.25" customHeight="1" x14ac:dyDescent="0.2">
      <c r="A35" s="358">
        <v>25</v>
      </c>
      <c r="B35" s="358">
        <v>25</v>
      </c>
      <c r="C35" s="60" t="s">
        <v>12538</v>
      </c>
      <c r="D35" s="65" t="s">
        <v>12539</v>
      </c>
      <c r="E35" s="65" t="s">
        <v>12423</v>
      </c>
      <c r="F35" s="65" t="s">
        <v>12478</v>
      </c>
      <c r="G35" s="20">
        <v>5930</v>
      </c>
      <c r="H35" s="40">
        <f t="shared" si="0"/>
        <v>34.838671000746032</v>
      </c>
      <c r="I35" s="40">
        <f t="shared" si="1"/>
        <v>68585.498052328694</v>
      </c>
      <c r="J35" s="220">
        <v>11674153.800000001</v>
      </c>
      <c r="K35" s="62">
        <v>44.1</v>
      </c>
      <c r="L35" s="289">
        <v>57</v>
      </c>
      <c r="M35" s="40">
        <f>5713.9+0+1792.5</f>
        <v>7506.4</v>
      </c>
      <c r="N35" s="22" t="s">
        <v>12540</v>
      </c>
      <c r="O35" s="363" t="s">
        <v>12480</v>
      </c>
      <c r="P35" s="22" t="s">
        <v>2042</v>
      </c>
      <c r="Q35" s="22" t="s">
        <v>10784</v>
      </c>
      <c r="R35" s="22"/>
      <c r="S35" s="289"/>
      <c r="T35" s="40"/>
      <c r="U35" s="22"/>
      <c r="V35" s="22"/>
      <c r="W35" s="289"/>
    </row>
    <row r="36" spans="1:23" s="354" customFormat="1" ht="50.25" customHeight="1" x14ac:dyDescent="0.2">
      <c r="A36" s="358">
        <v>26</v>
      </c>
      <c r="B36" s="358">
        <v>26</v>
      </c>
      <c r="C36" s="12" t="s">
        <v>12541</v>
      </c>
      <c r="D36" s="22" t="s">
        <v>12542</v>
      </c>
      <c r="E36" s="22" t="s">
        <v>12423</v>
      </c>
      <c r="F36" s="22" t="s">
        <v>12478</v>
      </c>
      <c r="G36" s="289">
        <v>1979</v>
      </c>
      <c r="H36" s="40">
        <f>G36</f>
        <v>1979</v>
      </c>
      <c r="I36" s="40">
        <f>J36</f>
        <v>1546825.98</v>
      </c>
      <c r="J36" s="174">
        <v>1546825.98</v>
      </c>
      <c r="K36" s="40">
        <v>751.1</v>
      </c>
      <c r="L36" s="289"/>
      <c r="M36" s="40"/>
      <c r="N36" s="22" t="s">
        <v>12543</v>
      </c>
      <c r="O36" s="363" t="s">
        <v>12480</v>
      </c>
      <c r="P36" s="22" t="s">
        <v>2042</v>
      </c>
      <c r="Q36" s="22" t="s">
        <v>10784</v>
      </c>
      <c r="R36" s="22"/>
      <c r="S36" s="289"/>
      <c r="T36" s="40"/>
      <c r="U36" s="22"/>
      <c r="V36" s="358"/>
      <c r="W36" s="358"/>
    </row>
    <row r="37" spans="1:23" s="354" customFormat="1" ht="51" customHeight="1" x14ac:dyDescent="0.2">
      <c r="A37" s="358">
        <v>27</v>
      </c>
      <c r="B37" s="358">
        <v>27</v>
      </c>
      <c r="C37" s="12" t="s">
        <v>12544</v>
      </c>
      <c r="D37" s="22" t="s">
        <v>12545</v>
      </c>
      <c r="E37" s="22" t="s">
        <v>12423</v>
      </c>
      <c r="F37" s="22" t="s">
        <v>12478</v>
      </c>
      <c r="G37" s="289">
        <v>5671</v>
      </c>
      <c r="H37" s="40">
        <f t="shared" ref="H37:H42" si="2">K37*G37/M37</f>
        <v>36.853149729365114</v>
      </c>
      <c r="I37" s="40">
        <f>(J37/G37)*(K37*G37/M37)</f>
        <v>72551.321746211921</v>
      </c>
      <c r="J37" s="174">
        <v>11164270.859999999</v>
      </c>
      <c r="K37" s="40">
        <v>39.5</v>
      </c>
      <c r="L37" s="289">
        <v>91</v>
      </c>
      <c r="M37" s="40">
        <f>4345.6+308.8+1423.9</f>
        <v>6078.3000000000011</v>
      </c>
      <c r="N37" s="22" t="s">
        <v>12546</v>
      </c>
      <c r="O37" s="363" t="s">
        <v>12480</v>
      </c>
      <c r="P37" s="22" t="s">
        <v>2042</v>
      </c>
      <c r="Q37" s="22" t="s">
        <v>10784</v>
      </c>
      <c r="R37" s="22"/>
      <c r="S37" s="289"/>
      <c r="T37" s="40"/>
      <c r="U37" s="22"/>
      <c r="V37" s="358"/>
      <c r="W37" s="358"/>
    </row>
    <row r="38" spans="1:23" s="354" customFormat="1" ht="51.75" customHeight="1" x14ac:dyDescent="0.2">
      <c r="A38" s="358">
        <v>28</v>
      </c>
      <c r="B38" s="358">
        <v>28</v>
      </c>
      <c r="C38" s="12" t="s">
        <v>12547</v>
      </c>
      <c r="D38" s="22" t="s">
        <v>12548</v>
      </c>
      <c r="E38" s="22" t="s">
        <v>12423</v>
      </c>
      <c r="F38" s="22" t="s">
        <v>12478</v>
      </c>
      <c r="G38" s="289">
        <v>4363</v>
      </c>
      <c r="H38" s="40">
        <f t="shared" si="2"/>
        <v>46.543449112814045</v>
      </c>
      <c r="I38" s="40">
        <f>(J38/G38)*(K38*G38/M38)</f>
        <v>101809.14058936943</v>
      </c>
      <c r="J38" s="174">
        <v>9543626.1999999993</v>
      </c>
      <c r="K38" s="40">
        <v>43.6</v>
      </c>
      <c r="L38" s="289">
        <v>79</v>
      </c>
      <c r="M38" s="40">
        <f>3187.08+0+900</f>
        <v>4087.08</v>
      </c>
      <c r="N38" s="22" t="s">
        <v>12549</v>
      </c>
      <c r="O38" s="363" t="s">
        <v>12480</v>
      </c>
      <c r="P38" s="22" t="s">
        <v>2042</v>
      </c>
      <c r="Q38" s="22" t="s">
        <v>10784</v>
      </c>
      <c r="R38" s="22"/>
      <c r="S38" s="289"/>
      <c r="T38" s="40"/>
      <c r="U38" s="22"/>
      <c r="V38" s="358"/>
      <c r="W38" s="358"/>
    </row>
    <row r="39" spans="1:23" s="354" customFormat="1" ht="75.75" customHeight="1" x14ac:dyDescent="0.2">
      <c r="A39" s="358">
        <v>29</v>
      </c>
      <c r="B39" s="358">
        <v>29</v>
      </c>
      <c r="C39" s="12" t="s">
        <v>12550</v>
      </c>
      <c r="D39" s="12" t="s">
        <v>12551</v>
      </c>
      <c r="E39" s="22" t="s">
        <v>12423</v>
      </c>
      <c r="F39" s="22" t="s">
        <v>12483</v>
      </c>
      <c r="G39" s="289">
        <v>1216</v>
      </c>
      <c r="H39" s="40">
        <f t="shared" si="2"/>
        <v>175.45171339563862</v>
      </c>
      <c r="I39" s="40">
        <f>(J39/G39)*(K39*G39/M39)</f>
        <v>330847.54143302178</v>
      </c>
      <c r="J39" s="174">
        <v>2292999.04</v>
      </c>
      <c r="K39" s="40">
        <v>528</v>
      </c>
      <c r="L39" s="285" t="s">
        <v>12552</v>
      </c>
      <c r="M39" s="40">
        <f>2537.5+51.9+1070</f>
        <v>3659.4</v>
      </c>
      <c r="N39" s="22" t="s">
        <v>12553</v>
      </c>
      <c r="O39" s="363" t="s">
        <v>12480</v>
      </c>
      <c r="P39" s="22" t="s">
        <v>2042</v>
      </c>
      <c r="Q39" s="22" t="s">
        <v>10784</v>
      </c>
      <c r="R39" s="22"/>
      <c r="S39" s="361"/>
      <c r="T39" s="285"/>
      <c r="U39" s="358"/>
      <c r="V39" s="358"/>
      <c r="W39" s="358"/>
    </row>
    <row r="40" spans="1:23" s="354" customFormat="1" ht="48.75" customHeight="1" x14ac:dyDescent="0.2">
      <c r="A40" s="358">
        <v>30</v>
      </c>
      <c r="B40" s="358">
        <v>30</v>
      </c>
      <c r="C40" s="12" t="s">
        <v>12554</v>
      </c>
      <c r="D40" s="22" t="s">
        <v>12555</v>
      </c>
      <c r="E40" s="22" t="s">
        <v>12423</v>
      </c>
      <c r="F40" s="22" t="s">
        <v>12478</v>
      </c>
      <c r="G40" s="289">
        <v>2930</v>
      </c>
      <c r="H40" s="40">
        <f t="shared" si="2"/>
        <v>31.111805121798874</v>
      </c>
      <c r="I40" s="40">
        <f>(J40/G40)*(G40*K40/M40)</f>
        <v>68053.962523422859</v>
      </c>
      <c r="J40" s="174">
        <v>6409082</v>
      </c>
      <c r="K40" s="370">
        <v>11.9</v>
      </c>
      <c r="L40" s="289">
        <v>4</v>
      </c>
      <c r="M40" s="40">
        <f>890.7+0+230</f>
        <v>1120.7</v>
      </c>
      <c r="N40" s="22" t="s">
        <v>12556</v>
      </c>
      <c r="O40" s="363" t="s">
        <v>12480</v>
      </c>
      <c r="P40" s="22" t="s">
        <v>2042</v>
      </c>
      <c r="Q40" s="22" t="s">
        <v>10784</v>
      </c>
      <c r="R40" s="22"/>
      <c r="S40" s="361"/>
      <c r="T40" s="361"/>
      <c r="U40" s="358"/>
      <c r="V40" s="358"/>
      <c r="W40" s="358"/>
    </row>
    <row r="41" spans="1:23" s="354" customFormat="1" ht="49.5" customHeight="1" x14ac:dyDescent="0.2">
      <c r="A41" s="358">
        <v>31</v>
      </c>
      <c r="B41" s="358">
        <v>31</v>
      </c>
      <c r="C41" s="12" t="s">
        <v>12557</v>
      </c>
      <c r="D41" s="12" t="s">
        <v>12558</v>
      </c>
      <c r="E41" s="22" t="s">
        <v>12423</v>
      </c>
      <c r="F41" s="22" t="s">
        <v>12483</v>
      </c>
      <c r="G41" s="289">
        <v>998</v>
      </c>
      <c r="H41" s="40">
        <f t="shared" si="2"/>
        <v>102.46436713981024</v>
      </c>
      <c r="I41" s="40">
        <f>(J41/G41)*(G41*K41/M41)</f>
        <v>193216.03247186876</v>
      </c>
      <c r="J41" s="174">
        <v>1881918.62</v>
      </c>
      <c r="K41" s="40">
        <v>279.2</v>
      </c>
      <c r="L41" s="285" t="s">
        <v>12559</v>
      </c>
      <c r="M41" s="40">
        <f>2070+147.4+502</f>
        <v>2719.4</v>
      </c>
      <c r="N41" s="22" t="s">
        <v>12560</v>
      </c>
      <c r="O41" s="363" t="s">
        <v>12480</v>
      </c>
      <c r="P41" s="22" t="s">
        <v>2042</v>
      </c>
      <c r="Q41" s="22" t="s">
        <v>10784</v>
      </c>
      <c r="R41" s="22"/>
      <c r="S41" s="361"/>
      <c r="T41" s="285"/>
      <c r="U41" s="358"/>
      <c r="V41" s="358"/>
      <c r="W41" s="358"/>
    </row>
    <row r="42" spans="1:23" s="354" customFormat="1" ht="41.25" customHeight="1" x14ac:dyDescent="0.2">
      <c r="A42" s="358">
        <v>32</v>
      </c>
      <c r="B42" s="358">
        <v>32</v>
      </c>
      <c r="C42" s="12" t="s">
        <v>12561</v>
      </c>
      <c r="D42" s="12" t="s">
        <v>12562</v>
      </c>
      <c r="E42" s="22" t="s">
        <v>12423</v>
      </c>
      <c r="F42" s="22" t="s">
        <v>12483</v>
      </c>
      <c r="G42" s="289">
        <v>1299</v>
      </c>
      <c r="H42" s="40">
        <f t="shared" si="2"/>
        <v>40.494773803136397</v>
      </c>
      <c r="I42" s="40">
        <f>(J42/G42)*(G42*K42/M42)</f>
        <v>76360.59001283627</v>
      </c>
      <c r="J42" s="174">
        <v>2449511.31</v>
      </c>
      <c r="K42" s="40">
        <v>137.69999999999999</v>
      </c>
      <c r="L42" s="285" t="s">
        <v>12563</v>
      </c>
      <c r="M42" s="40">
        <f>2396.72+219.05+1801.4</f>
        <v>4417.17</v>
      </c>
      <c r="N42" s="22" t="s">
        <v>12564</v>
      </c>
      <c r="O42" s="363" t="s">
        <v>12480</v>
      </c>
      <c r="P42" s="22" t="s">
        <v>2042</v>
      </c>
      <c r="Q42" s="22" t="s">
        <v>10784</v>
      </c>
      <c r="R42" s="22"/>
      <c r="S42" s="361"/>
      <c r="T42" s="285"/>
      <c r="U42" s="358"/>
      <c r="V42" s="358"/>
      <c r="W42" s="358"/>
    </row>
    <row r="43" spans="1:23" s="354" customFormat="1" ht="52.5" customHeight="1" x14ac:dyDescent="0.2">
      <c r="A43" s="358">
        <v>34</v>
      </c>
      <c r="B43" s="358">
        <v>33</v>
      </c>
      <c r="C43" s="12" t="s">
        <v>12565</v>
      </c>
      <c r="D43" s="22" t="s">
        <v>12566</v>
      </c>
      <c r="E43" s="22" t="s">
        <v>12423</v>
      </c>
      <c r="F43" s="22" t="s">
        <v>12567</v>
      </c>
      <c r="G43" s="285">
        <v>12513</v>
      </c>
      <c r="H43" s="17">
        <v>12293</v>
      </c>
      <c r="I43" s="40">
        <f>18289376.19/G43*H43</f>
        <v>17967817.59</v>
      </c>
      <c r="J43" s="174"/>
      <c r="K43" s="40"/>
      <c r="L43" s="289"/>
      <c r="M43" s="40"/>
      <c r="N43" s="22" t="s">
        <v>12568</v>
      </c>
      <c r="O43" s="22" t="s">
        <v>5776</v>
      </c>
      <c r="P43" s="22" t="s">
        <v>12427</v>
      </c>
      <c r="Q43" s="22"/>
      <c r="R43" s="363" t="s">
        <v>3136</v>
      </c>
      <c r="S43" s="140" t="s">
        <v>12569</v>
      </c>
      <c r="T43" s="363" t="s">
        <v>12570</v>
      </c>
      <c r="U43" s="22" t="s">
        <v>12445</v>
      </c>
      <c r="V43" s="22" t="s">
        <v>12571</v>
      </c>
      <c r="W43" s="361" t="s">
        <v>12572</v>
      </c>
    </row>
    <row r="44" spans="1:23" s="354" customFormat="1" ht="55.5" customHeight="1" x14ac:dyDescent="0.2">
      <c r="A44" s="358">
        <v>35</v>
      </c>
      <c r="B44" s="358">
        <v>34</v>
      </c>
      <c r="C44" s="12" t="s">
        <v>12573</v>
      </c>
      <c r="D44" s="22" t="s">
        <v>12574</v>
      </c>
      <c r="E44" s="22" t="s">
        <v>12423</v>
      </c>
      <c r="F44" s="22" t="s">
        <v>12575</v>
      </c>
      <c r="G44" s="289">
        <v>3917</v>
      </c>
      <c r="H44" s="17">
        <f>G44</f>
        <v>3917</v>
      </c>
      <c r="I44" s="40">
        <v>5900020.4199999999</v>
      </c>
      <c r="J44" s="174"/>
      <c r="K44" s="40"/>
      <c r="L44" s="289"/>
      <c r="M44" s="40"/>
      <c r="N44" s="22" t="s">
        <v>12576</v>
      </c>
      <c r="O44" s="285" t="s">
        <v>3090</v>
      </c>
      <c r="P44" s="22" t="s">
        <v>12427</v>
      </c>
      <c r="Q44" s="22"/>
      <c r="R44" s="363" t="s">
        <v>3136</v>
      </c>
      <c r="S44" s="362">
        <v>41442</v>
      </c>
      <c r="T44" s="363">
        <v>555</v>
      </c>
      <c r="U44" s="22" t="s">
        <v>12428</v>
      </c>
      <c r="V44" s="361" t="s">
        <v>12577</v>
      </c>
      <c r="W44" s="285" t="s">
        <v>12578</v>
      </c>
    </row>
    <row r="45" spans="1:23" s="354" customFormat="1" ht="51.75" customHeight="1" x14ac:dyDescent="0.2">
      <c r="A45" s="358">
        <v>36</v>
      </c>
      <c r="B45" s="358">
        <v>35</v>
      </c>
      <c r="C45" s="12" t="s">
        <v>12579</v>
      </c>
      <c r="D45" s="12" t="s">
        <v>12580</v>
      </c>
      <c r="E45" s="22" t="s">
        <v>12423</v>
      </c>
      <c r="F45" s="22" t="s">
        <v>12581</v>
      </c>
      <c r="G45" s="289">
        <v>19117</v>
      </c>
      <c r="H45" s="17">
        <f>G45</f>
        <v>19117</v>
      </c>
      <c r="I45" s="40">
        <v>32311744.57</v>
      </c>
      <c r="J45" s="174"/>
      <c r="K45" s="40"/>
      <c r="L45" s="289"/>
      <c r="M45" s="40"/>
      <c r="N45" s="22" t="s">
        <v>12582</v>
      </c>
      <c r="O45" s="361" t="s">
        <v>4946</v>
      </c>
      <c r="P45" s="22" t="s">
        <v>12427</v>
      </c>
      <c r="Q45" s="22"/>
      <c r="R45" s="363" t="s">
        <v>3136</v>
      </c>
      <c r="S45" s="362">
        <v>40667</v>
      </c>
      <c r="T45" s="363">
        <v>513</v>
      </c>
      <c r="U45" s="22" t="s">
        <v>12428</v>
      </c>
      <c r="V45" s="22" t="s">
        <v>12583</v>
      </c>
      <c r="W45" s="285" t="s">
        <v>12584</v>
      </c>
    </row>
    <row r="46" spans="1:23" s="354" customFormat="1" ht="54" customHeight="1" x14ac:dyDescent="0.2">
      <c r="A46" s="358">
        <v>37</v>
      </c>
      <c r="B46" s="358">
        <v>36</v>
      </c>
      <c r="C46" s="12" t="s">
        <v>12585</v>
      </c>
      <c r="D46" s="22" t="s">
        <v>12586</v>
      </c>
      <c r="E46" s="22" t="s">
        <v>12423</v>
      </c>
      <c r="F46" s="22" t="s">
        <v>12587</v>
      </c>
      <c r="G46" s="285">
        <v>2311</v>
      </c>
      <c r="H46" s="17">
        <f>G46</f>
        <v>2311</v>
      </c>
      <c r="I46" s="40">
        <v>3834110.77</v>
      </c>
      <c r="J46" s="371"/>
      <c r="K46" s="17"/>
      <c r="L46" s="285"/>
      <c r="M46" s="17"/>
      <c r="N46" s="22" t="s">
        <v>12588</v>
      </c>
      <c r="O46" s="285" t="s">
        <v>4946</v>
      </c>
      <c r="P46" s="22" t="s">
        <v>12427</v>
      </c>
      <c r="Q46" s="27"/>
      <c r="R46" s="363" t="s">
        <v>3136</v>
      </c>
      <c r="S46" s="140" t="s">
        <v>12589</v>
      </c>
      <c r="T46" s="363" t="s">
        <v>12590</v>
      </c>
      <c r="U46" s="22" t="s">
        <v>12428</v>
      </c>
      <c r="V46" s="361" t="s">
        <v>12591</v>
      </c>
      <c r="W46" s="285" t="s">
        <v>12592</v>
      </c>
    </row>
    <row r="47" spans="1:23" s="354" customFormat="1" ht="51" customHeight="1" x14ac:dyDescent="0.2">
      <c r="A47" s="358">
        <v>38</v>
      </c>
      <c r="B47" s="358">
        <v>37</v>
      </c>
      <c r="C47" s="12" t="s">
        <v>12593</v>
      </c>
      <c r="D47" s="22" t="s">
        <v>12594</v>
      </c>
      <c r="E47" s="22" t="s">
        <v>12423</v>
      </c>
      <c r="F47" s="22" t="s">
        <v>12595</v>
      </c>
      <c r="G47" s="289">
        <v>12521</v>
      </c>
      <c r="H47" s="17">
        <f>G47</f>
        <v>12521</v>
      </c>
      <c r="I47" s="40">
        <v>21163119.41</v>
      </c>
      <c r="J47" s="174"/>
      <c r="K47" s="40"/>
      <c r="L47" s="289"/>
      <c r="M47" s="40"/>
      <c r="N47" s="22" t="s">
        <v>12596</v>
      </c>
      <c r="O47" s="22" t="s">
        <v>7983</v>
      </c>
      <c r="P47" s="22" t="s">
        <v>12427</v>
      </c>
      <c r="Q47" s="22"/>
      <c r="R47" s="363" t="s">
        <v>3136</v>
      </c>
      <c r="S47" s="140">
        <v>40674</v>
      </c>
      <c r="T47" s="285">
        <v>531</v>
      </c>
      <c r="U47" s="22" t="s">
        <v>12445</v>
      </c>
      <c r="V47" s="140" t="s">
        <v>12597</v>
      </c>
      <c r="W47" s="285" t="s">
        <v>12598</v>
      </c>
    </row>
    <row r="48" spans="1:23" s="354" customFormat="1" ht="48.75" customHeight="1" x14ac:dyDescent="0.2">
      <c r="A48" s="358">
        <v>39</v>
      </c>
      <c r="B48" s="358">
        <v>38</v>
      </c>
      <c r="C48" s="12" t="s">
        <v>12599</v>
      </c>
      <c r="D48" s="12" t="s">
        <v>12600</v>
      </c>
      <c r="E48" s="22" t="s">
        <v>12423</v>
      </c>
      <c r="F48" s="22" t="s">
        <v>12601</v>
      </c>
      <c r="G48" s="289">
        <v>9437</v>
      </c>
      <c r="H48" s="17">
        <f>G48</f>
        <v>9437</v>
      </c>
      <c r="I48" s="40">
        <v>14148894.1</v>
      </c>
      <c r="J48" s="174"/>
      <c r="K48" s="40"/>
      <c r="L48" s="289"/>
      <c r="M48" s="40"/>
      <c r="N48" s="22" t="s">
        <v>12602</v>
      </c>
      <c r="O48" s="285" t="s">
        <v>101</v>
      </c>
      <c r="P48" s="22" t="s">
        <v>12427</v>
      </c>
      <c r="Q48" s="22"/>
      <c r="R48" s="363" t="s">
        <v>3136</v>
      </c>
      <c r="S48" s="14">
        <v>41615</v>
      </c>
      <c r="T48" s="285">
        <v>984</v>
      </c>
      <c r="U48" s="22" t="s">
        <v>12428</v>
      </c>
      <c r="V48" s="22" t="s">
        <v>12603</v>
      </c>
      <c r="W48" s="285" t="s">
        <v>12604</v>
      </c>
    </row>
    <row r="49" spans="1:23" s="354" customFormat="1" ht="49.5" customHeight="1" x14ac:dyDescent="0.2">
      <c r="A49" s="358">
        <v>41</v>
      </c>
      <c r="B49" s="358">
        <v>39</v>
      </c>
      <c r="C49" s="12" t="s">
        <v>12605</v>
      </c>
      <c r="D49" s="22" t="s">
        <v>12606</v>
      </c>
      <c r="E49" s="22" t="s">
        <v>12423</v>
      </c>
      <c r="F49" s="22" t="s">
        <v>12607</v>
      </c>
      <c r="G49" s="289">
        <v>16711</v>
      </c>
      <c r="H49" s="17">
        <f t="shared" ref="H49:H53" si="3">G49</f>
        <v>16711</v>
      </c>
      <c r="I49" s="40">
        <v>17392975.91</v>
      </c>
      <c r="J49" s="371"/>
      <c r="K49" s="17"/>
      <c r="L49" s="285"/>
      <c r="M49" s="17"/>
      <c r="N49" s="22" t="s">
        <v>12608</v>
      </c>
      <c r="O49" s="285" t="s">
        <v>515</v>
      </c>
      <c r="P49" s="22" t="s">
        <v>12427</v>
      </c>
      <c r="Q49" s="285"/>
      <c r="R49" s="363" t="s">
        <v>3136</v>
      </c>
      <c r="S49" s="362">
        <v>40781</v>
      </c>
      <c r="T49" s="363">
        <v>927</v>
      </c>
      <c r="U49" s="22" t="s">
        <v>12428</v>
      </c>
      <c r="V49" s="361" t="s">
        <v>12609</v>
      </c>
      <c r="W49" s="285" t="s">
        <v>12610</v>
      </c>
    </row>
    <row r="50" spans="1:23" s="354" customFormat="1" ht="80.25" customHeight="1" x14ac:dyDescent="0.2">
      <c r="A50" s="358">
        <v>42</v>
      </c>
      <c r="B50" s="358">
        <v>40</v>
      </c>
      <c r="C50" s="12" t="s">
        <v>12611</v>
      </c>
      <c r="D50" s="22" t="s">
        <v>12612</v>
      </c>
      <c r="E50" s="22" t="s">
        <v>12423</v>
      </c>
      <c r="F50" s="22" t="s">
        <v>12613</v>
      </c>
      <c r="G50" s="289">
        <v>4221</v>
      </c>
      <c r="H50" s="17">
        <f t="shared" si="3"/>
        <v>4221</v>
      </c>
      <c r="I50" s="40">
        <v>8797872.5099999998</v>
      </c>
      <c r="J50" s="174"/>
      <c r="K50" s="40"/>
      <c r="L50" s="289"/>
      <c r="M50" s="40"/>
      <c r="N50" s="22" t="s">
        <v>12614</v>
      </c>
      <c r="O50" s="22" t="s">
        <v>12615</v>
      </c>
      <c r="P50" s="22" t="s">
        <v>2614</v>
      </c>
      <c r="Q50" s="22" t="s">
        <v>10784</v>
      </c>
      <c r="R50" s="285" t="s">
        <v>12616</v>
      </c>
      <c r="S50" s="14">
        <v>40675</v>
      </c>
      <c r="T50" s="285">
        <v>11</v>
      </c>
      <c r="U50" s="22" t="s">
        <v>12428</v>
      </c>
      <c r="V50" s="140">
        <v>40658</v>
      </c>
      <c r="W50" s="285" t="s">
        <v>12617</v>
      </c>
    </row>
    <row r="51" spans="1:23" s="354" customFormat="1" ht="51.75" customHeight="1" x14ac:dyDescent="0.2">
      <c r="A51" s="358">
        <v>44</v>
      </c>
      <c r="B51" s="358">
        <v>41</v>
      </c>
      <c r="C51" s="12" t="s">
        <v>12618</v>
      </c>
      <c r="D51" s="22" t="s">
        <v>12619</v>
      </c>
      <c r="E51" s="22" t="s">
        <v>12423</v>
      </c>
      <c r="F51" s="22" t="s">
        <v>12620</v>
      </c>
      <c r="G51" s="289">
        <v>93</v>
      </c>
      <c r="H51" s="17">
        <f t="shared" si="3"/>
        <v>93</v>
      </c>
      <c r="I51" s="40">
        <v>27434.07</v>
      </c>
      <c r="J51" s="174"/>
      <c r="K51" s="40"/>
      <c r="L51" s="289"/>
      <c r="M51" s="40"/>
      <c r="N51" s="22" t="s">
        <v>12621</v>
      </c>
      <c r="O51" s="22"/>
      <c r="P51" s="22" t="s">
        <v>2042</v>
      </c>
      <c r="Q51" s="22" t="s">
        <v>10784</v>
      </c>
      <c r="R51" s="22"/>
      <c r="S51" s="140"/>
      <c r="T51" s="285"/>
      <c r="U51" s="22" t="s">
        <v>12428</v>
      </c>
      <c r="V51" s="140">
        <v>41047</v>
      </c>
      <c r="W51" s="285" t="s">
        <v>12622</v>
      </c>
    </row>
    <row r="52" spans="1:23" s="354" customFormat="1" ht="54.75" customHeight="1" x14ac:dyDescent="0.2">
      <c r="A52" s="358">
        <v>45</v>
      </c>
      <c r="B52" s="358">
        <v>42</v>
      </c>
      <c r="C52" s="12" t="s">
        <v>12623</v>
      </c>
      <c r="D52" s="22" t="s">
        <v>12624</v>
      </c>
      <c r="E52" s="22" t="s">
        <v>12423</v>
      </c>
      <c r="F52" s="22" t="s">
        <v>12625</v>
      </c>
      <c r="G52" s="289">
        <v>8231</v>
      </c>
      <c r="H52" s="17">
        <f t="shared" si="3"/>
        <v>8231</v>
      </c>
      <c r="I52" s="40">
        <v>12340738.300000001</v>
      </c>
      <c r="J52" s="174"/>
      <c r="K52" s="40"/>
      <c r="L52" s="289"/>
      <c r="M52" s="40"/>
      <c r="N52" s="22" t="s">
        <v>12626</v>
      </c>
      <c r="O52" s="285" t="s">
        <v>7977</v>
      </c>
      <c r="P52" s="22" t="s">
        <v>12427</v>
      </c>
      <c r="Q52" s="285"/>
      <c r="R52" s="363" t="s">
        <v>3136</v>
      </c>
      <c r="S52" s="362">
        <v>40781</v>
      </c>
      <c r="T52" s="363">
        <v>927</v>
      </c>
      <c r="U52" s="22" t="s">
        <v>12428</v>
      </c>
      <c r="V52" s="361" t="s">
        <v>12627</v>
      </c>
      <c r="W52" s="285" t="s">
        <v>12628</v>
      </c>
    </row>
    <row r="53" spans="1:23" s="354" customFormat="1" ht="57" customHeight="1" x14ac:dyDescent="0.2">
      <c r="A53" s="358">
        <v>46</v>
      </c>
      <c r="B53" s="358">
        <v>43</v>
      </c>
      <c r="C53" s="12" t="s">
        <v>12629</v>
      </c>
      <c r="D53" s="22" t="s">
        <v>12630</v>
      </c>
      <c r="E53" s="22" t="s">
        <v>12423</v>
      </c>
      <c r="F53" s="22" t="s">
        <v>12631</v>
      </c>
      <c r="G53" s="289">
        <v>1528</v>
      </c>
      <c r="H53" s="17">
        <f t="shared" si="3"/>
        <v>1528</v>
      </c>
      <c r="I53" s="40">
        <v>2001359.12</v>
      </c>
      <c r="J53" s="174"/>
      <c r="K53" s="40"/>
      <c r="L53" s="289"/>
      <c r="M53" s="40"/>
      <c r="N53" s="22" t="s">
        <v>12632</v>
      </c>
      <c r="O53" s="22" t="s">
        <v>7846</v>
      </c>
      <c r="P53" s="22" t="s">
        <v>12427</v>
      </c>
      <c r="Q53" s="22"/>
      <c r="R53" s="361" t="s">
        <v>3136</v>
      </c>
      <c r="S53" s="140">
        <v>42093</v>
      </c>
      <c r="T53" s="361">
        <v>307</v>
      </c>
      <c r="U53" s="22" t="s">
        <v>12428</v>
      </c>
      <c r="V53" s="361" t="s">
        <v>12633</v>
      </c>
      <c r="W53" s="361" t="s">
        <v>12634</v>
      </c>
    </row>
    <row r="54" spans="1:23" s="354" customFormat="1" ht="52.5" customHeight="1" x14ac:dyDescent="0.2">
      <c r="A54" s="358">
        <v>47</v>
      </c>
      <c r="B54" s="358">
        <v>44</v>
      </c>
      <c r="C54" s="12" t="s">
        <v>12635</v>
      </c>
      <c r="D54" s="22" t="s">
        <v>12636</v>
      </c>
      <c r="E54" s="22" t="s">
        <v>12423</v>
      </c>
      <c r="F54" s="22" t="s">
        <v>12637</v>
      </c>
      <c r="G54" s="285">
        <v>2854</v>
      </c>
      <c r="H54" s="17">
        <v>1296</v>
      </c>
      <c r="I54" s="40">
        <v>2150154.7200000002</v>
      </c>
      <c r="J54" s="174">
        <v>4073016.85</v>
      </c>
      <c r="K54" s="17"/>
      <c r="L54" s="285"/>
      <c r="M54" s="17"/>
      <c r="N54" s="22" t="s">
        <v>12638</v>
      </c>
      <c r="O54" s="22" t="s">
        <v>12639</v>
      </c>
      <c r="P54" s="22" t="s">
        <v>12640</v>
      </c>
      <c r="Q54" s="22" t="s">
        <v>10784</v>
      </c>
      <c r="R54" s="285" t="s">
        <v>12641</v>
      </c>
      <c r="S54" s="14" t="s">
        <v>12642</v>
      </c>
      <c r="T54" s="285" t="s">
        <v>12643</v>
      </c>
      <c r="U54" s="22" t="s">
        <v>12428</v>
      </c>
      <c r="V54" s="22" t="s">
        <v>12644</v>
      </c>
      <c r="W54" s="361" t="s">
        <v>12645</v>
      </c>
    </row>
    <row r="55" spans="1:23" s="354" customFormat="1" ht="64.5" customHeight="1" x14ac:dyDescent="0.2">
      <c r="A55" s="358">
        <v>48</v>
      </c>
      <c r="B55" s="358">
        <v>45</v>
      </c>
      <c r="C55" s="12" t="s">
        <v>12646</v>
      </c>
      <c r="D55" s="22" t="s">
        <v>12647</v>
      </c>
      <c r="E55" s="22" t="s">
        <v>12423</v>
      </c>
      <c r="F55" s="22" t="s">
        <v>12648</v>
      </c>
      <c r="G55" s="289">
        <v>600</v>
      </c>
      <c r="H55" s="17">
        <f t="shared" ref="H55:H99" si="4">G55</f>
        <v>600</v>
      </c>
      <c r="I55" s="40">
        <v>38034</v>
      </c>
      <c r="J55" s="174"/>
      <c r="K55" s="40"/>
      <c r="L55" s="289"/>
      <c r="M55" s="40"/>
      <c r="N55" s="22" t="s">
        <v>12649</v>
      </c>
      <c r="O55" s="17" t="s">
        <v>12650</v>
      </c>
      <c r="P55" s="22" t="s">
        <v>2042</v>
      </c>
      <c r="Q55" s="22" t="s">
        <v>10784</v>
      </c>
      <c r="R55" s="285"/>
      <c r="S55" s="285"/>
      <c r="T55" s="285"/>
      <c r="U55" s="22" t="s">
        <v>12428</v>
      </c>
      <c r="V55" s="140">
        <v>41306</v>
      </c>
      <c r="W55" s="361" t="s">
        <v>12651</v>
      </c>
    </row>
    <row r="56" spans="1:23" s="354" customFormat="1" ht="68.25" customHeight="1" x14ac:dyDescent="0.2">
      <c r="A56" s="358">
        <v>49</v>
      </c>
      <c r="B56" s="358">
        <v>46</v>
      </c>
      <c r="C56" s="12" t="s">
        <v>12652</v>
      </c>
      <c r="D56" s="22" t="s">
        <v>12653</v>
      </c>
      <c r="E56" s="22" t="s">
        <v>12423</v>
      </c>
      <c r="F56" s="22" t="s">
        <v>12654</v>
      </c>
      <c r="G56" s="289">
        <v>600</v>
      </c>
      <c r="H56" s="17">
        <f t="shared" si="4"/>
        <v>600</v>
      </c>
      <c r="I56" s="40">
        <v>38034</v>
      </c>
      <c r="J56" s="174"/>
      <c r="K56" s="40"/>
      <c r="L56" s="289"/>
      <c r="M56" s="40"/>
      <c r="N56" s="22" t="s">
        <v>12655</v>
      </c>
      <c r="O56" s="17" t="s">
        <v>12650</v>
      </c>
      <c r="P56" s="22" t="s">
        <v>2042</v>
      </c>
      <c r="Q56" s="22" t="s">
        <v>10784</v>
      </c>
      <c r="R56" s="285"/>
      <c r="S56" s="285"/>
      <c r="T56" s="285"/>
      <c r="U56" s="22" t="s">
        <v>12428</v>
      </c>
      <c r="V56" s="140">
        <v>41677</v>
      </c>
      <c r="W56" s="361" t="s">
        <v>12656</v>
      </c>
    </row>
    <row r="57" spans="1:23" s="354" customFormat="1" ht="43.5" customHeight="1" x14ac:dyDescent="0.2">
      <c r="A57" s="358">
        <v>50</v>
      </c>
      <c r="B57" s="358">
        <v>47</v>
      </c>
      <c r="C57" s="12" t="s">
        <v>12657</v>
      </c>
      <c r="D57" s="22" t="s">
        <v>12658</v>
      </c>
      <c r="E57" s="22" t="s">
        <v>12423</v>
      </c>
      <c r="F57" s="22" t="s">
        <v>12659</v>
      </c>
      <c r="G57" s="40">
        <v>1450</v>
      </c>
      <c r="H57" s="17">
        <f t="shared" si="4"/>
        <v>1450</v>
      </c>
      <c r="I57" s="40">
        <v>1500358.5</v>
      </c>
      <c r="J57" s="174"/>
      <c r="K57" s="40"/>
      <c r="L57" s="289"/>
      <c r="M57" s="40"/>
      <c r="N57" s="22" t="s">
        <v>12660</v>
      </c>
      <c r="O57" s="359"/>
      <c r="P57" s="358"/>
      <c r="Q57" s="22" t="s">
        <v>10784</v>
      </c>
      <c r="R57" s="285"/>
      <c r="S57" s="285"/>
      <c r="T57" s="285"/>
      <c r="U57" s="22" t="s">
        <v>12428</v>
      </c>
      <c r="V57" s="140">
        <v>39825</v>
      </c>
      <c r="W57" s="361" t="s">
        <v>12661</v>
      </c>
    </row>
    <row r="58" spans="1:23" s="375" customFormat="1" ht="51" customHeight="1" x14ac:dyDescent="0.2">
      <c r="A58" s="358">
        <v>51</v>
      </c>
      <c r="B58" s="358">
        <v>48</v>
      </c>
      <c r="C58" s="12" t="s">
        <v>12662</v>
      </c>
      <c r="D58" s="363" t="s">
        <v>12663</v>
      </c>
      <c r="E58" s="22" t="s">
        <v>12423</v>
      </c>
      <c r="F58" s="361" t="s">
        <v>12664</v>
      </c>
      <c r="G58" s="372">
        <v>600</v>
      </c>
      <c r="H58" s="17">
        <f t="shared" si="4"/>
        <v>600</v>
      </c>
      <c r="I58" s="40">
        <v>276</v>
      </c>
      <c r="J58" s="360"/>
      <c r="K58" s="368"/>
      <c r="L58" s="373"/>
      <c r="M58" s="368"/>
      <c r="N58" s="22" t="s">
        <v>12665</v>
      </c>
      <c r="O58" s="361" t="s">
        <v>4946</v>
      </c>
      <c r="P58" s="361" t="s">
        <v>12427</v>
      </c>
      <c r="Q58" s="254"/>
      <c r="R58" s="363" t="s">
        <v>3136</v>
      </c>
      <c r="S58" s="362">
        <v>41722</v>
      </c>
      <c r="T58" s="363">
        <v>247</v>
      </c>
      <c r="U58" s="22" t="s">
        <v>12428</v>
      </c>
      <c r="V58" s="140" t="s">
        <v>12666</v>
      </c>
      <c r="W58" s="361" t="s">
        <v>12667</v>
      </c>
    </row>
    <row r="59" spans="1:23" s="375" customFormat="1" ht="51" customHeight="1" x14ac:dyDescent="0.2">
      <c r="A59" s="358">
        <v>52</v>
      </c>
      <c r="B59" s="358">
        <v>49</v>
      </c>
      <c r="C59" s="363" t="s">
        <v>12668</v>
      </c>
      <c r="D59" s="363" t="s">
        <v>12669</v>
      </c>
      <c r="E59" s="22" t="s">
        <v>12423</v>
      </c>
      <c r="F59" s="361" t="s">
        <v>12670</v>
      </c>
      <c r="G59" s="372">
        <v>2205</v>
      </c>
      <c r="H59" s="17">
        <f t="shared" si="4"/>
        <v>2205</v>
      </c>
      <c r="I59" s="40">
        <v>4577800.5</v>
      </c>
      <c r="J59" s="360"/>
      <c r="K59" s="368"/>
      <c r="L59" s="373"/>
      <c r="M59" s="368"/>
      <c r="N59" s="22" t="s">
        <v>12671</v>
      </c>
      <c r="O59" s="17" t="s">
        <v>12650</v>
      </c>
      <c r="P59" s="22" t="s">
        <v>2042</v>
      </c>
      <c r="Q59" s="363" t="s">
        <v>10784</v>
      </c>
      <c r="R59" s="363" t="s">
        <v>3136</v>
      </c>
      <c r="S59" s="362">
        <v>42248</v>
      </c>
      <c r="T59" s="363">
        <v>732</v>
      </c>
      <c r="U59" s="22" t="s">
        <v>12428</v>
      </c>
      <c r="V59" s="14">
        <v>42219</v>
      </c>
      <c r="W59" s="285" t="s">
        <v>12672</v>
      </c>
    </row>
    <row r="60" spans="1:23" s="354" customFormat="1" ht="132" customHeight="1" x14ac:dyDescent="0.2">
      <c r="A60" s="358">
        <v>53</v>
      </c>
      <c r="B60" s="358">
        <v>50</v>
      </c>
      <c r="C60" s="361" t="s">
        <v>12673</v>
      </c>
      <c r="D60" s="361" t="s">
        <v>12674</v>
      </c>
      <c r="E60" s="22" t="s">
        <v>12423</v>
      </c>
      <c r="F60" s="361" t="s">
        <v>12675</v>
      </c>
      <c r="G60" s="376">
        <v>35785</v>
      </c>
      <c r="H60" s="17">
        <f t="shared" si="4"/>
        <v>35785</v>
      </c>
      <c r="I60" s="40">
        <v>50606431.299999997</v>
      </c>
      <c r="J60" s="377"/>
      <c r="K60" s="178"/>
      <c r="L60" s="139"/>
      <c r="M60" s="178"/>
      <c r="N60" s="178" t="s">
        <v>12676</v>
      </c>
      <c r="O60" s="17" t="s">
        <v>12650</v>
      </c>
      <c r="P60" s="22" t="s">
        <v>2042</v>
      </c>
      <c r="Q60" s="361" t="s">
        <v>10784</v>
      </c>
      <c r="R60" s="361" t="s">
        <v>3136</v>
      </c>
      <c r="S60" s="140">
        <v>42293</v>
      </c>
      <c r="T60" s="361">
        <v>861</v>
      </c>
      <c r="U60" s="22" t="s">
        <v>12428</v>
      </c>
      <c r="V60" s="14">
        <v>42317</v>
      </c>
      <c r="W60" s="285" t="s">
        <v>12677</v>
      </c>
    </row>
    <row r="61" spans="1:23" s="375" customFormat="1" ht="62.25" customHeight="1" x14ac:dyDescent="0.2">
      <c r="A61" s="358">
        <v>54</v>
      </c>
      <c r="B61" s="358">
        <v>51</v>
      </c>
      <c r="C61" s="363" t="s">
        <v>12678</v>
      </c>
      <c r="D61" s="363" t="s">
        <v>12679</v>
      </c>
      <c r="E61" s="22" t="s">
        <v>12423</v>
      </c>
      <c r="F61" s="361" t="s">
        <v>12680</v>
      </c>
      <c r="G61" s="373">
        <v>2130</v>
      </c>
      <c r="H61" s="17">
        <f t="shared" si="4"/>
        <v>2130</v>
      </c>
      <c r="I61" s="40">
        <v>296709</v>
      </c>
      <c r="J61" s="360"/>
      <c r="K61" s="368"/>
      <c r="L61" s="373"/>
      <c r="M61" s="368"/>
      <c r="N61" s="361" t="s">
        <v>12681</v>
      </c>
      <c r="O61" s="17" t="s">
        <v>4296</v>
      </c>
      <c r="P61" s="361" t="s">
        <v>2614</v>
      </c>
      <c r="Q61" s="361" t="s">
        <v>10784</v>
      </c>
      <c r="R61" s="361" t="s">
        <v>12682</v>
      </c>
      <c r="S61" s="140" t="s">
        <v>12683</v>
      </c>
      <c r="T61" s="363" t="s">
        <v>12684</v>
      </c>
      <c r="U61" s="22" t="s">
        <v>12428</v>
      </c>
      <c r="V61" s="14">
        <v>42409</v>
      </c>
      <c r="W61" s="285" t="s">
        <v>12685</v>
      </c>
    </row>
    <row r="62" spans="1:23" s="378" customFormat="1" ht="174.75" customHeight="1" x14ac:dyDescent="0.2">
      <c r="A62" s="358">
        <v>55</v>
      </c>
      <c r="B62" s="358">
        <v>52</v>
      </c>
      <c r="C62" s="361" t="s">
        <v>12686</v>
      </c>
      <c r="D62" s="361" t="s">
        <v>12687</v>
      </c>
      <c r="E62" s="22" t="s">
        <v>12688</v>
      </c>
      <c r="F62" s="22" t="s">
        <v>12689</v>
      </c>
      <c r="G62" s="139">
        <v>139879</v>
      </c>
      <c r="H62" s="17">
        <f t="shared" si="4"/>
        <v>139879</v>
      </c>
      <c r="I62" s="40">
        <v>4414581.24</v>
      </c>
      <c r="J62" s="377"/>
      <c r="K62" s="178"/>
      <c r="L62" s="139"/>
      <c r="M62" s="178"/>
      <c r="N62" s="361" t="s">
        <v>12690</v>
      </c>
      <c r="O62" s="17" t="s">
        <v>4877</v>
      </c>
      <c r="P62" s="22" t="s">
        <v>2614</v>
      </c>
      <c r="Q62" s="361" t="s">
        <v>10784</v>
      </c>
      <c r="R62" s="361" t="s">
        <v>12691</v>
      </c>
      <c r="S62" s="140" t="s">
        <v>12692</v>
      </c>
      <c r="T62" s="361" t="s">
        <v>12693</v>
      </c>
      <c r="U62" s="22" t="s">
        <v>12694</v>
      </c>
      <c r="V62" s="14">
        <v>42782</v>
      </c>
      <c r="W62" s="285" t="s">
        <v>12695</v>
      </c>
    </row>
    <row r="63" spans="1:23" s="378" customFormat="1" ht="40.9" customHeight="1" x14ac:dyDescent="0.2">
      <c r="A63" s="358">
        <v>56</v>
      </c>
      <c r="B63" s="358">
        <v>53</v>
      </c>
      <c r="C63" s="361" t="s">
        <v>12696</v>
      </c>
      <c r="D63" s="361" t="s">
        <v>12697</v>
      </c>
      <c r="E63" s="22" t="s">
        <v>12688</v>
      </c>
      <c r="F63" s="22" t="s">
        <v>12689</v>
      </c>
      <c r="G63" s="139">
        <v>10121</v>
      </c>
      <c r="H63" s="17">
        <f t="shared" si="4"/>
        <v>10121</v>
      </c>
      <c r="I63" s="40">
        <v>299379.18</v>
      </c>
      <c r="J63" s="377"/>
      <c r="K63" s="178"/>
      <c r="L63" s="139"/>
      <c r="M63" s="178"/>
      <c r="N63" s="361" t="s">
        <v>12698</v>
      </c>
      <c r="O63" s="17" t="s">
        <v>4877</v>
      </c>
      <c r="P63" s="22" t="s">
        <v>2614</v>
      </c>
      <c r="Q63" s="361" t="s">
        <v>10784</v>
      </c>
      <c r="R63" s="361" t="s">
        <v>12682</v>
      </c>
      <c r="S63" s="140" t="s">
        <v>12699</v>
      </c>
      <c r="T63" s="361" t="s">
        <v>12700</v>
      </c>
      <c r="U63" s="22" t="s">
        <v>12694</v>
      </c>
      <c r="V63" s="14">
        <v>42782</v>
      </c>
      <c r="W63" s="285" t="s">
        <v>12701</v>
      </c>
    </row>
    <row r="64" spans="1:23" s="378" customFormat="1" ht="53.25" customHeight="1" x14ac:dyDescent="0.2">
      <c r="A64" s="358">
        <v>57</v>
      </c>
      <c r="B64" s="358">
        <v>54</v>
      </c>
      <c r="C64" s="361" t="s">
        <v>12702</v>
      </c>
      <c r="D64" s="361" t="s">
        <v>12703</v>
      </c>
      <c r="E64" s="22" t="s">
        <v>12423</v>
      </c>
      <c r="F64" s="361" t="s">
        <v>12704</v>
      </c>
      <c r="G64" s="139">
        <v>227</v>
      </c>
      <c r="H64" s="17">
        <f t="shared" si="4"/>
        <v>227</v>
      </c>
      <c r="I64" s="40">
        <v>66962.73</v>
      </c>
      <c r="J64" s="377"/>
      <c r="K64" s="178"/>
      <c r="L64" s="139"/>
      <c r="M64" s="178"/>
      <c r="N64" s="361" t="s">
        <v>12705</v>
      </c>
      <c r="O64" s="22" t="s">
        <v>4296</v>
      </c>
      <c r="P64" s="22" t="s">
        <v>2614</v>
      </c>
      <c r="Q64" s="361" t="s">
        <v>10784</v>
      </c>
      <c r="R64" s="361" t="s">
        <v>12682</v>
      </c>
      <c r="S64" s="140" t="s">
        <v>12706</v>
      </c>
      <c r="T64" s="361" t="s">
        <v>12707</v>
      </c>
      <c r="U64" s="22"/>
      <c r="V64" s="14"/>
      <c r="W64" s="285"/>
    </row>
    <row r="65" spans="1:55" s="378" customFormat="1" ht="60" customHeight="1" x14ac:dyDescent="0.2">
      <c r="A65" s="358">
        <v>58</v>
      </c>
      <c r="B65" s="358">
        <v>55</v>
      </c>
      <c r="C65" s="361" t="s">
        <v>12708</v>
      </c>
      <c r="D65" s="361" t="s">
        <v>12709</v>
      </c>
      <c r="E65" s="22" t="s">
        <v>12423</v>
      </c>
      <c r="F65" s="361" t="s">
        <v>12710</v>
      </c>
      <c r="G65" s="139">
        <v>120</v>
      </c>
      <c r="H65" s="17">
        <f t="shared" si="4"/>
        <v>120</v>
      </c>
      <c r="I65" s="40">
        <v>38899.199999999997</v>
      </c>
      <c r="J65" s="377"/>
      <c r="K65" s="178"/>
      <c r="L65" s="139"/>
      <c r="M65" s="178"/>
      <c r="N65" s="361" t="s">
        <v>12711</v>
      </c>
      <c r="O65" s="22" t="s">
        <v>4296</v>
      </c>
      <c r="P65" s="22" t="s">
        <v>2614</v>
      </c>
      <c r="Q65" s="361" t="s">
        <v>10784</v>
      </c>
      <c r="R65" s="361" t="s">
        <v>12682</v>
      </c>
      <c r="S65" s="140" t="s">
        <v>12706</v>
      </c>
      <c r="T65" s="361" t="s">
        <v>12707</v>
      </c>
      <c r="U65" s="22"/>
      <c r="V65" s="14"/>
      <c r="W65" s="285"/>
    </row>
    <row r="66" spans="1:55" s="378" customFormat="1" ht="58.15" customHeight="1" x14ac:dyDescent="0.2">
      <c r="A66" s="358">
        <v>59</v>
      </c>
      <c r="B66" s="358">
        <v>56</v>
      </c>
      <c r="C66" s="361" t="s">
        <v>12712</v>
      </c>
      <c r="D66" s="361" t="s">
        <v>12713</v>
      </c>
      <c r="E66" s="22" t="s">
        <v>12423</v>
      </c>
      <c r="F66" s="361" t="s">
        <v>12714</v>
      </c>
      <c r="G66" s="139">
        <v>154</v>
      </c>
      <c r="H66" s="17">
        <f t="shared" si="4"/>
        <v>154</v>
      </c>
      <c r="I66" s="40">
        <v>45428.46</v>
      </c>
      <c r="J66" s="377"/>
      <c r="K66" s="178"/>
      <c r="L66" s="139"/>
      <c r="M66" s="178"/>
      <c r="N66" s="361" t="s">
        <v>12715</v>
      </c>
      <c r="O66" s="22" t="s">
        <v>4296</v>
      </c>
      <c r="P66" s="22" t="s">
        <v>2614</v>
      </c>
      <c r="Q66" s="361" t="s">
        <v>10784</v>
      </c>
      <c r="R66" s="361" t="s">
        <v>12682</v>
      </c>
      <c r="S66" s="140" t="s">
        <v>12706</v>
      </c>
      <c r="T66" s="361" t="s">
        <v>12707</v>
      </c>
      <c r="U66" s="22"/>
      <c r="V66" s="14"/>
      <c r="W66" s="285"/>
    </row>
    <row r="67" spans="1:55" s="378" customFormat="1" ht="55.9" customHeight="1" x14ac:dyDescent="0.2">
      <c r="A67" s="358">
        <v>60</v>
      </c>
      <c r="B67" s="358">
        <v>57</v>
      </c>
      <c r="C67" s="361" t="s">
        <v>12716</v>
      </c>
      <c r="D67" s="361" t="s">
        <v>12717</v>
      </c>
      <c r="E67" s="22" t="s">
        <v>12423</v>
      </c>
      <c r="F67" s="361" t="s">
        <v>12718</v>
      </c>
      <c r="G67" s="139">
        <v>394</v>
      </c>
      <c r="H67" s="17">
        <f t="shared" si="4"/>
        <v>394</v>
      </c>
      <c r="I67" s="40">
        <v>116226.06</v>
      </c>
      <c r="J67" s="377"/>
      <c r="K67" s="178"/>
      <c r="L67" s="139"/>
      <c r="M67" s="178"/>
      <c r="N67" s="361" t="s">
        <v>12719</v>
      </c>
      <c r="O67" s="22" t="s">
        <v>4296</v>
      </c>
      <c r="P67" s="22" t="s">
        <v>2614</v>
      </c>
      <c r="Q67" s="361" t="s">
        <v>10784</v>
      </c>
      <c r="R67" s="361" t="s">
        <v>12682</v>
      </c>
      <c r="S67" s="140" t="s">
        <v>12706</v>
      </c>
      <c r="T67" s="361" t="s">
        <v>12707</v>
      </c>
      <c r="U67" s="22"/>
      <c r="V67" s="14"/>
      <c r="W67" s="285"/>
    </row>
    <row r="68" spans="1:55" s="378" customFormat="1" ht="52.5" customHeight="1" x14ac:dyDescent="0.2">
      <c r="A68" s="358">
        <v>61</v>
      </c>
      <c r="B68" s="358">
        <v>58</v>
      </c>
      <c r="C68" s="361" t="s">
        <v>12720</v>
      </c>
      <c r="D68" s="361" t="s">
        <v>12721</v>
      </c>
      <c r="E68" s="22" t="s">
        <v>12423</v>
      </c>
      <c r="F68" s="361" t="s">
        <v>12722</v>
      </c>
      <c r="G68" s="139">
        <v>161</v>
      </c>
      <c r="H68" s="17">
        <f t="shared" si="4"/>
        <v>161</v>
      </c>
      <c r="I68" s="40">
        <v>60246.2</v>
      </c>
      <c r="J68" s="377"/>
      <c r="K68" s="178"/>
      <c r="L68" s="139"/>
      <c r="M68" s="178"/>
      <c r="N68" s="361" t="s">
        <v>12723</v>
      </c>
      <c r="O68" s="22" t="s">
        <v>4296</v>
      </c>
      <c r="P68" s="22" t="s">
        <v>2614</v>
      </c>
      <c r="Q68" s="361" t="s">
        <v>10784</v>
      </c>
      <c r="R68" s="361" t="s">
        <v>12682</v>
      </c>
      <c r="S68" s="140" t="s">
        <v>12706</v>
      </c>
      <c r="T68" s="361" t="s">
        <v>12707</v>
      </c>
      <c r="U68" s="22"/>
      <c r="V68" s="14"/>
      <c r="W68" s="285"/>
    </row>
    <row r="69" spans="1:55" s="378" customFormat="1" ht="57.6" customHeight="1" x14ac:dyDescent="0.2">
      <c r="A69" s="358">
        <v>62</v>
      </c>
      <c r="B69" s="358">
        <v>59</v>
      </c>
      <c r="C69" s="361" t="s">
        <v>12724</v>
      </c>
      <c r="D69" s="361" t="s">
        <v>12725</v>
      </c>
      <c r="E69" s="22" t="s">
        <v>12423</v>
      </c>
      <c r="F69" s="361" t="s">
        <v>12726</v>
      </c>
      <c r="G69" s="139">
        <v>287</v>
      </c>
      <c r="H69" s="17">
        <f t="shared" si="4"/>
        <v>287</v>
      </c>
      <c r="I69" s="40">
        <v>84662.13</v>
      </c>
      <c r="J69" s="377"/>
      <c r="K69" s="178"/>
      <c r="L69" s="139"/>
      <c r="M69" s="178"/>
      <c r="N69" s="361" t="s">
        <v>12727</v>
      </c>
      <c r="O69" s="22" t="s">
        <v>4296</v>
      </c>
      <c r="P69" s="22" t="s">
        <v>2614</v>
      </c>
      <c r="Q69" s="361" t="s">
        <v>10784</v>
      </c>
      <c r="R69" s="361" t="s">
        <v>12682</v>
      </c>
      <c r="S69" s="140" t="s">
        <v>12706</v>
      </c>
      <c r="T69" s="361" t="s">
        <v>12707</v>
      </c>
      <c r="U69" s="22"/>
      <c r="V69" s="14"/>
      <c r="W69" s="285"/>
    </row>
    <row r="70" spans="1:55" s="378" customFormat="1" ht="55.5" customHeight="1" x14ac:dyDescent="0.2">
      <c r="A70" s="358">
        <v>63</v>
      </c>
      <c r="B70" s="358">
        <v>60</v>
      </c>
      <c r="C70" s="361" t="s">
        <v>12728</v>
      </c>
      <c r="D70" s="361" t="s">
        <v>12729</v>
      </c>
      <c r="E70" s="22" t="s">
        <v>12423</v>
      </c>
      <c r="F70" s="361" t="s">
        <v>12730</v>
      </c>
      <c r="G70" s="139">
        <v>190</v>
      </c>
      <c r="H70" s="17">
        <f t="shared" si="4"/>
        <v>190</v>
      </c>
      <c r="I70" s="40">
        <v>56048.1</v>
      </c>
      <c r="J70" s="377"/>
      <c r="K70" s="178"/>
      <c r="L70" s="139"/>
      <c r="M70" s="178"/>
      <c r="N70" s="361" t="s">
        <v>12731</v>
      </c>
      <c r="O70" s="22" t="s">
        <v>4296</v>
      </c>
      <c r="P70" s="22" t="s">
        <v>2614</v>
      </c>
      <c r="Q70" s="361" t="s">
        <v>10784</v>
      </c>
      <c r="R70" s="361" t="s">
        <v>12682</v>
      </c>
      <c r="S70" s="140" t="s">
        <v>12706</v>
      </c>
      <c r="T70" s="361" t="s">
        <v>12707</v>
      </c>
      <c r="U70" s="22"/>
      <c r="V70" s="14"/>
      <c r="W70" s="285"/>
    </row>
    <row r="71" spans="1:55" s="378" customFormat="1" ht="76.5" customHeight="1" x14ac:dyDescent="0.2">
      <c r="A71" s="358">
        <v>64</v>
      </c>
      <c r="B71" s="358">
        <v>61</v>
      </c>
      <c r="C71" s="361" t="s">
        <v>12732</v>
      </c>
      <c r="D71" s="361" t="s">
        <v>12733</v>
      </c>
      <c r="E71" s="22" t="s">
        <v>12423</v>
      </c>
      <c r="F71" s="361" t="s">
        <v>12734</v>
      </c>
      <c r="G71" s="139">
        <v>1070</v>
      </c>
      <c r="H71" s="17">
        <f t="shared" si="4"/>
        <v>1070</v>
      </c>
      <c r="I71" s="40">
        <v>299043.59999999998</v>
      </c>
      <c r="J71" s="377"/>
      <c r="K71" s="178"/>
      <c r="L71" s="139"/>
      <c r="M71" s="178"/>
      <c r="N71" s="361" t="s">
        <v>12735</v>
      </c>
      <c r="O71" s="17" t="s">
        <v>12650</v>
      </c>
      <c r="P71" s="22" t="s">
        <v>2042</v>
      </c>
      <c r="Q71" s="361" t="s">
        <v>10784</v>
      </c>
      <c r="R71" s="361" t="s">
        <v>3136</v>
      </c>
      <c r="S71" s="140">
        <v>42928</v>
      </c>
      <c r="T71" s="361">
        <v>628</v>
      </c>
      <c r="U71" s="22" t="s">
        <v>12694</v>
      </c>
      <c r="V71" s="14">
        <v>42920</v>
      </c>
      <c r="W71" s="285"/>
    </row>
    <row r="72" spans="1:55" s="378" customFormat="1" ht="73.5" customHeight="1" x14ac:dyDescent="0.2">
      <c r="A72" s="358">
        <v>65</v>
      </c>
      <c r="B72" s="358">
        <v>62</v>
      </c>
      <c r="C72" s="361" t="s">
        <v>12736</v>
      </c>
      <c r="D72" s="361" t="s">
        <v>12737</v>
      </c>
      <c r="E72" s="22" t="s">
        <v>12423</v>
      </c>
      <c r="F72" s="361" t="s">
        <v>12738</v>
      </c>
      <c r="G72" s="139">
        <v>3688</v>
      </c>
      <c r="H72" s="17">
        <f t="shared" si="4"/>
        <v>3688</v>
      </c>
      <c r="I72" s="40">
        <v>4830505.5199999996</v>
      </c>
      <c r="J72" s="377"/>
      <c r="K72" s="178"/>
      <c r="L72" s="139"/>
      <c r="M72" s="178"/>
      <c r="N72" s="361" t="s">
        <v>12739</v>
      </c>
      <c r="O72" s="22" t="s">
        <v>8293</v>
      </c>
      <c r="P72" s="22" t="s">
        <v>12427</v>
      </c>
      <c r="Q72" s="361"/>
      <c r="R72" s="361" t="s">
        <v>3136</v>
      </c>
      <c r="S72" s="140" t="s">
        <v>12740</v>
      </c>
      <c r="T72" s="361" t="s">
        <v>12741</v>
      </c>
      <c r="U72" s="22" t="s">
        <v>12742</v>
      </c>
      <c r="V72" s="14" t="s">
        <v>12743</v>
      </c>
      <c r="W72" s="285" t="s">
        <v>12744</v>
      </c>
    </row>
    <row r="73" spans="1:55" s="378" customFormat="1" ht="75.75" customHeight="1" x14ac:dyDescent="0.2">
      <c r="A73" s="358">
        <v>66</v>
      </c>
      <c r="B73" s="358">
        <v>63</v>
      </c>
      <c r="C73" s="361" t="s">
        <v>12745</v>
      </c>
      <c r="D73" s="361" t="s">
        <v>12746</v>
      </c>
      <c r="E73" s="22" t="s">
        <v>12423</v>
      </c>
      <c r="F73" s="361" t="s">
        <v>12747</v>
      </c>
      <c r="G73" s="139">
        <v>34</v>
      </c>
      <c r="H73" s="17">
        <f t="shared" si="4"/>
        <v>34</v>
      </c>
      <c r="I73" s="40">
        <v>15.64</v>
      </c>
      <c r="J73" s="377"/>
      <c r="K73" s="178"/>
      <c r="L73" s="139"/>
      <c r="M73" s="178"/>
      <c r="N73" s="361" t="s">
        <v>12748</v>
      </c>
      <c r="O73" s="17" t="s">
        <v>12749</v>
      </c>
      <c r="P73" s="22" t="s">
        <v>2614</v>
      </c>
      <c r="Q73" s="361" t="s">
        <v>10784</v>
      </c>
      <c r="R73" s="361" t="s">
        <v>12682</v>
      </c>
      <c r="S73" s="140" t="s">
        <v>12750</v>
      </c>
      <c r="T73" s="361" t="s">
        <v>12751</v>
      </c>
      <c r="U73" s="22" t="s">
        <v>12694</v>
      </c>
      <c r="V73" s="14">
        <v>42923</v>
      </c>
      <c r="W73" s="285" t="s">
        <v>12752</v>
      </c>
    </row>
    <row r="74" spans="1:55" s="378" customFormat="1" ht="78" customHeight="1" x14ac:dyDescent="0.2">
      <c r="A74" s="358">
        <v>67</v>
      </c>
      <c r="B74" s="358">
        <v>64</v>
      </c>
      <c r="C74" s="361" t="s">
        <v>12753</v>
      </c>
      <c r="D74" s="361" t="s">
        <v>12754</v>
      </c>
      <c r="E74" s="22" t="s">
        <v>12423</v>
      </c>
      <c r="F74" s="361" t="s">
        <v>12654</v>
      </c>
      <c r="G74" s="139">
        <v>600</v>
      </c>
      <c r="H74" s="17">
        <f t="shared" si="4"/>
        <v>600</v>
      </c>
      <c r="I74" s="40">
        <v>38034</v>
      </c>
      <c r="J74" s="377"/>
      <c r="K74" s="178"/>
      <c r="L74" s="139"/>
      <c r="M74" s="178"/>
      <c r="N74" s="361" t="s">
        <v>12755</v>
      </c>
      <c r="O74" s="17" t="s">
        <v>12650</v>
      </c>
      <c r="P74" s="22" t="s">
        <v>2042</v>
      </c>
      <c r="Q74" s="361" t="s">
        <v>10784</v>
      </c>
      <c r="R74" s="361" t="s">
        <v>3136</v>
      </c>
      <c r="S74" s="140">
        <v>43095</v>
      </c>
      <c r="T74" s="361">
        <v>1173</v>
      </c>
      <c r="U74" s="22" t="s">
        <v>12694</v>
      </c>
      <c r="V74" s="14">
        <v>43081</v>
      </c>
      <c r="W74" s="285" t="s">
        <v>12756</v>
      </c>
    </row>
    <row r="75" spans="1:55" s="378" customFormat="1" ht="156" customHeight="1" x14ac:dyDescent="0.2">
      <c r="A75" s="358">
        <v>68</v>
      </c>
      <c r="B75" s="358">
        <v>65</v>
      </c>
      <c r="C75" s="361" t="s">
        <v>12757</v>
      </c>
      <c r="D75" s="361" t="s">
        <v>12758</v>
      </c>
      <c r="E75" s="22" t="s">
        <v>12423</v>
      </c>
      <c r="F75" s="361" t="s">
        <v>12759</v>
      </c>
      <c r="G75" s="139">
        <v>49</v>
      </c>
      <c r="H75" s="17">
        <f t="shared" si="4"/>
        <v>49</v>
      </c>
      <c r="I75" s="40">
        <v>17328.36</v>
      </c>
      <c r="J75" s="377"/>
      <c r="K75" s="178"/>
      <c r="L75" s="139"/>
      <c r="M75" s="178"/>
      <c r="N75" s="361" t="s">
        <v>12760</v>
      </c>
      <c r="O75" s="17" t="s">
        <v>4296</v>
      </c>
      <c r="P75" s="22" t="s">
        <v>2614</v>
      </c>
      <c r="Q75" s="361" t="s">
        <v>10784</v>
      </c>
      <c r="R75" s="22" t="s">
        <v>12761</v>
      </c>
      <c r="S75" s="140">
        <v>43439</v>
      </c>
      <c r="T75" s="361">
        <v>47</v>
      </c>
      <c r="U75" s="22" t="s">
        <v>12762</v>
      </c>
      <c r="V75" s="14" t="s">
        <v>12763</v>
      </c>
      <c r="W75" s="285" t="s">
        <v>12764</v>
      </c>
    </row>
    <row r="76" spans="1:55" s="378" customFormat="1" ht="70.5" customHeight="1" x14ac:dyDescent="0.2">
      <c r="A76" s="358">
        <v>69</v>
      </c>
      <c r="B76" s="358">
        <v>66</v>
      </c>
      <c r="C76" s="361" t="s">
        <v>12765</v>
      </c>
      <c r="D76" s="361" t="s">
        <v>12766</v>
      </c>
      <c r="E76" s="22" t="s">
        <v>12423</v>
      </c>
      <c r="F76" s="361" t="s">
        <v>12767</v>
      </c>
      <c r="G76" s="139">
        <v>29</v>
      </c>
      <c r="H76" s="17">
        <f t="shared" si="4"/>
        <v>29</v>
      </c>
      <c r="I76" s="40">
        <v>10255.56</v>
      </c>
      <c r="J76" s="377"/>
      <c r="K76" s="178"/>
      <c r="L76" s="139"/>
      <c r="M76" s="178"/>
      <c r="N76" s="361" t="s">
        <v>12768</v>
      </c>
      <c r="O76" s="17" t="s">
        <v>4296</v>
      </c>
      <c r="P76" s="22" t="s">
        <v>2614</v>
      </c>
      <c r="Q76" s="361" t="s">
        <v>10784</v>
      </c>
      <c r="R76" s="22" t="s">
        <v>12761</v>
      </c>
      <c r="S76" s="140">
        <v>43439</v>
      </c>
      <c r="T76" s="361">
        <v>47</v>
      </c>
      <c r="U76" s="22" t="s">
        <v>12762</v>
      </c>
      <c r="V76" s="14" t="s">
        <v>12763</v>
      </c>
      <c r="W76" s="285" t="s">
        <v>12769</v>
      </c>
    </row>
    <row r="77" spans="1:55" s="378" customFormat="1" ht="82.5" customHeight="1" x14ac:dyDescent="0.2">
      <c r="A77" s="358">
        <v>70</v>
      </c>
      <c r="B77" s="358">
        <v>67</v>
      </c>
      <c r="C77" s="361" t="s">
        <v>12770</v>
      </c>
      <c r="D77" s="361" t="s">
        <v>12771</v>
      </c>
      <c r="E77" s="22" t="s">
        <v>12423</v>
      </c>
      <c r="F77" s="361" t="s">
        <v>12772</v>
      </c>
      <c r="G77" s="139">
        <v>26</v>
      </c>
      <c r="H77" s="17">
        <f t="shared" si="4"/>
        <v>26</v>
      </c>
      <c r="I77" s="40">
        <v>7517.12</v>
      </c>
      <c r="J77" s="377"/>
      <c r="K77" s="178"/>
      <c r="L77" s="139"/>
      <c r="M77" s="178"/>
      <c r="N77" s="361" t="s">
        <v>12773</v>
      </c>
      <c r="O77" s="17" t="s">
        <v>4296</v>
      </c>
      <c r="P77" s="22" t="s">
        <v>2614</v>
      </c>
      <c r="Q77" s="361" t="s">
        <v>10784</v>
      </c>
      <c r="R77" s="22" t="s">
        <v>12761</v>
      </c>
      <c r="S77" s="140">
        <v>43439</v>
      </c>
      <c r="T77" s="361">
        <v>47</v>
      </c>
      <c r="U77" s="22" t="s">
        <v>12762</v>
      </c>
      <c r="V77" s="14" t="s">
        <v>12774</v>
      </c>
      <c r="W77" s="285" t="s">
        <v>12775</v>
      </c>
    </row>
    <row r="78" spans="1:55" s="22" customFormat="1" ht="119.25" customHeight="1" x14ac:dyDescent="0.2">
      <c r="A78" s="358">
        <v>71</v>
      </c>
      <c r="B78" s="358">
        <v>68</v>
      </c>
      <c r="C78" s="22" t="s">
        <v>12776</v>
      </c>
      <c r="D78" s="22" t="s">
        <v>12777</v>
      </c>
      <c r="E78" s="22" t="s">
        <v>12423</v>
      </c>
      <c r="F78" s="22" t="s">
        <v>12778</v>
      </c>
      <c r="G78" s="22">
        <v>53</v>
      </c>
      <c r="H78" s="17">
        <f t="shared" si="4"/>
        <v>53</v>
      </c>
      <c r="I78" s="40">
        <v>14593.55</v>
      </c>
      <c r="J78" s="379"/>
      <c r="L78" s="285"/>
      <c r="N78" s="22" t="s">
        <v>12779</v>
      </c>
      <c r="O78" s="22" t="s">
        <v>4296</v>
      </c>
      <c r="P78" s="22" t="s">
        <v>2614</v>
      </c>
      <c r="Q78" s="22" t="s">
        <v>10784</v>
      </c>
      <c r="R78" s="22" t="s">
        <v>12761</v>
      </c>
      <c r="S78" s="22">
        <v>43439</v>
      </c>
      <c r="T78" s="22">
        <v>47</v>
      </c>
      <c r="U78" s="22" t="s">
        <v>12762</v>
      </c>
      <c r="V78" s="22" t="s">
        <v>12774</v>
      </c>
      <c r="W78" s="22" t="s">
        <v>12780</v>
      </c>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row>
    <row r="79" spans="1:55" s="378" customFormat="1" ht="78" customHeight="1" x14ac:dyDescent="0.2">
      <c r="A79" s="358">
        <v>72</v>
      </c>
      <c r="B79" s="358">
        <v>69</v>
      </c>
      <c r="C79" s="361" t="s">
        <v>12781</v>
      </c>
      <c r="D79" s="361" t="s">
        <v>12782</v>
      </c>
      <c r="E79" s="22" t="s">
        <v>12423</v>
      </c>
      <c r="F79" s="361" t="s">
        <v>12783</v>
      </c>
      <c r="G79" s="139">
        <v>1122</v>
      </c>
      <c r="H79" s="17">
        <f t="shared" si="4"/>
        <v>1122</v>
      </c>
      <c r="I79" s="40">
        <v>396784.08</v>
      </c>
      <c r="J79" s="377"/>
      <c r="K79" s="178"/>
      <c r="L79" s="139"/>
      <c r="M79" s="178"/>
      <c r="N79" s="361" t="s">
        <v>12784</v>
      </c>
      <c r="O79" s="17" t="s">
        <v>4296</v>
      </c>
      <c r="P79" s="22" t="s">
        <v>2614</v>
      </c>
      <c r="Q79" s="361" t="s">
        <v>10784</v>
      </c>
      <c r="R79" s="22" t="s">
        <v>12761</v>
      </c>
      <c r="S79" s="140">
        <v>43439</v>
      </c>
      <c r="T79" s="361">
        <v>47</v>
      </c>
      <c r="U79" s="22" t="s">
        <v>12762</v>
      </c>
      <c r="V79" s="14" t="s">
        <v>12774</v>
      </c>
      <c r="W79" s="285" t="s">
        <v>12785</v>
      </c>
    </row>
    <row r="80" spans="1:55" s="378" customFormat="1" ht="64.5" customHeight="1" x14ac:dyDescent="0.2">
      <c r="A80" s="358">
        <v>73</v>
      </c>
      <c r="B80" s="358">
        <v>70</v>
      </c>
      <c r="C80" s="361" t="s">
        <v>12786</v>
      </c>
      <c r="D80" s="361" t="s">
        <v>12787</v>
      </c>
      <c r="E80" s="22" t="s">
        <v>12423</v>
      </c>
      <c r="F80" s="361" t="s">
        <v>12788</v>
      </c>
      <c r="G80" s="139">
        <v>29</v>
      </c>
      <c r="H80" s="17">
        <f t="shared" si="4"/>
        <v>29</v>
      </c>
      <c r="I80" s="40">
        <v>10255.56</v>
      </c>
      <c r="J80" s="377"/>
      <c r="K80" s="178"/>
      <c r="L80" s="139"/>
      <c r="M80" s="178"/>
      <c r="N80" s="361" t="s">
        <v>12789</v>
      </c>
      <c r="O80" s="17" t="s">
        <v>12650</v>
      </c>
      <c r="P80" s="22" t="s">
        <v>2042</v>
      </c>
      <c r="Q80" s="361" t="s">
        <v>10784</v>
      </c>
      <c r="R80" s="361" t="s">
        <v>3136</v>
      </c>
      <c r="S80" s="140">
        <v>43228</v>
      </c>
      <c r="T80" s="361">
        <v>398</v>
      </c>
      <c r="U80" s="22" t="s">
        <v>12762</v>
      </c>
      <c r="V80" s="14" t="s">
        <v>12774</v>
      </c>
      <c r="W80" s="285" t="s">
        <v>12790</v>
      </c>
    </row>
    <row r="81" spans="1:23" s="378" customFormat="1" ht="113.25" customHeight="1" x14ac:dyDescent="0.2">
      <c r="A81" s="358">
        <v>74</v>
      </c>
      <c r="B81" s="358">
        <v>71</v>
      </c>
      <c r="C81" s="361" t="s">
        <v>12791</v>
      </c>
      <c r="D81" s="361" t="s">
        <v>12792</v>
      </c>
      <c r="E81" s="22" t="s">
        <v>12423</v>
      </c>
      <c r="F81" s="361" t="s">
        <v>12793</v>
      </c>
      <c r="G81" s="139">
        <v>26</v>
      </c>
      <c r="H81" s="17">
        <f t="shared" si="4"/>
        <v>26</v>
      </c>
      <c r="I81" s="40">
        <v>7517.12</v>
      </c>
      <c r="J81" s="377"/>
      <c r="K81" s="178"/>
      <c r="L81" s="139"/>
      <c r="M81" s="178"/>
      <c r="N81" s="361" t="s">
        <v>12794</v>
      </c>
      <c r="O81" s="17" t="s">
        <v>12650</v>
      </c>
      <c r="P81" s="22" t="s">
        <v>2042</v>
      </c>
      <c r="Q81" s="361" t="s">
        <v>10784</v>
      </c>
      <c r="R81" s="361" t="s">
        <v>3136</v>
      </c>
      <c r="S81" s="140">
        <v>43228</v>
      </c>
      <c r="T81" s="361">
        <v>398</v>
      </c>
      <c r="U81" s="22" t="s">
        <v>12762</v>
      </c>
      <c r="V81" s="14" t="s">
        <v>12774</v>
      </c>
      <c r="W81" s="285" t="s">
        <v>12795</v>
      </c>
    </row>
    <row r="82" spans="1:23" s="378" customFormat="1" ht="117.75" customHeight="1" x14ac:dyDescent="0.2">
      <c r="A82" s="358">
        <v>75</v>
      </c>
      <c r="B82" s="358">
        <v>72</v>
      </c>
      <c r="C82" s="361" t="s">
        <v>12796</v>
      </c>
      <c r="D82" s="361" t="s">
        <v>12797</v>
      </c>
      <c r="E82" s="22" t="s">
        <v>12423</v>
      </c>
      <c r="F82" s="361" t="s">
        <v>12798</v>
      </c>
      <c r="G82" s="139">
        <v>25</v>
      </c>
      <c r="H82" s="17">
        <f t="shared" si="4"/>
        <v>25</v>
      </c>
      <c r="I82" s="40">
        <v>7228</v>
      </c>
      <c r="J82" s="377"/>
      <c r="K82" s="178"/>
      <c r="L82" s="139"/>
      <c r="M82" s="178"/>
      <c r="N82" s="361" t="s">
        <v>12799</v>
      </c>
      <c r="O82" s="17" t="s">
        <v>12650</v>
      </c>
      <c r="P82" s="22" t="s">
        <v>2042</v>
      </c>
      <c r="Q82" s="361" t="s">
        <v>10784</v>
      </c>
      <c r="R82" s="361" t="s">
        <v>3136</v>
      </c>
      <c r="S82" s="140">
        <v>43228</v>
      </c>
      <c r="T82" s="361">
        <v>398</v>
      </c>
      <c r="U82" s="22" t="s">
        <v>12762</v>
      </c>
      <c r="V82" s="14" t="s">
        <v>12800</v>
      </c>
      <c r="W82" s="285" t="s">
        <v>12801</v>
      </c>
    </row>
    <row r="83" spans="1:23" s="378" customFormat="1" ht="79.5" customHeight="1" x14ac:dyDescent="0.2">
      <c r="A83" s="358">
        <v>76</v>
      </c>
      <c r="B83" s="358">
        <v>73</v>
      </c>
      <c r="C83" s="361" t="s">
        <v>12802</v>
      </c>
      <c r="D83" s="361" t="s">
        <v>12803</v>
      </c>
      <c r="E83" s="22" t="s">
        <v>12423</v>
      </c>
      <c r="F83" s="361" t="s">
        <v>12804</v>
      </c>
      <c r="G83" s="139">
        <v>49</v>
      </c>
      <c r="H83" s="17">
        <f t="shared" si="4"/>
        <v>49</v>
      </c>
      <c r="I83" s="40">
        <v>10483.549999999999</v>
      </c>
      <c r="J83" s="377"/>
      <c r="K83" s="178"/>
      <c r="L83" s="139"/>
      <c r="M83" s="178"/>
      <c r="N83" s="361" t="s">
        <v>12805</v>
      </c>
      <c r="O83" s="17" t="s">
        <v>12650</v>
      </c>
      <c r="P83" s="22" t="s">
        <v>2042</v>
      </c>
      <c r="Q83" s="361" t="s">
        <v>10784</v>
      </c>
      <c r="R83" s="361" t="s">
        <v>3136</v>
      </c>
      <c r="S83" s="140">
        <v>43228</v>
      </c>
      <c r="T83" s="361">
        <v>398</v>
      </c>
      <c r="U83" s="22" t="s">
        <v>12762</v>
      </c>
      <c r="V83" s="14" t="s">
        <v>12800</v>
      </c>
      <c r="W83" s="285" t="s">
        <v>12806</v>
      </c>
    </row>
    <row r="84" spans="1:23" s="378" customFormat="1" ht="73.5" customHeight="1" x14ac:dyDescent="0.2">
      <c r="A84" s="358">
        <v>77</v>
      </c>
      <c r="B84" s="358">
        <v>74</v>
      </c>
      <c r="C84" s="361" t="s">
        <v>12807</v>
      </c>
      <c r="D84" s="361" t="s">
        <v>12808</v>
      </c>
      <c r="E84" s="22" t="s">
        <v>12423</v>
      </c>
      <c r="F84" s="361" t="s">
        <v>12809</v>
      </c>
      <c r="G84" s="139">
        <v>25</v>
      </c>
      <c r="H84" s="17">
        <f t="shared" si="4"/>
        <v>25</v>
      </c>
      <c r="I84" s="40">
        <v>3291.25</v>
      </c>
      <c r="J84" s="377"/>
      <c r="K84" s="178"/>
      <c r="L84" s="139"/>
      <c r="M84" s="178"/>
      <c r="N84" s="361" t="s">
        <v>12810</v>
      </c>
      <c r="O84" s="17" t="s">
        <v>12650</v>
      </c>
      <c r="P84" s="22" t="s">
        <v>2042</v>
      </c>
      <c r="Q84" s="361" t="s">
        <v>10784</v>
      </c>
      <c r="R84" s="361" t="s">
        <v>3136</v>
      </c>
      <c r="S84" s="140">
        <v>43228</v>
      </c>
      <c r="T84" s="361">
        <v>398</v>
      </c>
      <c r="U84" s="22" t="s">
        <v>12762</v>
      </c>
      <c r="V84" s="14" t="s">
        <v>12800</v>
      </c>
      <c r="W84" s="285" t="s">
        <v>12811</v>
      </c>
    </row>
    <row r="85" spans="1:23" s="378" customFormat="1" ht="118.5" customHeight="1" x14ac:dyDescent="0.2">
      <c r="A85" s="358">
        <v>78</v>
      </c>
      <c r="B85" s="358">
        <v>75</v>
      </c>
      <c r="C85" s="361" t="s">
        <v>12812</v>
      </c>
      <c r="D85" s="361" t="s">
        <v>12813</v>
      </c>
      <c r="E85" s="22" t="s">
        <v>12423</v>
      </c>
      <c r="F85" s="361" t="s">
        <v>12814</v>
      </c>
      <c r="G85" s="139">
        <v>29</v>
      </c>
      <c r="H85" s="17">
        <f t="shared" si="4"/>
        <v>29</v>
      </c>
      <c r="I85" s="40">
        <v>9262.89</v>
      </c>
      <c r="J85" s="377"/>
      <c r="K85" s="178"/>
      <c r="L85" s="139"/>
      <c r="M85" s="178"/>
      <c r="N85" s="361" t="s">
        <v>12815</v>
      </c>
      <c r="O85" s="17" t="s">
        <v>12650</v>
      </c>
      <c r="P85" s="22" t="s">
        <v>2042</v>
      </c>
      <c r="Q85" s="361" t="s">
        <v>10784</v>
      </c>
      <c r="R85" s="361" t="s">
        <v>3136</v>
      </c>
      <c r="S85" s="140">
        <v>43228</v>
      </c>
      <c r="T85" s="361">
        <v>398</v>
      </c>
      <c r="U85" s="22" t="s">
        <v>12762</v>
      </c>
      <c r="V85" s="14" t="s">
        <v>12816</v>
      </c>
      <c r="W85" s="285" t="s">
        <v>12817</v>
      </c>
    </row>
    <row r="86" spans="1:23" s="378" customFormat="1" ht="64.150000000000006" customHeight="1" x14ac:dyDescent="0.2">
      <c r="A86" s="358">
        <v>79</v>
      </c>
      <c r="B86" s="358">
        <v>76</v>
      </c>
      <c r="C86" s="361" t="s">
        <v>12818</v>
      </c>
      <c r="D86" s="361" t="s">
        <v>12819</v>
      </c>
      <c r="E86" s="22" t="s">
        <v>12423</v>
      </c>
      <c r="F86" s="361" t="s">
        <v>12820</v>
      </c>
      <c r="G86" s="139">
        <v>17</v>
      </c>
      <c r="H86" s="17">
        <f t="shared" si="4"/>
        <v>17</v>
      </c>
      <c r="I86" s="40">
        <v>4915.04</v>
      </c>
      <c r="J86" s="377"/>
      <c r="K86" s="178"/>
      <c r="L86" s="139"/>
      <c r="M86" s="178"/>
      <c r="N86" s="361" t="s">
        <v>12821</v>
      </c>
      <c r="O86" s="17" t="s">
        <v>12650</v>
      </c>
      <c r="P86" s="22" t="s">
        <v>2042</v>
      </c>
      <c r="Q86" s="361" t="s">
        <v>10784</v>
      </c>
      <c r="R86" s="361" t="s">
        <v>3136</v>
      </c>
      <c r="S86" s="140">
        <v>43228</v>
      </c>
      <c r="T86" s="361">
        <v>398</v>
      </c>
      <c r="U86" s="22" t="s">
        <v>12762</v>
      </c>
      <c r="V86" s="14" t="s">
        <v>12822</v>
      </c>
      <c r="W86" s="285" t="s">
        <v>12823</v>
      </c>
    </row>
    <row r="87" spans="1:23" s="378" customFormat="1" ht="115.5" customHeight="1" x14ac:dyDescent="0.2">
      <c r="A87" s="358">
        <v>80</v>
      </c>
      <c r="B87" s="358">
        <v>77</v>
      </c>
      <c r="C87" s="361" t="s">
        <v>12824</v>
      </c>
      <c r="D87" s="361" t="s">
        <v>12825</v>
      </c>
      <c r="E87" s="22" t="s">
        <v>12423</v>
      </c>
      <c r="F87" s="361" t="s">
        <v>12826</v>
      </c>
      <c r="G87" s="139">
        <v>204</v>
      </c>
      <c r="H87" s="17">
        <f t="shared" si="4"/>
        <v>204</v>
      </c>
      <c r="I87" s="40">
        <v>27721.56</v>
      </c>
      <c r="J87" s="377"/>
      <c r="K87" s="178"/>
      <c r="L87" s="139"/>
      <c r="M87" s="178"/>
      <c r="N87" s="361" t="s">
        <v>12827</v>
      </c>
      <c r="O87" s="17" t="s">
        <v>12650</v>
      </c>
      <c r="P87" s="22" t="s">
        <v>2042</v>
      </c>
      <c r="Q87" s="361" t="s">
        <v>10784</v>
      </c>
      <c r="R87" s="361" t="s">
        <v>3136</v>
      </c>
      <c r="S87" s="140">
        <v>43228</v>
      </c>
      <c r="T87" s="361">
        <v>398</v>
      </c>
      <c r="U87" s="22" t="s">
        <v>12762</v>
      </c>
      <c r="V87" s="14" t="s">
        <v>12822</v>
      </c>
      <c r="W87" s="285" t="s">
        <v>12828</v>
      </c>
    </row>
    <row r="88" spans="1:23" s="378" customFormat="1" ht="161.25" customHeight="1" x14ac:dyDescent="0.2">
      <c r="A88" s="358">
        <v>81</v>
      </c>
      <c r="B88" s="358">
        <v>78</v>
      </c>
      <c r="C88" s="361" t="s">
        <v>12829</v>
      </c>
      <c r="D88" s="361" t="s">
        <v>12830</v>
      </c>
      <c r="E88" s="22" t="s">
        <v>12423</v>
      </c>
      <c r="F88" s="361" t="s">
        <v>12831</v>
      </c>
      <c r="G88" s="139">
        <v>28</v>
      </c>
      <c r="H88" s="17">
        <f t="shared" si="4"/>
        <v>28</v>
      </c>
      <c r="I88" s="40">
        <v>8095.36</v>
      </c>
      <c r="J88" s="377"/>
      <c r="K88" s="178"/>
      <c r="L88" s="139"/>
      <c r="M88" s="178"/>
      <c r="N88" s="361" t="s">
        <v>12832</v>
      </c>
      <c r="O88" s="17" t="s">
        <v>12650</v>
      </c>
      <c r="P88" s="22" t="s">
        <v>2042</v>
      </c>
      <c r="Q88" s="361" t="s">
        <v>10784</v>
      </c>
      <c r="R88" s="361" t="s">
        <v>3136</v>
      </c>
      <c r="S88" s="140">
        <v>43228</v>
      </c>
      <c r="T88" s="361">
        <v>398</v>
      </c>
      <c r="U88" s="22" t="s">
        <v>12762</v>
      </c>
      <c r="V88" s="14" t="s">
        <v>12822</v>
      </c>
      <c r="W88" s="285" t="s">
        <v>12833</v>
      </c>
    </row>
    <row r="89" spans="1:23" s="378" customFormat="1" ht="161.25" customHeight="1" x14ac:dyDescent="0.2">
      <c r="A89" s="358">
        <v>82</v>
      </c>
      <c r="B89" s="358">
        <v>79</v>
      </c>
      <c r="C89" s="361" t="s">
        <v>12834</v>
      </c>
      <c r="D89" s="361" t="s">
        <v>12835</v>
      </c>
      <c r="E89" s="22" t="s">
        <v>12423</v>
      </c>
      <c r="F89" s="361" t="s">
        <v>12836</v>
      </c>
      <c r="G89" s="139">
        <v>27</v>
      </c>
      <c r="H89" s="17">
        <f t="shared" si="4"/>
        <v>27</v>
      </c>
      <c r="I89" s="40">
        <v>5776.65</v>
      </c>
      <c r="J89" s="377"/>
      <c r="K89" s="178"/>
      <c r="L89" s="139"/>
      <c r="M89" s="178"/>
      <c r="N89" s="361" t="s">
        <v>12837</v>
      </c>
      <c r="O89" s="17" t="s">
        <v>12650</v>
      </c>
      <c r="P89" s="22" t="s">
        <v>2042</v>
      </c>
      <c r="Q89" s="361" t="s">
        <v>10784</v>
      </c>
      <c r="R89" s="361" t="s">
        <v>3136</v>
      </c>
      <c r="S89" s="140">
        <v>43228</v>
      </c>
      <c r="T89" s="361">
        <v>398</v>
      </c>
      <c r="U89" s="22" t="s">
        <v>12762</v>
      </c>
      <c r="V89" s="14" t="s">
        <v>12822</v>
      </c>
      <c r="W89" s="285" t="s">
        <v>12838</v>
      </c>
    </row>
    <row r="90" spans="1:23" s="378" customFormat="1" ht="127.5" customHeight="1" x14ac:dyDescent="0.2">
      <c r="A90" s="358">
        <v>83</v>
      </c>
      <c r="B90" s="358">
        <v>80</v>
      </c>
      <c r="C90" s="361" t="s">
        <v>12839</v>
      </c>
      <c r="D90" s="361" t="s">
        <v>12840</v>
      </c>
      <c r="E90" s="22" t="s">
        <v>12423</v>
      </c>
      <c r="F90" s="361" t="s">
        <v>12841</v>
      </c>
      <c r="G90" s="139">
        <v>26</v>
      </c>
      <c r="H90" s="17">
        <f t="shared" si="4"/>
        <v>26</v>
      </c>
      <c r="I90" s="40">
        <v>7517.12</v>
      </c>
      <c r="J90" s="377"/>
      <c r="K90" s="178"/>
      <c r="L90" s="139"/>
      <c r="M90" s="178"/>
      <c r="N90" s="361" t="s">
        <v>12842</v>
      </c>
      <c r="O90" s="17" t="s">
        <v>12650</v>
      </c>
      <c r="P90" s="22" t="s">
        <v>2042</v>
      </c>
      <c r="Q90" s="361" t="s">
        <v>10784</v>
      </c>
      <c r="R90" s="361" t="s">
        <v>3136</v>
      </c>
      <c r="S90" s="140">
        <v>43228</v>
      </c>
      <c r="T90" s="361">
        <v>398</v>
      </c>
      <c r="U90" s="22" t="s">
        <v>12762</v>
      </c>
      <c r="V90" s="14" t="s">
        <v>12822</v>
      </c>
      <c r="W90" s="285" t="s">
        <v>12843</v>
      </c>
    </row>
    <row r="91" spans="1:23" s="378" customFormat="1" ht="127.5" customHeight="1" x14ac:dyDescent="0.2">
      <c r="A91" s="358">
        <v>84</v>
      </c>
      <c r="B91" s="358">
        <v>81</v>
      </c>
      <c r="C91" s="361" t="s">
        <v>12844</v>
      </c>
      <c r="D91" s="361" t="s">
        <v>12845</v>
      </c>
      <c r="E91" s="22" t="s">
        <v>12423</v>
      </c>
      <c r="F91" s="361" t="s">
        <v>12846</v>
      </c>
      <c r="G91" s="139">
        <v>17</v>
      </c>
      <c r="H91" s="17">
        <f t="shared" si="4"/>
        <v>17</v>
      </c>
      <c r="I91" s="40">
        <v>6192.93</v>
      </c>
      <c r="J91" s="377"/>
      <c r="K91" s="178"/>
      <c r="L91" s="139"/>
      <c r="M91" s="178"/>
      <c r="N91" s="361" t="s">
        <v>12847</v>
      </c>
      <c r="O91" s="17" t="s">
        <v>12650</v>
      </c>
      <c r="P91" s="22" t="s">
        <v>2042</v>
      </c>
      <c r="Q91" s="361" t="s">
        <v>10784</v>
      </c>
      <c r="R91" s="361" t="s">
        <v>3136</v>
      </c>
      <c r="S91" s="140">
        <v>43228</v>
      </c>
      <c r="T91" s="361">
        <v>398</v>
      </c>
      <c r="U91" s="22" t="s">
        <v>12762</v>
      </c>
      <c r="V91" s="14" t="s">
        <v>12822</v>
      </c>
      <c r="W91" s="285" t="s">
        <v>12848</v>
      </c>
    </row>
    <row r="92" spans="1:23" s="378" customFormat="1" ht="110.25" customHeight="1" x14ac:dyDescent="0.2">
      <c r="A92" s="358">
        <v>85</v>
      </c>
      <c r="B92" s="358">
        <v>82</v>
      </c>
      <c r="C92" s="361" t="s">
        <v>12849</v>
      </c>
      <c r="D92" s="361" t="s">
        <v>12850</v>
      </c>
      <c r="E92" s="22" t="s">
        <v>12423</v>
      </c>
      <c r="F92" s="361" t="s">
        <v>12851</v>
      </c>
      <c r="G92" s="139">
        <v>31</v>
      </c>
      <c r="H92" s="17">
        <f t="shared" si="4"/>
        <v>31</v>
      </c>
      <c r="I92" s="40">
        <v>8962.7199999999993</v>
      </c>
      <c r="J92" s="377"/>
      <c r="K92" s="178"/>
      <c r="L92" s="139"/>
      <c r="M92" s="178"/>
      <c r="N92" s="361" t="s">
        <v>12852</v>
      </c>
      <c r="O92" s="17" t="s">
        <v>12650</v>
      </c>
      <c r="P92" s="22" t="s">
        <v>2042</v>
      </c>
      <c r="Q92" s="361" t="s">
        <v>10784</v>
      </c>
      <c r="R92" s="361" t="s">
        <v>3136</v>
      </c>
      <c r="S92" s="140">
        <v>43228</v>
      </c>
      <c r="T92" s="361">
        <v>398</v>
      </c>
      <c r="U92" s="22" t="s">
        <v>12762</v>
      </c>
      <c r="V92" s="14" t="s">
        <v>12853</v>
      </c>
      <c r="W92" s="285" t="s">
        <v>12854</v>
      </c>
    </row>
    <row r="93" spans="1:23" s="378" customFormat="1" ht="108.75" customHeight="1" x14ac:dyDescent="0.2">
      <c r="A93" s="358">
        <v>86</v>
      </c>
      <c r="B93" s="358">
        <v>83</v>
      </c>
      <c r="C93" s="361" t="s">
        <v>12855</v>
      </c>
      <c r="D93" s="361" t="s">
        <v>12856</v>
      </c>
      <c r="E93" s="22" t="s">
        <v>12423</v>
      </c>
      <c r="F93" s="361" t="s">
        <v>12857</v>
      </c>
      <c r="G93" s="139">
        <v>22</v>
      </c>
      <c r="H93" s="17">
        <f t="shared" si="4"/>
        <v>22</v>
      </c>
      <c r="I93" s="40">
        <v>6360.64</v>
      </c>
      <c r="J93" s="377"/>
      <c r="K93" s="178"/>
      <c r="L93" s="139"/>
      <c r="M93" s="178"/>
      <c r="N93" s="361" t="s">
        <v>12858</v>
      </c>
      <c r="O93" s="17" t="s">
        <v>12650</v>
      </c>
      <c r="P93" s="22" t="s">
        <v>2042</v>
      </c>
      <c r="Q93" s="361" t="s">
        <v>10784</v>
      </c>
      <c r="R93" s="361" t="s">
        <v>3136</v>
      </c>
      <c r="S93" s="140">
        <v>43228</v>
      </c>
      <c r="T93" s="361">
        <v>398</v>
      </c>
      <c r="U93" s="22" t="s">
        <v>12762</v>
      </c>
      <c r="V93" s="14" t="s">
        <v>12853</v>
      </c>
      <c r="W93" s="285" t="s">
        <v>12859</v>
      </c>
    </row>
    <row r="94" spans="1:23" s="378" customFormat="1" ht="119.25" customHeight="1" x14ac:dyDescent="0.2">
      <c r="A94" s="358">
        <v>87</v>
      </c>
      <c r="B94" s="358">
        <v>84</v>
      </c>
      <c r="C94" s="361" t="s">
        <v>12860</v>
      </c>
      <c r="D94" s="361" t="s">
        <v>12861</v>
      </c>
      <c r="E94" s="22" t="s">
        <v>12423</v>
      </c>
      <c r="F94" s="361" t="s">
        <v>12862</v>
      </c>
      <c r="G94" s="139">
        <v>100</v>
      </c>
      <c r="H94" s="17">
        <f t="shared" si="4"/>
        <v>100</v>
      </c>
      <c r="I94" s="40">
        <v>31941</v>
      </c>
      <c r="J94" s="377"/>
      <c r="K94" s="178"/>
      <c r="L94" s="139"/>
      <c r="M94" s="178"/>
      <c r="N94" s="361" t="s">
        <v>12863</v>
      </c>
      <c r="O94" s="17" t="s">
        <v>12650</v>
      </c>
      <c r="P94" s="22" t="s">
        <v>2042</v>
      </c>
      <c r="Q94" s="361" t="s">
        <v>10784</v>
      </c>
      <c r="R94" s="361" t="s">
        <v>3136</v>
      </c>
      <c r="S94" s="140">
        <v>43228</v>
      </c>
      <c r="T94" s="361">
        <v>398</v>
      </c>
      <c r="U94" s="22" t="s">
        <v>12762</v>
      </c>
      <c r="V94" s="14" t="s">
        <v>12853</v>
      </c>
      <c r="W94" s="285" t="s">
        <v>12864</v>
      </c>
    </row>
    <row r="95" spans="1:23" s="378" customFormat="1" ht="114.75" customHeight="1" x14ac:dyDescent="0.2">
      <c r="A95" s="358">
        <v>88</v>
      </c>
      <c r="B95" s="358">
        <v>85</v>
      </c>
      <c r="C95" s="361" t="s">
        <v>12865</v>
      </c>
      <c r="D95" s="361" t="s">
        <v>12866</v>
      </c>
      <c r="E95" s="22" t="s">
        <v>12867</v>
      </c>
      <c r="F95" s="361" t="s">
        <v>12868</v>
      </c>
      <c r="G95" s="139">
        <v>486</v>
      </c>
      <c r="H95" s="17">
        <f t="shared" si="4"/>
        <v>486</v>
      </c>
      <c r="I95" s="40">
        <v>67699.8</v>
      </c>
      <c r="J95" s="377"/>
      <c r="K95" s="178"/>
      <c r="L95" s="139"/>
      <c r="M95" s="178"/>
      <c r="N95" s="361" t="s">
        <v>12869</v>
      </c>
      <c r="O95" s="17" t="s">
        <v>12650</v>
      </c>
      <c r="P95" s="22" t="s">
        <v>2042</v>
      </c>
      <c r="Q95" s="361" t="s">
        <v>10784</v>
      </c>
      <c r="R95" s="361" t="s">
        <v>3136</v>
      </c>
      <c r="S95" s="140">
        <v>43612</v>
      </c>
      <c r="T95" s="361">
        <v>439</v>
      </c>
      <c r="U95" s="22" t="s">
        <v>12870</v>
      </c>
      <c r="V95" s="14" t="s">
        <v>12871</v>
      </c>
      <c r="W95" s="285" t="s">
        <v>12872</v>
      </c>
    </row>
    <row r="96" spans="1:23" s="378" customFormat="1" ht="88.5" customHeight="1" x14ac:dyDescent="0.2">
      <c r="A96" s="358">
        <v>89</v>
      </c>
      <c r="B96" s="358">
        <v>86</v>
      </c>
      <c r="C96" s="361" t="s">
        <v>12873</v>
      </c>
      <c r="D96" s="361" t="s">
        <v>12874</v>
      </c>
      <c r="E96" s="22" t="s">
        <v>12867</v>
      </c>
      <c r="F96" s="361" t="s">
        <v>12875</v>
      </c>
      <c r="G96" s="139">
        <v>158510</v>
      </c>
      <c r="H96" s="17">
        <f t="shared" si="4"/>
        <v>158510</v>
      </c>
      <c r="I96" s="40">
        <v>39587872.5</v>
      </c>
      <c r="J96" s="377"/>
      <c r="K96" s="178"/>
      <c r="L96" s="139"/>
      <c r="M96" s="178"/>
      <c r="N96" s="361" t="s">
        <v>12876</v>
      </c>
      <c r="O96" s="17" t="s">
        <v>4296</v>
      </c>
      <c r="P96" s="17" t="s">
        <v>2614</v>
      </c>
      <c r="Q96" s="17" t="s">
        <v>10784</v>
      </c>
      <c r="R96" s="361" t="s">
        <v>3136</v>
      </c>
      <c r="S96" s="140">
        <v>43759</v>
      </c>
      <c r="T96" s="361">
        <v>860</v>
      </c>
      <c r="U96" s="22" t="s">
        <v>12694</v>
      </c>
      <c r="V96" s="14">
        <v>43747</v>
      </c>
      <c r="W96" s="285" t="s">
        <v>12877</v>
      </c>
    </row>
    <row r="97" spans="1:55" s="378" customFormat="1" ht="78.75" customHeight="1" x14ac:dyDescent="0.2">
      <c r="A97" s="358">
        <v>90</v>
      </c>
      <c r="B97" s="358">
        <v>87</v>
      </c>
      <c r="C97" s="361" t="s">
        <v>12878</v>
      </c>
      <c r="D97" s="361" t="s">
        <v>12879</v>
      </c>
      <c r="E97" s="22" t="s">
        <v>12867</v>
      </c>
      <c r="F97" s="361" t="s">
        <v>12880</v>
      </c>
      <c r="G97" s="139">
        <v>580</v>
      </c>
      <c r="H97" s="17">
        <f t="shared" si="4"/>
        <v>580</v>
      </c>
      <c r="I97" s="40">
        <v>37787</v>
      </c>
      <c r="J97" s="377"/>
      <c r="K97" s="178"/>
      <c r="L97" s="139"/>
      <c r="M97" s="178"/>
      <c r="N97" s="361" t="s">
        <v>12881</v>
      </c>
      <c r="O97" s="17" t="s">
        <v>12650</v>
      </c>
      <c r="P97" s="22" t="s">
        <v>2042</v>
      </c>
      <c r="Q97" s="361" t="s">
        <v>10784</v>
      </c>
      <c r="R97" s="361" t="s">
        <v>3136</v>
      </c>
      <c r="S97" s="140">
        <v>43854</v>
      </c>
      <c r="T97" s="361">
        <v>57</v>
      </c>
      <c r="U97" s="22" t="s">
        <v>12694</v>
      </c>
      <c r="V97" s="14">
        <v>43815</v>
      </c>
      <c r="W97" s="285" t="s">
        <v>12882</v>
      </c>
    </row>
    <row r="98" spans="1:55" s="378" customFormat="1" ht="81.75" customHeight="1" x14ac:dyDescent="0.2">
      <c r="A98" s="358">
        <v>91</v>
      </c>
      <c r="B98" s="358">
        <v>88</v>
      </c>
      <c r="C98" s="361" t="s">
        <v>12883</v>
      </c>
      <c r="D98" s="361" t="s">
        <v>12884</v>
      </c>
      <c r="E98" s="22" t="s">
        <v>12867</v>
      </c>
      <c r="F98" s="361" t="s">
        <v>12885</v>
      </c>
      <c r="G98" s="139">
        <v>8499</v>
      </c>
      <c r="H98" s="17">
        <f t="shared" si="4"/>
        <v>8499</v>
      </c>
      <c r="I98" s="40">
        <v>7851971.1299999999</v>
      </c>
      <c r="J98" s="377"/>
      <c r="K98" s="178"/>
      <c r="L98" s="139"/>
      <c r="M98" s="178"/>
      <c r="N98" s="361" t="s">
        <v>12886</v>
      </c>
      <c r="O98" s="361" t="s">
        <v>792</v>
      </c>
      <c r="P98" s="22" t="s">
        <v>12427</v>
      </c>
      <c r="Q98" s="374"/>
      <c r="R98" s="363" t="s">
        <v>3136</v>
      </c>
      <c r="S98" s="140" t="s">
        <v>12887</v>
      </c>
      <c r="T98" s="361" t="s">
        <v>12888</v>
      </c>
      <c r="U98" s="22" t="s">
        <v>12694</v>
      </c>
      <c r="V98" s="14" t="s">
        <v>12889</v>
      </c>
      <c r="W98" s="285" t="s">
        <v>12890</v>
      </c>
    </row>
    <row r="99" spans="1:55" s="22" customFormat="1" ht="72" customHeight="1" x14ac:dyDescent="0.2">
      <c r="A99" s="358">
        <v>92</v>
      </c>
      <c r="B99" s="358">
        <v>89</v>
      </c>
      <c r="C99" s="22" t="s">
        <v>12891</v>
      </c>
      <c r="D99" s="22" t="s">
        <v>12892</v>
      </c>
      <c r="E99" s="22" t="s">
        <v>12893</v>
      </c>
      <c r="F99" s="22" t="s">
        <v>12894</v>
      </c>
      <c r="G99" s="285">
        <v>428970</v>
      </c>
      <c r="H99" s="17">
        <f t="shared" si="4"/>
        <v>428970</v>
      </c>
      <c r="I99" s="40">
        <f>123701212.7/431210*G99</f>
        <v>123058623.90000001</v>
      </c>
      <c r="J99" s="379"/>
      <c r="L99" s="285"/>
      <c r="N99" s="22" t="s">
        <v>12895</v>
      </c>
      <c r="O99" s="17" t="s">
        <v>4296</v>
      </c>
      <c r="P99" s="22" t="s">
        <v>2614</v>
      </c>
      <c r="Q99" s="22" t="s">
        <v>10784</v>
      </c>
      <c r="R99" s="22" t="s">
        <v>7610</v>
      </c>
      <c r="S99" s="22" t="s">
        <v>12896</v>
      </c>
      <c r="T99" s="22" t="s">
        <v>12897</v>
      </c>
      <c r="U99" s="22" t="s">
        <v>12694</v>
      </c>
      <c r="V99" s="22">
        <v>44050</v>
      </c>
      <c r="W99" s="22" t="s">
        <v>12898</v>
      </c>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row>
    <row r="100" spans="1:55" s="378" customFormat="1" ht="63.75" x14ac:dyDescent="0.2">
      <c r="A100" s="358">
        <v>94</v>
      </c>
      <c r="B100" s="358">
        <v>90</v>
      </c>
      <c r="C100" s="12" t="s">
        <v>12899</v>
      </c>
      <c r="D100" s="12" t="s">
        <v>12900</v>
      </c>
      <c r="E100" s="22" t="s">
        <v>12867</v>
      </c>
      <c r="F100" s="22" t="s">
        <v>12483</v>
      </c>
      <c r="G100" s="289">
        <v>1253</v>
      </c>
      <c r="H100" s="40">
        <f>K100*G100/M100</f>
        <v>11.404994160884797</v>
      </c>
      <c r="I100" s="40">
        <f>(J100/G100)*(G100*K100/M100)</f>
        <v>24947.284227519405</v>
      </c>
      <c r="J100" s="174">
        <v>2740812.2</v>
      </c>
      <c r="K100" s="40">
        <v>53</v>
      </c>
      <c r="L100" s="285">
        <v>23</v>
      </c>
      <c r="M100" s="40">
        <f>4291.3+1531.5</f>
        <v>5822.8</v>
      </c>
      <c r="N100" s="203" t="s">
        <v>12901</v>
      </c>
      <c r="O100" s="17" t="s">
        <v>12650</v>
      </c>
      <c r="P100" s="22" t="s">
        <v>2042</v>
      </c>
      <c r="Q100" s="22" t="s">
        <v>10784</v>
      </c>
      <c r="R100" s="363" t="s">
        <v>3136</v>
      </c>
      <c r="S100" s="140" t="s">
        <v>12902</v>
      </c>
      <c r="T100" s="285" t="s">
        <v>12903</v>
      </c>
      <c r="U100" s="22" t="s">
        <v>12904</v>
      </c>
      <c r="V100" s="362">
        <v>44287</v>
      </c>
      <c r="W100" s="285" t="s">
        <v>12905</v>
      </c>
    </row>
    <row r="101" spans="1:55" s="378" customFormat="1" ht="72" customHeight="1" x14ac:dyDescent="0.2">
      <c r="A101" s="358">
        <v>95</v>
      </c>
      <c r="B101" s="358">
        <v>91</v>
      </c>
      <c r="C101" s="12" t="s">
        <v>12906</v>
      </c>
      <c r="D101" s="12" t="s">
        <v>12907</v>
      </c>
      <c r="E101" s="22" t="s">
        <v>12867</v>
      </c>
      <c r="F101" s="22" t="s">
        <v>12483</v>
      </c>
      <c r="G101" s="289">
        <v>1353</v>
      </c>
      <c r="H101" s="40">
        <f>K101*G101/M101</f>
        <v>11.576721226292543</v>
      </c>
      <c r="I101" s="40">
        <f>(J101/G101)*(G101*K101/M101)</f>
        <v>25322.92001039231</v>
      </c>
      <c r="J101" s="174">
        <v>2959552.2</v>
      </c>
      <c r="K101" s="40">
        <v>49.4</v>
      </c>
      <c r="L101" s="285">
        <v>57</v>
      </c>
      <c r="M101" s="40">
        <f>4240.2+1533.3</f>
        <v>5773.5</v>
      </c>
      <c r="N101" s="203" t="s">
        <v>12908</v>
      </c>
      <c r="O101" s="17" t="s">
        <v>12650</v>
      </c>
      <c r="P101" s="22" t="s">
        <v>2042</v>
      </c>
      <c r="Q101" s="22" t="s">
        <v>10784</v>
      </c>
      <c r="R101" s="363" t="s">
        <v>3136</v>
      </c>
      <c r="S101" s="140" t="s">
        <v>12902</v>
      </c>
      <c r="T101" s="285" t="s">
        <v>12903</v>
      </c>
      <c r="U101" s="22" t="s">
        <v>12904</v>
      </c>
      <c r="V101" s="362">
        <v>44288</v>
      </c>
      <c r="W101" s="285" t="s">
        <v>12909</v>
      </c>
    </row>
    <row r="102" spans="1:55" s="378" customFormat="1" ht="57" customHeight="1" x14ac:dyDescent="0.2">
      <c r="A102" s="358">
        <v>96</v>
      </c>
      <c r="B102" s="358">
        <v>92</v>
      </c>
      <c r="C102" s="12" t="s">
        <v>12910</v>
      </c>
      <c r="D102" s="12" t="s">
        <v>12911</v>
      </c>
      <c r="E102" s="22" t="s">
        <v>12867</v>
      </c>
      <c r="F102" s="22" t="s">
        <v>12483</v>
      </c>
      <c r="G102" s="289">
        <v>1467</v>
      </c>
      <c r="H102" s="40">
        <f>K102*G102/M102</f>
        <v>158.54579025110783</v>
      </c>
      <c r="I102" s="40">
        <f>(J102/G102)*(G102*K102/M102)</f>
        <v>378182.44440177258</v>
      </c>
      <c r="J102" s="174">
        <v>3499264.44</v>
      </c>
      <c r="K102" s="40">
        <v>43.9</v>
      </c>
      <c r="L102" s="285">
        <v>5</v>
      </c>
      <c r="M102" s="40">
        <f>368.5+37.7</f>
        <v>406.2</v>
      </c>
      <c r="N102" s="361" t="s">
        <v>12912</v>
      </c>
      <c r="O102" s="17" t="s">
        <v>12650</v>
      </c>
      <c r="P102" s="22" t="s">
        <v>2042</v>
      </c>
      <c r="Q102" s="22" t="s">
        <v>10784</v>
      </c>
      <c r="R102" s="363" t="s">
        <v>3136</v>
      </c>
      <c r="S102" s="140" t="s">
        <v>12902</v>
      </c>
      <c r="T102" s="285" t="s">
        <v>12903</v>
      </c>
      <c r="U102" s="22" t="s">
        <v>12904</v>
      </c>
      <c r="V102" s="362">
        <v>44287</v>
      </c>
      <c r="W102" s="285" t="s">
        <v>12913</v>
      </c>
    </row>
    <row r="103" spans="1:55" s="378" customFormat="1" ht="99" customHeight="1" x14ac:dyDescent="0.2">
      <c r="A103" s="358">
        <v>97</v>
      </c>
      <c r="B103" s="358">
        <v>93</v>
      </c>
      <c r="C103" s="12" t="s">
        <v>12914</v>
      </c>
      <c r="D103" s="12" t="s">
        <v>12915</v>
      </c>
      <c r="E103" s="22" t="s">
        <v>12867</v>
      </c>
      <c r="F103" s="22" t="s">
        <v>12916</v>
      </c>
      <c r="G103" s="289">
        <v>4130</v>
      </c>
      <c r="H103" s="40">
        <f>G103</f>
        <v>4130</v>
      </c>
      <c r="I103" s="40">
        <v>910128.1</v>
      </c>
      <c r="J103" s="174"/>
      <c r="K103" s="40"/>
      <c r="L103" s="285"/>
      <c r="M103" s="40"/>
      <c r="N103" s="361" t="s">
        <v>12917</v>
      </c>
      <c r="O103" s="17" t="s">
        <v>12650</v>
      </c>
      <c r="P103" s="22" t="s">
        <v>2042</v>
      </c>
      <c r="Q103" s="22" t="s">
        <v>10784</v>
      </c>
      <c r="R103" s="363" t="s">
        <v>3136</v>
      </c>
      <c r="S103" s="140">
        <v>44340</v>
      </c>
      <c r="T103" s="285">
        <v>389</v>
      </c>
      <c r="U103" s="22" t="s">
        <v>12904</v>
      </c>
      <c r="V103" s="362">
        <v>44327</v>
      </c>
      <c r="W103" s="285" t="s">
        <v>12918</v>
      </c>
    </row>
    <row r="104" spans="1:55" s="378" customFormat="1" ht="101.25" customHeight="1" x14ac:dyDescent="0.2">
      <c r="A104" s="358">
        <v>98</v>
      </c>
      <c r="B104" s="358">
        <v>94</v>
      </c>
      <c r="C104" s="361" t="s">
        <v>12919</v>
      </c>
      <c r="D104" s="361" t="s">
        <v>12920</v>
      </c>
      <c r="E104" s="22" t="s">
        <v>12423</v>
      </c>
      <c r="F104" s="361" t="s">
        <v>12921</v>
      </c>
      <c r="G104" s="139">
        <v>489</v>
      </c>
      <c r="H104" s="17">
        <f>G104</f>
        <v>489</v>
      </c>
      <c r="I104" s="40">
        <v>31858.35</v>
      </c>
      <c r="J104" s="377"/>
      <c r="K104" s="178"/>
      <c r="L104" s="139"/>
      <c r="M104" s="178"/>
      <c r="N104" s="361" t="s">
        <v>12922</v>
      </c>
      <c r="O104" s="17" t="s">
        <v>12650</v>
      </c>
      <c r="P104" s="22" t="s">
        <v>2042</v>
      </c>
      <c r="Q104" s="361" t="s">
        <v>10784</v>
      </c>
      <c r="R104" s="361" t="s">
        <v>3136</v>
      </c>
      <c r="S104" s="140">
        <v>44350</v>
      </c>
      <c r="T104" s="285">
        <v>421</v>
      </c>
      <c r="U104" s="22" t="s">
        <v>12923</v>
      </c>
      <c r="V104" s="14">
        <v>44335</v>
      </c>
      <c r="W104" s="285" t="s">
        <v>12924</v>
      </c>
    </row>
    <row r="105" spans="1:55" s="354" customFormat="1" ht="57" customHeight="1" x14ac:dyDescent="0.2">
      <c r="A105" s="358">
        <v>99</v>
      </c>
      <c r="B105" s="358">
        <v>95</v>
      </c>
      <c r="C105" s="12" t="s">
        <v>12925</v>
      </c>
      <c r="D105" s="22" t="s">
        <v>12636</v>
      </c>
      <c r="E105" s="22" t="s">
        <v>12423</v>
      </c>
      <c r="F105" s="22" t="s">
        <v>12637</v>
      </c>
      <c r="G105" s="285">
        <v>2854</v>
      </c>
      <c r="H105" s="17">
        <v>1159</v>
      </c>
      <c r="I105" s="40">
        <f>J105/G105*H105</f>
        <v>1654038.7278030834</v>
      </c>
      <c r="J105" s="174">
        <v>4073016.85</v>
      </c>
      <c r="K105" s="17"/>
      <c r="L105" s="285"/>
      <c r="M105" s="17"/>
      <c r="N105" s="22" t="s">
        <v>12638</v>
      </c>
      <c r="O105" s="22" t="s">
        <v>12926</v>
      </c>
      <c r="P105" s="22" t="s">
        <v>12927</v>
      </c>
      <c r="Q105" s="22"/>
      <c r="R105" s="361" t="s">
        <v>3136</v>
      </c>
      <c r="S105" s="140" t="s">
        <v>12928</v>
      </c>
      <c r="T105" s="285" t="s">
        <v>12929</v>
      </c>
      <c r="U105" s="22" t="s">
        <v>12428</v>
      </c>
      <c r="V105" s="14">
        <v>41101</v>
      </c>
      <c r="W105" s="285" t="s">
        <v>12930</v>
      </c>
    </row>
    <row r="106" spans="1:55" s="354" customFormat="1" ht="55.15" customHeight="1" x14ac:dyDescent="0.2">
      <c r="A106" s="358">
        <v>100</v>
      </c>
      <c r="B106" s="358">
        <v>96</v>
      </c>
      <c r="C106" s="12" t="s">
        <v>12931</v>
      </c>
      <c r="D106" s="22" t="s">
        <v>12932</v>
      </c>
      <c r="E106" s="22" t="s">
        <v>12423</v>
      </c>
      <c r="F106" s="22" t="s">
        <v>12933</v>
      </c>
      <c r="G106" s="285">
        <v>23063</v>
      </c>
      <c r="H106" s="17">
        <v>23063</v>
      </c>
      <c r="I106" s="40">
        <f t="shared" ref="I106:I111" si="5">J106/G106*H106</f>
        <v>30675635.039999999</v>
      </c>
      <c r="J106" s="174">
        <v>30675635.039999999</v>
      </c>
      <c r="K106" s="17"/>
      <c r="L106" s="285"/>
      <c r="M106" s="17"/>
      <c r="N106" s="22" t="s">
        <v>12934</v>
      </c>
      <c r="O106" s="22" t="s">
        <v>8293</v>
      </c>
      <c r="P106" s="22" t="s">
        <v>12427</v>
      </c>
      <c r="Q106" s="22"/>
      <c r="R106" s="361" t="s">
        <v>3136</v>
      </c>
      <c r="S106" s="140">
        <v>44557</v>
      </c>
      <c r="T106" s="285">
        <v>981</v>
      </c>
      <c r="U106" s="22" t="s">
        <v>12904</v>
      </c>
      <c r="V106" s="14">
        <v>44556</v>
      </c>
      <c r="W106" s="285" t="s">
        <v>12935</v>
      </c>
    </row>
    <row r="107" spans="1:55" s="354" customFormat="1" ht="61.5" customHeight="1" x14ac:dyDescent="0.2">
      <c r="A107" s="358">
        <v>102</v>
      </c>
      <c r="B107" s="358">
        <v>97</v>
      </c>
      <c r="C107" s="12" t="s">
        <v>12936</v>
      </c>
      <c r="D107" s="22" t="s">
        <v>12937</v>
      </c>
      <c r="E107" s="22" t="s">
        <v>12423</v>
      </c>
      <c r="F107" s="22" t="s">
        <v>12921</v>
      </c>
      <c r="G107" s="285">
        <v>824</v>
      </c>
      <c r="H107" s="17">
        <v>824</v>
      </c>
      <c r="I107" s="40">
        <f t="shared" si="5"/>
        <v>53683.599999999991</v>
      </c>
      <c r="J107" s="174">
        <v>53683.6</v>
      </c>
      <c r="K107" s="17"/>
      <c r="L107" s="285"/>
      <c r="M107" s="17"/>
      <c r="N107" s="361" t="s">
        <v>12938</v>
      </c>
      <c r="O107" s="17" t="s">
        <v>12650</v>
      </c>
      <c r="P107" s="22" t="s">
        <v>2042</v>
      </c>
      <c r="Q107" s="22" t="s">
        <v>10784</v>
      </c>
      <c r="R107" s="361" t="s">
        <v>3136</v>
      </c>
      <c r="S107" s="140">
        <v>44680</v>
      </c>
      <c r="T107" s="285">
        <v>329</v>
      </c>
      <c r="U107" s="22" t="s">
        <v>12904</v>
      </c>
      <c r="V107" s="14">
        <v>44160</v>
      </c>
      <c r="W107" s="285" t="s">
        <v>12939</v>
      </c>
    </row>
    <row r="108" spans="1:55" s="354" customFormat="1" ht="157.15" customHeight="1" x14ac:dyDescent="0.2">
      <c r="A108" s="358">
        <v>102</v>
      </c>
      <c r="B108" s="358">
        <v>98</v>
      </c>
      <c r="C108" s="12" t="s">
        <v>12940</v>
      </c>
      <c r="D108" s="22" t="s">
        <v>12941</v>
      </c>
      <c r="E108" s="22" t="s">
        <v>12423</v>
      </c>
      <c r="F108" s="380" t="s">
        <v>12942</v>
      </c>
      <c r="G108" s="285">
        <v>166</v>
      </c>
      <c r="H108" s="17">
        <v>166</v>
      </c>
      <c r="I108" s="40">
        <f>J108/G108*H108</f>
        <v>42510.94</v>
      </c>
      <c r="J108" s="174">
        <v>42510.94</v>
      </c>
      <c r="K108" s="17"/>
      <c r="L108" s="285"/>
      <c r="M108" s="17"/>
      <c r="N108" s="361" t="s">
        <v>12943</v>
      </c>
      <c r="O108" s="17" t="s">
        <v>4296</v>
      </c>
      <c r="P108" s="22" t="s">
        <v>2614</v>
      </c>
      <c r="Q108" s="22" t="s">
        <v>10784</v>
      </c>
      <c r="R108" s="361" t="s">
        <v>7610</v>
      </c>
      <c r="S108" s="140" t="s">
        <v>12944</v>
      </c>
      <c r="T108" s="285" t="s">
        <v>12945</v>
      </c>
      <c r="U108" s="22" t="s">
        <v>12904</v>
      </c>
      <c r="V108" s="14">
        <v>44676</v>
      </c>
      <c r="W108" s="285" t="s">
        <v>12946</v>
      </c>
    </row>
    <row r="109" spans="1:55" s="354" customFormat="1" ht="187.9" customHeight="1" x14ac:dyDescent="0.2">
      <c r="A109" s="358">
        <v>102</v>
      </c>
      <c r="B109" s="358">
        <v>99</v>
      </c>
      <c r="C109" s="12" t="s">
        <v>12947</v>
      </c>
      <c r="D109" s="22" t="s">
        <v>12948</v>
      </c>
      <c r="E109" s="22" t="s">
        <v>12423</v>
      </c>
      <c r="F109" s="380" t="s">
        <v>12942</v>
      </c>
      <c r="G109" s="285">
        <v>556</v>
      </c>
      <c r="H109" s="17">
        <v>556</v>
      </c>
      <c r="I109" s="40">
        <f>J109/G109*H109</f>
        <v>142386.04</v>
      </c>
      <c r="J109" s="174">
        <v>142386.04</v>
      </c>
      <c r="K109" s="17"/>
      <c r="L109" s="285"/>
      <c r="M109" s="17"/>
      <c r="N109" s="361" t="s">
        <v>12949</v>
      </c>
      <c r="O109" s="17" t="s">
        <v>4296</v>
      </c>
      <c r="P109" s="22" t="s">
        <v>2614</v>
      </c>
      <c r="Q109" s="22" t="s">
        <v>10784</v>
      </c>
      <c r="R109" s="361" t="s">
        <v>7610</v>
      </c>
      <c r="S109" s="140" t="s">
        <v>12944</v>
      </c>
      <c r="T109" s="285" t="s">
        <v>12945</v>
      </c>
      <c r="U109" s="22" t="s">
        <v>12904</v>
      </c>
      <c r="V109" s="14">
        <v>44676</v>
      </c>
      <c r="W109" s="285" t="s">
        <v>12950</v>
      </c>
    </row>
    <row r="110" spans="1:55" s="354" customFormat="1" ht="155.44999999999999" customHeight="1" x14ac:dyDescent="0.2">
      <c r="A110" s="358">
        <v>102</v>
      </c>
      <c r="B110" s="358">
        <v>100</v>
      </c>
      <c r="C110" s="12" t="s">
        <v>12951</v>
      </c>
      <c r="D110" s="22" t="s">
        <v>12952</v>
      </c>
      <c r="E110" s="22" t="s">
        <v>12423</v>
      </c>
      <c r="F110" s="380" t="s">
        <v>12942</v>
      </c>
      <c r="G110" s="285">
        <v>180</v>
      </c>
      <c r="H110" s="17">
        <v>180</v>
      </c>
      <c r="I110" s="40">
        <f t="shared" si="5"/>
        <v>58473.000000000007</v>
      </c>
      <c r="J110" s="174">
        <v>58473</v>
      </c>
      <c r="K110" s="17"/>
      <c r="L110" s="285"/>
      <c r="M110" s="17"/>
      <c r="N110" s="361" t="s">
        <v>12953</v>
      </c>
      <c r="O110" s="17" t="s">
        <v>4296</v>
      </c>
      <c r="P110" s="22" t="s">
        <v>2614</v>
      </c>
      <c r="Q110" s="22" t="s">
        <v>10784</v>
      </c>
      <c r="R110" s="361" t="s">
        <v>7610</v>
      </c>
      <c r="S110" s="140" t="s">
        <v>12944</v>
      </c>
      <c r="T110" s="285" t="s">
        <v>12945</v>
      </c>
      <c r="U110" s="22" t="s">
        <v>12904</v>
      </c>
      <c r="V110" s="14">
        <v>44676</v>
      </c>
      <c r="W110" s="285" t="s">
        <v>12954</v>
      </c>
    </row>
    <row r="111" spans="1:55" s="354" customFormat="1" ht="202.5" customHeight="1" x14ac:dyDescent="0.2">
      <c r="A111" s="358">
        <v>102</v>
      </c>
      <c r="B111" s="358">
        <v>101</v>
      </c>
      <c r="C111" s="12" t="s">
        <v>12955</v>
      </c>
      <c r="D111" s="22" t="s">
        <v>12956</v>
      </c>
      <c r="E111" s="22" t="s">
        <v>12423</v>
      </c>
      <c r="F111" s="380" t="s">
        <v>12942</v>
      </c>
      <c r="G111" s="285">
        <v>220</v>
      </c>
      <c r="H111" s="17">
        <v>220</v>
      </c>
      <c r="I111" s="40">
        <f t="shared" si="5"/>
        <v>71467</v>
      </c>
      <c r="J111" s="174">
        <v>71467</v>
      </c>
      <c r="K111" s="17"/>
      <c r="L111" s="285"/>
      <c r="M111" s="17"/>
      <c r="N111" s="361" t="s">
        <v>12957</v>
      </c>
      <c r="O111" s="17" t="s">
        <v>4296</v>
      </c>
      <c r="P111" s="22" t="s">
        <v>2614</v>
      </c>
      <c r="Q111" s="22" t="s">
        <v>10784</v>
      </c>
      <c r="R111" s="361" t="s">
        <v>7610</v>
      </c>
      <c r="S111" s="140" t="s">
        <v>12944</v>
      </c>
      <c r="T111" s="285" t="s">
        <v>12945</v>
      </c>
      <c r="U111" s="22" t="s">
        <v>12904</v>
      </c>
      <c r="V111" s="14">
        <v>44427</v>
      </c>
      <c r="W111" s="285" t="s">
        <v>12958</v>
      </c>
    </row>
    <row r="112" spans="1:55" s="354" customFormat="1" ht="202.5" customHeight="1" x14ac:dyDescent="0.2">
      <c r="A112" s="358">
        <v>102</v>
      </c>
      <c r="B112" s="358">
        <v>102</v>
      </c>
      <c r="C112" s="12" t="s">
        <v>12959</v>
      </c>
      <c r="D112" s="22" t="s">
        <v>12960</v>
      </c>
      <c r="E112" s="22" t="s">
        <v>12423</v>
      </c>
      <c r="F112" s="380" t="s">
        <v>12942</v>
      </c>
      <c r="G112" s="285">
        <v>800</v>
      </c>
      <c r="H112" s="17">
        <v>800</v>
      </c>
      <c r="I112" s="40">
        <v>259880</v>
      </c>
      <c r="J112" s="174">
        <v>259880</v>
      </c>
      <c r="K112" s="17"/>
      <c r="L112" s="285"/>
      <c r="M112" s="17"/>
      <c r="N112" s="361" t="s">
        <v>12961</v>
      </c>
      <c r="O112" s="17" t="s">
        <v>4296</v>
      </c>
      <c r="P112" s="22" t="s">
        <v>2614</v>
      </c>
      <c r="Q112" s="22" t="s">
        <v>10784</v>
      </c>
      <c r="R112" s="361" t="s">
        <v>7610</v>
      </c>
      <c r="S112" s="140" t="s">
        <v>12944</v>
      </c>
      <c r="T112" s="285" t="s">
        <v>12945</v>
      </c>
      <c r="U112" s="22" t="s">
        <v>12904</v>
      </c>
      <c r="V112" s="14">
        <v>44676</v>
      </c>
      <c r="W112" s="285" t="s">
        <v>12962</v>
      </c>
    </row>
    <row r="113" spans="1:23" s="354" customFormat="1" ht="102.75" customHeight="1" x14ac:dyDescent="0.2">
      <c r="A113" s="358">
        <v>103</v>
      </c>
      <c r="B113" s="358">
        <v>103</v>
      </c>
      <c r="C113" s="12" t="s">
        <v>12963</v>
      </c>
      <c r="D113" s="22" t="s">
        <v>12964</v>
      </c>
      <c r="E113" s="22" t="s">
        <v>12423</v>
      </c>
      <c r="F113" s="22" t="s">
        <v>12965</v>
      </c>
      <c r="G113" s="289">
        <v>1660</v>
      </c>
      <c r="H113" s="40">
        <v>1660</v>
      </c>
      <c r="I113" s="40">
        <v>1717651.8</v>
      </c>
      <c r="J113" s="174"/>
      <c r="K113" s="40"/>
      <c r="L113" s="289"/>
      <c r="M113" s="40"/>
      <c r="N113" s="22" t="s">
        <v>12966</v>
      </c>
      <c r="O113" s="285"/>
      <c r="P113" s="22" t="s">
        <v>2042</v>
      </c>
      <c r="Q113" s="22" t="s">
        <v>10784</v>
      </c>
      <c r="R113" s="361" t="s">
        <v>3136</v>
      </c>
      <c r="S113" s="140" t="s">
        <v>12967</v>
      </c>
      <c r="T113" s="363" t="s">
        <v>12968</v>
      </c>
      <c r="U113" s="22" t="s">
        <v>12969</v>
      </c>
      <c r="V113" s="140">
        <v>44187</v>
      </c>
      <c r="W113" s="361" t="s">
        <v>12970</v>
      </c>
    </row>
    <row r="114" spans="1:23" s="354" customFormat="1" ht="95.45" customHeight="1" x14ac:dyDescent="0.2">
      <c r="A114" s="358">
        <v>103</v>
      </c>
      <c r="B114" s="358">
        <v>104</v>
      </c>
      <c r="C114" s="12" t="s">
        <v>12971</v>
      </c>
      <c r="D114" s="22" t="s">
        <v>12972</v>
      </c>
      <c r="E114" s="380" t="s">
        <v>12973</v>
      </c>
      <c r="F114" s="22" t="s">
        <v>12974</v>
      </c>
      <c r="G114" s="289">
        <v>886</v>
      </c>
      <c r="H114" s="40">
        <v>886</v>
      </c>
      <c r="I114" s="40">
        <v>26071</v>
      </c>
      <c r="J114" s="174"/>
      <c r="K114" s="40"/>
      <c r="L114" s="289"/>
      <c r="M114" s="40"/>
      <c r="N114" s="22" t="s">
        <v>12975</v>
      </c>
      <c r="O114" s="17" t="s">
        <v>12650</v>
      </c>
      <c r="P114" s="22" t="s">
        <v>2042</v>
      </c>
      <c r="Q114" s="22" t="s">
        <v>10784</v>
      </c>
      <c r="R114" s="361" t="s">
        <v>12976</v>
      </c>
      <c r="S114" s="140" t="s">
        <v>12977</v>
      </c>
      <c r="T114" s="361" t="s">
        <v>12978</v>
      </c>
      <c r="U114" s="22" t="s">
        <v>12969</v>
      </c>
      <c r="V114" s="140">
        <v>44699</v>
      </c>
      <c r="W114" s="361" t="s">
        <v>12979</v>
      </c>
    </row>
    <row r="115" spans="1:23" s="382" customFormat="1" ht="15" customHeight="1" x14ac:dyDescent="0.2">
      <c r="A115" s="381"/>
      <c r="B115" s="381"/>
      <c r="D115" s="381"/>
      <c r="E115" s="381"/>
      <c r="F115" s="381"/>
      <c r="G115" s="383"/>
      <c r="H115" s="383"/>
      <c r="I115" s="383">
        <f>SUM(I6:I114)</f>
        <v>528035933.21484041</v>
      </c>
      <c r="J115" s="384"/>
      <c r="K115" s="383"/>
      <c r="L115" s="385"/>
      <c r="M115" s="383"/>
      <c r="N115" s="381"/>
      <c r="P115" s="381"/>
      <c r="R115" s="381"/>
      <c r="S115" s="381"/>
      <c r="T115" s="381"/>
    </row>
    <row r="119" spans="1:23" x14ac:dyDescent="0.2">
      <c r="H119" s="345"/>
    </row>
    <row r="121" spans="1:23" x14ac:dyDescent="0.2">
      <c r="H121" s="345"/>
    </row>
  </sheetData>
  <mergeCells count="21">
    <mergeCell ref="A10:A11"/>
    <mergeCell ref="A12:A17"/>
    <mergeCell ref="B3:B4"/>
    <mergeCell ref="N3:N4"/>
    <mergeCell ref="O3:O4"/>
    <mergeCell ref="P3:P4"/>
    <mergeCell ref="Q3:Q4"/>
    <mergeCell ref="R3:T3"/>
    <mergeCell ref="U3:W3"/>
    <mergeCell ref="H3:H4"/>
    <mergeCell ref="I3:I4"/>
    <mergeCell ref="J3:J4"/>
    <mergeCell ref="K3:K4"/>
    <mergeCell ref="L3:L4"/>
    <mergeCell ref="M3:M4"/>
    <mergeCell ref="A3:A4"/>
    <mergeCell ref="C3:C4"/>
    <mergeCell ref="D3:D4"/>
    <mergeCell ref="E3:E4"/>
    <mergeCell ref="F3:F4"/>
    <mergeCell ref="G3:G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workbookViewId="0">
      <selection activeCell="S9" sqref="S9"/>
    </sheetView>
  </sheetViews>
  <sheetFormatPr defaultRowHeight="12.75" x14ac:dyDescent="0.2"/>
  <cols>
    <col min="1" max="1" width="7.5703125" style="3" customWidth="1"/>
    <col min="2" max="2" width="10.42578125" style="3" customWidth="1"/>
    <col min="3" max="3" width="16.42578125" style="3" customWidth="1"/>
    <col min="4" max="4" width="15.140625" style="3" customWidth="1"/>
    <col min="5" max="5" width="8.7109375" style="3" customWidth="1"/>
    <col min="6" max="6" width="10.85546875" style="3" customWidth="1"/>
    <col min="7" max="7" width="9.140625" style="3" customWidth="1"/>
    <col min="8" max="8" width="13.28515625" style="3" customWidth="1"/>
    <col min="9" max="9" width="13.7109375" style="3" customWidth="1"/>
    <col min="10" max="10" width="10.42578125" style="3" customWidth="1"/>
    <col min="11" max="11" width="14" style="3" customWidth="1"/>
    <col min="12" max="12" width="10.140625" style="3" customWidth="1"/>
    <col min="13" max="13" width="8.42578125" style="3" customWidth="1"/>
    <col min="14" max="14" width="12.85546875" style="3" customWidth="1"/>
    <col min="15" max="15" width="9" style="3" customWidth="1"/>
    <col min="16" max="16" width="10" style="3" customWidth="1"/>
    <col min="17" max="17" width="10.85546875" style="3" customWidth="1"/>
    <col min="18" max="18" width="10" style="3" customWidth="1"/>
    <col min="19" max="19" width="9.85546875" style="3" customWidth="1"/>
    <col min="20" max="20" width="11.140625" style="3" customWidth="1"/>
    <col min="21" max="21" width="12.28515625" style="3" customWidth="1"/>
    <col min="22" max="22" width="9.140625" style="3"/>
    <col min="23" max="23" width="12.140625" style="3" customWidth="1"/>
    <col min="24" max="25" width="9.140625" style="3"/>
    <col min="26" max="26" width="14.7109375" style="3" customWidth="1"/>
    <col min="27" max="27" width="15.28515625" style="3" customWidth="1"/>
    <col min="28" max="16384" width="9.140625" style="3"/>
  </cols>
  <sheetData>
    <row r="1" spans="1:28" ht="15.75" x14ac:dyDescent="0.2">
      <c r="A1" s="318" t="s">
        <v>12980</v>
      </c>
      <c r="B1" s="318"/>
      <c r="C1" s="318"/>
      <c r="D1" s="6"/>
      <c r="E1" s="90"/>
      <c r="F1" s="450"/>
      <c r="G1" s="7"/>
      <c r="H1" s="7"/>
      <c r="I1" s="7"/>
      <c r="J1" s="7"/>
      <c r="K1" s="90"/>
      <c r="L1" s="90"/>
      <c r="M1" s="90"/>
      <c r="N1" s="90"/>
      <c r="O1" s="387"/>
      <c r="P1" s="387"/>
      <c r="Q1" s="90"/>
      <c r="R1" s="90"/>
      <c r="S1" s="90"/>
      <c r="T1" s="6"/>
      <c r="U1" s="7"/>
      <c r="V1" s="7"/>
      <c r="W1" s="7"/>
      <c r="X1" s="6"/>
      <c r="Y1" s="6"/>
      <c r="Z1" s="6"/>
      <c r="AA1" s="6"/>
      <c r="AB1" s="6"/>
    </row>
    <row r="2" spans="1:28" ht="15.75" x14ac:dyDescent="0.2">
      <c r="A2" s="91" t="s">
        <v>16569</v>
      </c>
      <c r="B2" s="288"/>
      <c r="C2" s="91"/>
      <c r="D2" s="6"/>
      <c r="E2" s="90"/>
      <c r="F2" s="450"/>
      <c r="G2" s="7"/>
      <c r="H2" s="7"/>
      <c r="I2" s="90"/>
      <c r="J2" s="90"/>
      <c r="K2" s="90"/>
      <c r="L2" s="90"/>
      <c r="M2" s="90"/>
      <c r="N2" s="90"/>
      <c r="O2" s="387"/>
      <c r="P2" s="387"/>
      <c r="Q2" s="90"/>
      <c r="R2" s="90"/>
      <c r="S2" s="90"/>
      <c r="T2" s="6"/>
      <c r="U2" s="90"/>
      <c r="V2" s="90"/>
      <c r="W2" s="90"/>
      <c r="X2" s="6"/>
      <c r="Y2" s="6"/>
      <c r="Z2" s="6"/>
      <c r="AA2" s="6"/>
      <c r="AB2" s="6"/>
    </row>
    <row r="3" spans="1:28" x14ac:dyDescent="0.2">
      <c r="A3" s="90"/>
      <c r="B3" s="7"/>
      <c r="C3" s="7" t="s">
        <v>3211</v>
      </c>
      <c r="D3" s="6"/>
      <c r="E3" s="90"/>
      <c r="F3" s="450"/>
      <c r="G3" s="7"/>
      <c r="H3" s="7"/>
      <c r="I3" s="7"/>
      <c r="J3" s="7"/>
      <c r="K3" s="90"/>
      <c r="L3" s="90"/>
      <c r="M3" s="90"/>
      <c r="N3" s="90"/>
      <c r="O3" s="387"/>
      <c r="P3" s="387"/>
      <c r="Q3" s="90"/>
      <c r="R3" s="90"/>
      <c r="S3" s="90"/>
      <c r="T3" s="6"/>
      <c r="U3" s="7"/>
      <c r="V3" s="7"/>
      <c r="W3" s="7"/>
      <c r="X3" s="6"/>
      <c r="Y3" s="6"/>
      <c r="Z3" s="6"/>
      <c r="AA3" s="6"/>
      <c r="AB3" s="6"/>
    </row>
    <row r="4" spans="1:28" ht="38.25" customHeight="1" x14ac:dyDescent="0.2">
      <c r="A4" s="316" t="s">
        <v>14020</v>
      </c>
      <c r="B4" s="316" t="s">
        <v>6165</v>
      </c>
      <c r="C4" s="316" t="s">
        <v>12408</v>
      </c>
      <c r="D4" s="316" t="s">
        <v>1995</v>
      </c>
      <c r="E4" s="316" t="s">
        <v>12982</v>
      </c>
      <c r="F4" s="316" t="s">
        <v>438</v>
      </c>
      <c r="G4" s="316" t="s">
        <v>14021</v>
      </c>
      <c r="H4" s="316" t="s">
        <v>2417</v>
      </c>
      <c r="I4" s="316" t="s">
        <v>5331</v>
      </c>
      <c r="J4" s="316" t="s">
        <v>12419</v>
      </c>
      <c r="K4" s="316" t="s">
        <v>3130</v>
      </c>
      <c r="L4" s="316"/>
      <c r="M4" s="316"/>
      <c r="N4" s="316" t="s">
        <v>14022</v>
      </c>
      <c r="O4" s="353" t="s">
        <v>14023</v>
      </c>
      <c r="P4" s="353" t="s">
        <v>5405</v>
      </c>
      <c r="Q4" s="317" t="s">
        <v>14024</v>
      </c>
      <c r="R4" s="317"/>
      <c r="S4" s="317"/>
      <c r="T4" s="317"/>
      <c r="U4" s="316" t="s">
        <v>3130</v>
      </c>
      <c r="V4" s="316"/>
      <c r="W4" s="316"/>
      <c r="X4" s="316" t="s">
        <v>4397</v>
      </c>
      <c r="Y4" s="316"/>
      <c r="Z4" s="316"/>
      <c r="AA4" s="316" t="s">
        <v>3638</v>
      </c>
      <c r="AB4" s="316"/>
    </row>
    <row r="5" spans="1:28" ht="48" x14ac:dyDescent="0.2">
      <c r="A5" s="316"/>
      <c r="B5" s="316"/>
      <c r="C5" s="316"/>
      <c r="D5" s="316"/>
      <c r="E5" s="316"/>
      <c r="F5" s="316"/>
      <c r="G5" s="316"/>
      <c r="H5" s="316"/>
      <c r="I5" s="316"/>
      <c r="J5" s="316"/>
      <c r="K5" s="285" t="s">
        <v>3771</v>
      </c>
      <c r="L5" s="285" t="s">
        <v>1598</v>
      </c>
      <c r="M5" s="285" t="s">
        <v>3131</v>
      </c>
      <c r="N5" s="316"/>
      <c r="O5" s="353"/>
      <c r="P5" s="353"/>
      <c r="Q5" s="285" t="s">
        <v>14025</v>
      </c>
      <c r="R5" s="285" t="s">
        <v>14026</v>
      </c>
      <c r="S5" s="289" t="s">
        <v>11432</v>
      </c>
      <c r="T5" s="17" t="s">
        <v>12413</v>
      </c>
      <c r="U5" s="285" t="s">
        <v>3771</v>
      </c>
      <c r="V5" s="285" t="s">
        <v>1598</v>
      </c>
      <c r="W5" s="285" t="s">
        <v>3131</v>
      </c>
      <c r="X5" s="285" t="s">
        <v>3771</v>
      </c>
      <c r="Y5" s="289" t="s">
        <v>1598</v>
      </c>
      <c r="Z5" s="289" t="s">
        <v>3131</v>
      </c>
      <c r="AA5" s="285" t="s">
        <v>5101</v>
      </c>
      <c r="AB5" s="285" t="s">
        <v>5102</v>
      </c>
    </row>
    <row r="6" spans="1:28" ht="23.25" customHeight="1" x14ac:dyDescent="0.2">
      <c r="A6" s="285"/>
      <c r="B6" s="285"/>
      <c r="C6" s="285"/>
      <c r="D6" s="285"/>
      <c r="E6" s="285"/>
      <c r="F6" s="285"/>
      <c r="G6" s="285"/>
      <c r="H6" s="285"/>
      <c r="I6" s="285"/>
      <c r="J6" s="285"/>
      <c r="K6" s="285"/>
      <c r="L6" s="285"/>
      <c r="M6" s="285"/>
      <c r="N6" s="285"/>
      <c r="O6" s="70"/>
      <c r="P6" s="70"/>
      <c r="Q6" s="285"/>
      <c r="R6" s="285"/>
      <c r="S6" s="289"/>
      <c r="T6" s="17"/>
      <c r="U6" s="285"/>
      <c r="V6" s="285"/>
      <c r="W6" s="285"/>
      <c r="X6" s="285"/>
      <c r="Y6" s="289"/>
      <c r="Z6" s="289"/>
      <c r="AA6" s="285"/>
      <c r="AB6" s="285"/>
    </row>
    <row r="7" spans="1:28" s="19" customFormat="1" ht="60" x14ac:dyDescent="0.2">
      <c r="A7" s="289">
        <v>1</v>
      </c>
      <c r="B7" s="289" t="s">
        <v>16570</v>
      </c>
      <c r="C7" s="18"/>
      <c r="D7" s="9" t="s">
        <v>16571</v>
      </c>
      <c r="E7" s="289">
        <v>2012</v>
      </c>
      <c r="F7" s="18"/>
      <c r="G7" s="9" t="s">
        <v>16572</v>
      </c>
      <c r="H7" s="285" t="s">
        <v>4296</v>
      </c>
      <c r="I7" s="285" t="s">
        <v>1586</v>
      </c>
      <c r="J7" s="361"/>
      <c r="K7" s="285" t="s">
        <v>3136</v>
      </c>
      <c r="L7" s="15">
        <v>44132</v>
      </c>
      <c r="M7" s="289">
        <v>894</v>
      </c>
      <c r="N7" s="18"/>
      <c r="O7" s="289">
        <v>1</v>
      </c>
      <c r="P7" s="15">
        <v>44105</v>
      </c>
      <c r="Q7" s="40">
        <v>11430</v>
      </c>
      <c r="R7" s="40">
        <v>11430</v>
      </c>
      <c r="S7" s="40">
        <v>0</v>
      </c>
      <c r="T7" s="40"/>
      <c r="U7" s="285" t="s">
        <v>10143</v>
      </c>
      <c r="V7" s="15">
        <v>44073</v>
      </c>
      <c r="W7" s="18"/>
      <c r="X7" s="18"/>
      <c r="Y7" s="18"/>
      <c r="Z7" s="18"/>
      <c r="AA7" s="18"/>
      <c r="AB7" s="18"/>
    </row>
    <row r="8" spans="1:28" s="39" customFormat="1" ht="72" x14ac:dyDescent="0.2">
      <c r="A8" s="289">
        <v>2</v>
      </c>
      <c r="B8" s="289" t="s">
        <v>16573</v>
      </c>
      <c r="C8" s="285" t="s">
        <v>16574</v>
      </c>
      <c r="D8" s="13" t="s">
        <v>16575</v>
      </c>
      <c r="E8" s="12" t="s">
        <v>16576</v>
      </c>
      <c r="F8" s="13" t="s">
        <v>16577</v>
      </c>
      <c r="G8" s="285" t="s">
        <v>14048</v>
      </c>
      <c r="H8" s="56" t="s">
        <v>101</v>
      </c>
      <c r="I8" s="285" t="s">
        <v>5127</v>
      </c>
      <c r="J8" s="285"/>
      <c r="K8" s="285" t="s">
        <v>11743</v>
      </c>
      <c r="L8" s="14" t="s">
        <v>16578</v>
      </c>
      <c r="M8" s="285" t="s">
        <v>16579</v>
      </c>
      <c r="N8" s="24">
        <v>380</v>
      </c>
      <c r="O8" s="289">
        <v>1</v>
      </c>
      <c r="P8" s="15">
        <v>39356</v>
      </c>
      <c r="Q8" s="40">
        <v>58904.94</v>
      </c>
      <c r="R8" s="40">
        <f>Q8-S8</f>
        <v>58904.94</v>
      </c>
      <c r="S8" s="40">
        <v>0</v>
      </c>
      <c r="T8" s="15"/>
      <c r="U8" s="289"/>
      <c r="V8" s="289"/>
      <c r="W8" s="289"/>
      <c r="X8" s="289"/>
      <c r="Y8" s="289"/>
      <c r="Z8" s="289"/>
      <c r="AA8" s="289"/>
      <c r="AB8" s="289"/>
    </row>
    <row r="9" spans="1:28" s="39" customFormat="1" ht="168" x14ac:dyDescent="0.2">
      <c r="A9" s="289">
        <v>3</v>
      </c>
      <c r="B9" s="289" t="s">
        <v>16580</v>
      </c>
      <c r="C9" s="285" t="s">
        <v>16581</v>
      </c>
      <c r="D9" s="13" t="s">
        <v>16582</v>
      </c>
      <c r="E9" s="289">
        <v>1989</v>
      </c>
      <c r="F9" s="13" t="s">
        <v>16583</v>
      </c>
      <c r="G9" s="285" t="s">
        <v>14070</v>
      </c>
      <c r="H9" s="285" t="s">
        <v>12435</v>
      </c>
      <c r="I9" s="285" t="s">
        <v>5127</v>
      </c>
      <c r="J9" s="285"/>
      <c r="K9" s="22" t="s">
        <v>3136</v>
      </c>
      <c r="L9" s="14" t="s">
        <v>16584</v>
      </c>
      <c r="M9" s="285" t="s">
        <v>16585</v>
      </c>
      <c r="N9" s="24">
        <v>323</v>
      </c>
      <c r="O9" s="289">
        <v>1</v>
      </c>
      <c r="P9" s="15">
        <v>39722</v>
      </c>
      <c r="Q9" s="40">
        <v>146918.25</v>
      </c>
      <c r="R9" s="40">
        <f>Q9-S9</f>
        <v>146918.25</v>
      </c>
      <c r="S9" s="40">
        <v>0</v>
      </c>
      <c r="T9" s="15"/>
      <c r="U9" s="289"/>
      <c r="V9" s="289"/>
      <c r="W9" s="289"/>
      <c r="X9" s="289"/>
      <c r="Y9" s="289"/>
      <c r="Z9" s="289"/>
      <c r="AA9" s="289"/>
      <c r="AB9" s="289"/>
    </row>
    <row r="10" spans="1:28" s="39" customFormat="1" ht="72" x14ac:dyDescent="0.2">
      <c r="A10" s="289">
        <v>4</v>
      </c>
      <c r="B10" s="289" t="s">
        <v>16586</v>
      </c>
      <c r="C10" s="285" t="s">
        <v>16574</v>
      </c>
      <c r="D10" s="13" t="s">
        <v>16582</v>
      </c>
      <c r="E10" s="289">
        <v>1986</v>
      </c>
      <c r="F10" s="13" t="s">
        <v>16587</v>
      </c>
      <c r="G10" s="285" t="s">
        <v>16588</v>
      </c>
      <c r="H10" s="285" t="s">
        <v>7967</v>
      </c>
      <c r="I10" s="285" t="s">
        <v>5127</v>
      </c>
      <c r="J10" s="285"/>
      <c r="K10" s="22" t="s">
        <v>3136</v>
      </c>
      <c r="L10" s="14" t="s">
        <v>16589</v>
      </c>
      <c r="M10" s="285" t="s">
        <v>16590</v>
      </c>
      <c r="N10" s="24">
        <v>75</v>
      </c>
      <c r="O10" s="289">
        <v>1</v>
      </c>
      <c r="P10" s="15">
        <v>39722</v>
      </c>
      <c r="Q10" s="40">
        <v>19877.759999999998</v>
      </c>
      <c r="R10" s="40">
        <f>Q10-S10</f>
        <v>19877.759999999998</v>
      </c>
      <c r="S10" s="40">
        <v>0</v>
      </c>
      <c r="T10" s="15"/>
      <c r="U10" s="289"/>
      <c r="V10" s="289"/>
      <c r="W10" s="289"/>
      <c r="X10" s="289"/>
      <c r="Y10" s="289"/>
      <c r="Z10" s="289"/>
      <c r="AA10" s="289"/>
      <c r="AB10" s="289"/>
    </row>
    <row r="11" spans="1:28" s="19" customFormat="1" ht="12" x14ac:dyDescent="0.2">
      <c r="A11" s="39"/>
      <c r="O11" s="425">
        <f>SUM(O7:O10)</f>
        <v>4</v>
      </c>
      <c r="P11" s="431"/>
      <c r="Q11" s="188">
        <f>SUM(Q7:Q10)</f>
        <v>237130.95</v>
      </c>
      <c r="R11" s="40"/>
      <c r="S11" s="40"/>
      <c r="T11" s="18"/>
    </row>
    <row r="12" spans="1:28" s="804" customFormat="1" ht="10.5" x14ac:dyDescent="0.2">
      <c r="N12" s="805"/>
      <c r="O12" s="805"/>
      <c r="P12" s="805"/>
      <c r="Q12" s="805"/>
      <c r="R12" s="805"/>
    </row>
    <row r="13" spans="1:28" s="804" customFormat="1" ht="10.5" x14ac:dyDescent="0.2"/>
    <row r="14" spans="1:28" s="804" customFormat="1" ht="10.5" x14ac:dyDescent="0.2"/>
    <row r="15" spans="1:28" s="804" customFormat="1" ht="10.5" x14ac:dyDescent="0.2"/>
    <row r="16" spans="1:28" s="804" customFormat="1" ht="10.5" x14ac:dyDescent="0.2"/>
    <row r="17" s="804" customFormat="1" ht="10.5" x14ac:dyDescent="0.2"/>
  </sheetData>
  <mergeCells count="19">
    <mergeCell ref="AA4:AB4"/>
    <mergeCell ref="N4:N5"/>
    <mergeCell ref="O4:O5"/>
    <mergeCell ref="P4:P5"/>
    <mergeCell ref="Q4:T4"/>
    <mergeCell ref="U4:W4"/>
    <mergeCell ref="X4:Z4"/>
    <mergeCell ref="F4:F5"/>
    <mergeCell ref="G4:G5"/>
    <mergeCell ref="H4:H5"/>
    <mergeCell ref="I4:I5"/>
    <mergeCell ref="J4:J5"/>
    <mergeCell ref="K4:M4"/>
    <mergeCell ref="A1:C1"/>
    <mergeCell ref="A4:A5"/>
    <mergeCell ref="B4:B5"/>
    <mergeCell ref="C4:C5"/>
    <mergeCell ref="D4:D5"/>
    <mergeCell ref="E4: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59"/>
  <sheetViews>
    <sheetView workbookViewId="0">
      <selection activeCell="A4" sqref="A4:W5"/>
    </sheetView>
  </sheetViews>
  <sheetFormatPr defaultColWidth="9.140625" defaultRowHeight="12.75" x14ac:dyDescent="0.2"/>
  <cols>
    <col min="1" max="1" width="5" style="151" customWidth="1"/>
    <col min="2" max="2" width="10" style="815" customWidth="1"/>
    <col min="3" max="3" width="8.85546875" style="816" customWidth="1"/>
    <col min="4" max="4" width="16.42578125" style="144" customWidth="1"/>
    <col min="5" max="5" width="10" style="151" customWidth="1"/>
    <col min="6" max="6" width="18.28515625" style="806" customWidth="1"/>
    <col min="7" max="7" width="12" style="806" customWidth="1"/>
    <col min="8" max="8" width="13.140625" style="807" customWidth="1"/>
    <col min="9" max="9" width="12" style="807" customWidth="1"/>
    <col min="10" max="10" width="9.85546875" style="805" customWidth="1"/>
    <col min="11" max="11" width="11.85546875" style="808" customWidth="1"/>
    <col min="12" max="12" width="11.5703125" style="151" customWidth="1"/>
    <col min="13" max="13" width="11.7109375" style="151" customWidth="1"/>
    <col min="14" max="14" width="10.7109375" style="151" customWidth="1"/>
    <col min="15" max="15" width="9" style="809" customWidth="1"/>
    <col min="16" max="16" width="10.85546875" style="809" customWidth="1"/>
    <col min="17" max="17" width="11.28515625" style="151" customWidth="1"/>
    <col min="18" max="18" width="11.140625" style="151" customWidth="1"/>
    <col min="19" max="19" width="10.7109375" style="151" customWidth="1"/>
    <col min="20" max="20" width="11.28515625" style="3" customWidth="1"/>
    <col min="21" max="21" width="14.42578125" style="805" customWidth="1"/>
    <col min="22" max="22" width="11.42578125" style="805" customWidth="1"/>
    <col min="23" max="23" width="13" style="805" customWidth="1"/>
    <col min="24" max="25" width="9.140625" style="3"/>
    <col min="26" max="26" width="1.5703125" style="3" customWidth="1"/>
    <col min="27" max="28" width="9.140625" style="3"/>
    <col min="29" max="29" width="7.42578125" style="3" customWidth="1"/>
    <col min="30" max="30" width="8.5703125" style="3" customWidth="1"/>
    <col min="31" max="16384" width="9.140625" style="3"/>
  </cols>
  <sheetData>
    <row r="1" spans="1:35" ht="17.25" customHeight="1" x14ac:dyDescent="0.2">
      <c r="A1" s="449" t="s">
        <v>12980</v>
      </c>
      <c r="B1" s="449"/>
      <c r="C1" s="449"/>
      <c r="D1" s="575"/>
    </row>
    <row r="2" spans="1:35" s="341" customFormat="1" ht="17.25" customHeight="1" x14ac:dyDescent="0.2">
      <c r="A2" s="388" t="s">
        <v>16591</v>
      </c>
      <c r="B2" s="388"/>
      <c r="C2" s="810"/>
      <c r="D2" s="810"/>
      <c r="E2" s="151"/>
      <c r="F2" s="806"/>
      <c r="G2" s="811"/>
      <c r="H2" s="807"/>
      <c r="I2" s="812"/>
      <c r="J2" s="813"/>
      <c r="K2" s="812"/>
      <c r="L2" s="151"/>
      <c r="M2" s="151"/>
      <c r="N2" s="813"/>
      <c r="O2" s="814"/>
      <c r="P2" s="814"/>
      <c r="Q2" s="813"/>
      <c r="R2" s="813"/>
      <c r="S2" s="813"/>
      <c r="U2" s="813"/>
      <c r="V2" s="813"/>
      <c r="W2" s="813"/>
    </row>
    <row r="3" spans="1:35" ht="17.25" customHeight="1" x14ac:dyDescent="0.2">
      <c r="C3" s="816" t="s">
        <v>3211</v>
      </c>
    </row>
    <row r="4" spans="1:35" s="19" customFormat="1" ht="48" customHeight="1" x14ac:dyDescent="0.2">
      <c r="A4" s="316" t="s">
        <v>14020</v>
      </c>
      <c r="B4" s="316" t="s">
        <v>6165</v>
      </c>
      <c r="C4" s="316" t="s">
        <v>12408</v>
      </c>
      <c r="D4" s="316" t="s">
        <v>1995</v>
      </c>
      <c r="E4" s="316" t="s">
        <v>12982</v>
      </c>
      <c r="F4" s="316" t="s">
        <v>438</v>
      </c>
      <c r="G4" s="316" t="s">
        <v>14021</v>
      </c>
      <c r="H4" s="316" t="s">
        <v>2417</v>
      </c>
      <c r="I4" s="316" t="s">
        <v>5331</v>
      </c>
      <c r="J4" s="316" t="s">
        <v>12419</v>
      </c>
      <c r="K4" s="316" t="s">
        <v>3130</v>
      </c>
      <c r="L4" s="316"/>
      <c r="M4" s="316"/>
      <c r="N4" s="316" t="s">
        <v>14022</v>
      </c>
      <c r="O4" s="353" t="s">
        <v>14023</v>
      </c>
      <c r="P4" s="353" t="s">
        <v>5405</v>
      </c>
      <c r="Q4" s="317" t="s">
        <v>14024</v>
      </c>
      <c r="R4" s="317"/>
      <c r="S4" s="317"/>
      <c r="T4" s="317"/>
      <c r="U4" s="316" t="s">
        <v>3130</v>
      </c>
      <c r="V4" s="316"/>
      <c r="W4" s="316"/>
    </row>
    <row r="5" spans="1:35" s="19" customFormat="1" ht="34.5" customHeight="1" x14ac:dyDescent="0.2">
      <c r="A5" s="316"/>
      <c r="B5" s="316"/>
      <c r="C5" s="316"/>
      <c r="D5" s="316"/>
      <c r="E5" s="316"/>
      <c r="F5" s="316"/>
      <c r="G5" s="316"/>
      <c r="H5" s="316"/>
      <c r="I5" s="316"/>
      <c r="J5" s="316"/>
      <c r="K5" s="285" t="s">
        <v>3771</v>
      </c>
      <c r="L5" s="285" t="s">
        <v>1598</v>
      </c>
      <c r="M5" s="285" t="s">
        <v>3131</v>
      </c>
      <c r="N5" s="316"/>
      <c r="O5" s="353"/>
      <c r="P5" s="353"/>
      <c r="Q5" s="285" t="s">
        <v>14025</v>
      </c>
      <c r="R5" s="285" t="s">
        <v>14026</v>
      </c>
      <c r="S5" s="289" t="s">
        <v>11432</v>
      </c>
      <c r="T5" s="17" t="s">
        <v>12413</v>
      </c>
      <c r="U5" s="285" t="s">
        <v>3771</v>
      </c>
      <c r="V5" s="285" t="s">
        <v>1598</v>
      </c>
      <c r="W5" s="285" t="s">
        <v>3131</v>
      </c>
    </row>
    <row r="6" spans="1:35" s="19" customFormat="1" ht="16.5" customHeight="1" x14ac:dyDescent="0.2">
      <c r="A6" s="37">
        <v>1</v>
      </c>
      <c r="B6" s="37">
        <v>2</v>
      </c>
      <c r="C6" s="37">
        <v>3</v>
      </c>
      <c r="D6" s="37">
        <v>4</v>
      </c>
      <c r="E6" s="20">
        <v>5</v>
      </c>
      <c r="F6" s="37">
        <v>6</v>
      </c>
      <c r="G6" s="37">
        <v>7</v>
      </c>
      <c r="H6" s="37">
        <v>8</v>
      </c>
      <c r="I6" s="37">
        <v>9</v>
      </c>
      <c r="J6" s="20">
        <v>10</v>
      </c>
      <c r="K6" s="37">
        <v>11</v>
      </c>
      <c r="L6" s="20">
        <v>12</v>
      </c>
      <c r="M6" s="20">
        <v>13</v>
      </c>
      <c r="N6" s="20">
        <v>14</v>
      </c>
      <c r="O6" s="515">
        <v>15</v>
      </c>
      <c r="P6" s="515">
        <v>16</v>
      </c>
      <c r="Q6" s="20">
        <v>17</v>
      </c>
      <c r="R6" s="20">
        <v>18</v>
      </c>
      <c r="S6" s="20">
        <v>19</v>
      </c>
      <c r="T6" s="20">
        <v>20</v>
      </c>
      <c r="U6" s="20">
        <v>21</v>
      </c>
      <c r="V6" s="20">
        <v>22</v>
      </c>
      <c r="W6" s="20">
        <v>23</v>
      </c>
    </row>
    <row r="7" spans="1:35" s="19" customFormat="1" ht="39" customHeight="1" x14ac:dyDescent="0.2">
      <c r="A7" s="289">
        <v>1</v>
      </c>
      <c r="B7" s="289" t="s">
        <v>16592</v>
      </c>
      <c r="C7" s="285"/>
      <c r="D7" s="9" t="s">
        <v>16593</v>
      </c>
      <c r="E7" s="289" t="s">
        <v>16594</v>
      </c>
      <c r="F7" s="9" t="s">
        <v>16595</v>
      </c>
      <c r="G7" s="9" t="s">
        <v>13158</v>
      </c>
      <c r="H7" s="285" t="s">
        <v>8293</v>
      </c>
      <c r="I7" s="285" t="s">
        <v>5127</v>
      </c>
      <c r="J7" s="285"/>
      <c r="K7" s="285" t="s">
        <v>3136</v>
      </c>
      <c r="L7" s="15">
        <v>39400</v>
      </c>
      <c r="M7" s="285">
        <v>807</v>
      </c>
      <c r="N7" s="285"/>
      <c r="O7" s="70">
        <v>1</v>
      </c>
      <c r="P7" s="15">
        <v>41226</v>
      </c>
      <c r="Q7" s="40">
        <v>2178227.34</v>
      </c>
      <c r="R7" s="40">
        <v>2178227.34</v>
      </c>
      <c r="S7" s="40">
        <f t="shared" ref="S7:S17" si="0">Q7-R7</f>
        <v>0</v>
      </c>
      <c r="T7" s="18"/>
      <c r="U7" s="285"/>
      <c r="V7" s="285"/>
      <c r="W7" s="289"/>
    </row>
    <row r="8" spans="1:35" s="19" customFormat="1" ht="63.75" customHeight="1" x14ac:dyDescent="0.2">
      <c r="A8" s="289">
        <v>2</v>
      </c>
      <c r="B8" s="289" t="s">
        <v>16596</v>
      </c>
      <c r="C8" s="285"/>
      <c r="D8" s="9" t="s">
        <v>16597</v>
      </c>
      <c r="E8" s="289"/>
      <c r="F8" s="9" t="s">
        <v>16598</v>
      </c>
      <c r="G8" s="9" t="s">
        <v>16599</v>
      </c>
      <c r="H8" s="285" t="s">
        <v>4877</v>
      </c>
      <c r="I8" s="285" t="s">
        <v>3793</v>
      </c>
      <c r="J8" s="285"/>
      <c r="K8" s="285" t="s">
        <v>3136</v>
      </c>
      <c r="L8" s="14" t="s">
        <v>16600</v>
      </c>
      <c r="M8" s="285" t="s">
        <v>16601</v>
      </c>
      <c r="N8" s="285"/>
      <c r="O8" s="285">
        <f>6-1</f>
        <v>5</v>
      </c>
      <c r="P8" s="15">
        <v>41365</v>
      </c>
      <c r="Q8" s="40">
        <f>9600-1600</f>
        <v>8000</v>
      </c>
      <c r="R8" s="40">
        <v>5846.67</v>
      </c>
      <c r="S8" s="40">
        <f t="shared" si="0"/>
        <v>2153.33</v>
      </c>
      <c r="T8" s="18"/>
      <c r="U8" s="285"/>
      <c r="V8" s="285"/>
      <c r="W8" s="289"/>
      <c r="AA8" s="557"/>
      <c r="AB8" s="557"/>
      <c r="AC8" s="557"/>
      <c r="AD8" s="557"/>
      <c r="AE8" s="557"/>
      <c r="AF8" s="557"/>
      <c r="AG8" s="557"/>
      <c r="AH8" s="41"/>
      <c r="AI8" s="141"/>
    </row>
    <row r="9" spans="1:35" s="19" customFormat="1" ht="104.25" customHeight="1" x14ac:dyDescent="0.2">
      <c r="A9" s="289">
        <v>3</v>
      </c>
      <c r="B9" s="289" t="s">
        <v>16602</v>
      </c>
      <c r="C9" s="9" t="s">
        <v>16603</v>
      </c>
      <c r="D9" s="9" t="s">
        <v>16604</v>
      </c>
      <c r="E9" s="289" t="s">
        <v>16605</v>
      </c>
      <c r="F9" s="9" t="s">
        <v>16606</v>
      </c>
      <c r="G9" s="9" t="s">
        <v>16607</v>
      </c>
      <c r="H9" s="285" t="s">
        <v>4296</v>
      </c>
      <c r="I9" s="285" t="s">
        <v>2337</v>
      </c>
      <c r="J9" s="285"/>
      <c r="K9" s="285" t="s">
        <v>3136</v>
      </c>
      <c r="L9" s="14" t="s">
        <v>16608</v>
      </c>
      <c r="M9" s="22" t="s">
        <v>16609</v>
      </c>
      <c r="N9" s="24">
        <v>8.1999999999999993</v>
      </c>
      <c r="O9" s="70">
        <v>1</v>
      </c>
      <c r="P9" s="15">
        <v>41155</v>
      </c>
      <c r="Q9" s="40">
        <v>415100</v>
      </c>
      <c r="R9" s="40">
        <v>247535.51</v>
      </c>
      <c r="S9" s="40">
        <f t="shared" si="0"/>
        <v>167564.49</v>
      </c>
      <c r="T9" s="18"/>
      <c r="U9" s="285" t="s">
        <v>12520</v>
      </c>
      <c r="V9" s="14">
        <v>44726</v>
      </c>
      <c r="W9" s="285" t="s">
        <v>16610</v>
      </c>
    </row>
    <row r="10" spans="1:35" s="19" customFormat="1" ht="162" customHeight="1" x14ac:dyDescent="0.2">
      <c r="A10" s="289">
        <v>4</v>
      </c>
      <c r="B10" s="289" t="s">
        <v>16611</v>
      </c>
      <c r="C10" s="285" t="s">
        <v>16612</v>
      </c>
      <c r="D10" s="9" t="s">
        <v>16613</v>
      </c>
      <c r="E10" s="289" t="s">
        <v>16614</v>
      </c>
      <c r="F10" s="9" t="s">
        <v>16615</v>
      </c>
      <c r="G10" s="9" t="s">
        <v>16616</v>
      </c>
      <c r="H10" s="285" t="s">
        <v>4296</v>
      </c>
      <c r="I10" s="285" t="s">
        <v>2337</v>
      </c>
      <c r="J10" s="285"/>
      <c r="K10" s="285" t="s">
        <v>3136</v>
      </c>
      <c r="L10" s="14" t="s">
        <v>16617</v>
      </c>
      <c r="M10" s="22" t="s">
        <v>16618</v>
      </c>
      <c r="N10" s="24">
        <v>10.5</v>
      </c>
      <c r="O10" s="70">
        <v>1</v>
      </c>
      <c r="P10" s="15">
        <v>40422</v>
      </c>
      <c r="Q10" s="40">
        <v>354168.53</v>
      </c>
      <c r="R10" s="40">
        <v>354168.53</v>
      </c>
      <c r="S10" s="40">
        <f t="shared" si="0"/>
        <v>0</v>
      </c>
      <c r="T10" s="18"/>
      <c r="U10" s="285" t="s">
        <v>16619</v>
      </c>
      <c r="V10" s="285" t="s">
        <v>16620</v>
      </c>
      <c r="W10" s="285" t="s">
        <v>16621</v>
      </c>
    </row>
    <row r="11" spans="1:35" s="19" customFormat="1" ht="185.25" customHeight="1" x14ac:dyDescent="0.2">
      <c r="A11" s="289">
        <v>5</v>
      </c>
      <c r="B11" s="289" t="s">
        <v>16622</v>
      </c>
      <c r="C11" s="9" t="s">
        <v>16623</v>
      </c>
      <c r="D11" s="9" t="s">
        <v>16624</v>
      </c>
      <c r="E11" s="12" t="s">
        <v>15232</v>
      </c>
      <c r="F11" s="9" t="s">
        <v>16625</v>
      </c>
      <c r="G11" s="279" t="s">
        <v>16626</v>
      </c>
      <c r="H11" s="285" t="s">
        <v>4296</v>
      </c>
      <c r="I11" s="285" t="s">
        <v>2337</v>
      </c>
      <c r="J11" s="285"/>
      <c r="K11" s="285" t="s">
        <v>3136</v>
      </c>
      <c r="L11" s="14" t="s">
        <v>16627</v>
      </c>
      <c r="M11" s="22" t="s">
        <v>16628</v>
      </c>
      <c r="N11" s="24">
        <v>8.5</v>
      </c>
      <c r="O11" s="70">
        <v>1</v>
      </c>
      <c r="P11" s="15">
        <v>40422</v>
      </c>
      <c r="Q11" s="40">
        <v>493800</v>
      </c>
      <c r="R11" s="40">
        <v>464995</v>
      </c>
      <c r="S11" s="40">
        <f t="shared" si="0"/>
        <v>28805</v>
      </c>
      <c r="T11" s="18"/>
      <c r="U11" s="285" t="s">
        <v>16629</v>
      </c>
      <c r="V11" s="14" t="s">
        <v>16630</v>
      </c>
      <c r="W11" s="285" t="s">
        <v>16631</v>
      </c>
    </row>
    <row r="12" spans="1:35" s="19" customFormat="1" ht="75" customHeight="1" x14ac:dyDescent="0.2">
      <c r="A12" s="289">
        <v>6</v>
      </c>
      <c r="B12" s="289" t="s">
        <v>16632</v>
      </c>
      <c r="C12" s="285"/>
      <c r="D12" s="9" t="s">
        <v>16633</v>
      </c>
      <c r="E12" s="289" t="s">
        <v>16634</v>
      </c>
      <c r="F12" s="9" t="s">
        <v>16635</v>
      </c>
      <c r="G12" s="9" t="s">
        <v>16636</v>
      </c>
      <c r="H12" s="9"/>
      <c r="I12" s="285" t="s">
        <v>2042</v>
      </c>
      <c r="J12" s="285" t="s">
        <v>2207</v>
      </c>
      <c r="K12" s="285"/>
      <c r="L12" s="289"/>
      <c r="M12" s="289"/>
      <c r="N12" s="289"/>
      <c r="O12" s="285">
        <v>1</v>
      </c>
      <c r="P12" s="15">
        <v>40422</v>
      </c>
      <c r="Q12" s="40">
        <v>71943.69</v>
      </c>
      <c r="R12" s="40">
        <v>45364.63</v>
      </c>
      <c r="S12" s="40">
        <f t="shared" si="0"/>
        <v>26579.060000000005</v>
      </c>
      <c r="T12" s="18"/>
      <c r="U12" s="285"/>
      <c r="V12" s="285"/>
      <c r="W12" s="289"/>
    </row>
    <row r="13" spans="1:35" s="19" customFormat="1" ht="39" customHeight="1" x14ac:dyDescent="0.2">
      <c r="A13" s="289">
        <v>7</v>
      </c>
      <c r="B13" s="289" t="s">
        <v>16637</v>
      </c>
      <c r="C13" s="285"/>
      <c r="D13" s="9" t="s">
        <v>16633</v>
      </c>
      <c r="E13" s="289" t="s">
        <v>16638</v>
      </c>
      <c r="F13" s="9" t="s">
        <v>16639</v>
      </c>
      <c r="G13" s="9" t="s">
        <v>16640</v>
      </c>
      <c r="H13" s="285"/>
      <c r="I13" s="285" t="s">
        <v>2042</v>
      </c>
      <c r="J13" s="285" t="s">
        <v>2207</v>
      </c>
      <c r="K13" s="285"/>
      <c r="L13" s="289"/>
      <c r="M13" s="289"/>
      <c r="N13" s="289"/>
      <c r="O13" s="285">
        <v>1</v>
      </c>
      <c r="P13" s="15">
        <v>40422</v>
      </c>
      <c r="Q13" s="40">
        <v>50283.34</v>
      </c>
      <c r="R13" s="40">
        <v>36561.699999999997</v>
      </c>
      <c r="S13" s="40">
        <f t="shared" si="0"/>
        <v>13721.64</v>
      </c>
      <c r="T13" s="18"/>
      <c r="U13" s="285"/>
      <c r="V13" s="285"/>
      <c r="W13" s="289"/>
    </row>
    <row r="14" spans="1:35" s="19" customFormat="1" ht="114" customHeight="1" x14ac:dyDescent="0.2">
      <c r="A14" s="289">
        <v>8</v>
      </c>
      <c r="B14" s="289" t="s">
        <v>16641</v>
      </c>
      <c r="C14" s="285" t="s">
        <v>16642</v>
      </c>
      <c r="D14" s="9" t="s">
        <v>16643</v>
      </c>
      <c r="E14" s="289" t="s">
        <v>14134</v>
      </c>
      <c r="F14" s="9" t="s">
        <v>16644</v>
      </c>
      <c r="G14" s="9" t="s">
        <v>16645</v>
      </c>
      <c r="H14" s="285" t="s">
        <v>4296</v>
      </c>
      <c r="I14" s="285" t="s">
        <v>3793</v>
      </c>
      <c r="J14" s="285"/>
      <c r="K14" s="285" t="s">
        <v>3136</v>
      </c>
      <c r="L14" s="14" t="s">
        <v>16646</v>
      </c>
      <c r="M14" s="22" t="s">
        <v>16647</v>
      </c>
      <c r="N14" s="289"/>
      <c r="O14" s="70">
        <v>1</v>
      </c>
      <c r="P14" s="15">
        <v>40299</v>
      </c>
      <c r="Q14" s="40">
        <v>463400</v>
      </c>
      <c r="R14" s="40">
        <v>218183.79</v>
      </c>
      <c r="S14" s="40">
        <f t="shared" si="0"/>
        <v>245216.21</v>
      </c>
      <c r="T14" s="18"/>
      <c r="U14" s="285" t="s">
        <v>12520</v>
      </c>
      <c r="V14" s="14">
        <v>44922</v>
      </c>
      <c r="W14" s="285" t="s">
        <v>16648</v>
      </c>
    </row>
    <row r="15" spans="1:35" s="19" customFormat="1" ht="31.5" customHeight="1" x14ac:dyDescent="0.2">
      <c r="A15" s="289">
        <v>9</v>
      </c>
      <c r="B15" s="289" t="s">
        <v>16649</v>
      </c>
      <c r="C15" s="9"/>
      <c r="D15" s="9" t="s">
        <v>16650</v>
      </c>
      <c r="E15" s="289" t="s">
        <v>14154</v>
      </c>
      <c r="F15" s="9" t="s">
        <v>16651</v>
      </c>
      <c r="G15" s="13" t="s">
        <v>16652</v>
      </c>
      <c r="H15" s="285" t="s">
        <v>4296</v>
      </c>
      <c r="I15" s="285" t="s">
        <v>3793</v>
      </c>
      <c r="J15" s="285"/>
      <c r="K15" s="285" t="s">
        <v>3136</v>
      </c>
      <c r="L15" s="14">
        <v>42003</v>
      </c>
      <c r="M15" s="22" t="s">
        <v>5493</v>
      </c>
      <c r="N15" s="289"/>
      <c r="O15" s="70">
        <v>1</v>
      </c>
      <c r="P15" s="15">
        <v>40422</v>
      </c>
      <c r="Q15" s="40">
        <v>1490000</v>
      </c>
      <c r="R15" s="40">
        <v>1291333.5900000001</v>
      </c>
      <c r="S15" s="40">
        <f t="shared" si="0"/>
        <v>198666.40999999992</v>
      </c>
      <c r="T15" s="18"/>
      <c r="U15" s="285"/>
      <c r="V15" s="285"/>
      <c r="W15" s="289"/>
    </row>
    <row r="16" spans="1:35" s="19" customFormat="1" ht="33" customHeight="1" x14ac:dyDescent="0.2">
      <c r="A16" s="289">
        <v>10</v>
      </c>
      <c r="B16" s="289" t="s">
        <v>16653</v>
      </c>
      <c r="C16" s="9"/>
      <c r="D16" s="9" t="s">
        <v>16654</v>
      </c>
      <c r="E16" s="289" t="s">
        <v>14134</v>
      </c>
      <c r="F16" s="9" t="s">
        <v>16655</v>
      </c>
      <c r="G16" s="13" t="s">
        <v>16652</v>
      </c>
      <c r="H16" s="285" t="s">
        <v>4296</v>
      </c>
      <c r="I16" s="285" t="s">
        <v>3793</v>
      </c>
      <c r="J16" s="285"/>
      <c r="K16" s="285" t="s">
        <v>3136</v>
      </c>
      <c r="L16" s="14">
        <v>42003</v>
      </c>
      <c r="M16" s="22" t="s">
        <v>5493</v>
      </c>
      <c r="N16" s="289"/>
      <c r="O16" s="70">
        <v>1</v>
      </c>
      <c r="P16" s="15">
        <v>40422</v>
      </c>
      <c r="Q16" s="40">
        <v>395900</v>
      </c>
      <c r="R16" s="40">
        <v>343113.59</v>
      </c>
      <c r="S16" s="40">
        <f t="shared" si="0"/>
        <v>52786.409999999974</v>
      </c>
      <c r="T16" s="18"/>
      <c r="U16" s="285"/>
      <c r="V16" s="285"/>
      <c r="W16" s="289"/>
    </row>
    <row r="17" spans="1:23" s="19" customFormat="1" ht="144.75" customHeight="1" x14ac:dyDescent="0.2">
      <c r="A17" s="289">
        <v>11</v>
      </c>
      <c r="B17" s="15" t="s">
        <v>16656</v>
      </c>
      <c r="C17" s="285" t="s">
        <v>16657</v>
      </c>
      <c r="D17" s="254" t="s">
        <v>16658</v>
      </c>
      <c r="E17" s="22" t="s">
        <v>16659</v>
      </c>
      <c r="F17" s="9" t="s">
        <v>16660</v>
      </c>
      <c r="G17" s="9" t="s">
        <v>16661</v>
      </c>
      <c r="H17" s="285" t="s">
        <v>4296</v>
      </c>
      <c r="I17" s="285" t="s">
        <v>2337</v>
      </c>
      <c r="J17" s="285"/>
      <c r="K17" s="285" t="s">
        <v>3136</v>
      </c>
      <c r="L17" s="14" t="s">
        <v>16662</v>
      </c>
      <c r="M17" s="22" t="s">
        <v>16663</v>
      </c>
      <c r="N17" s="16">
        <v>8.1999999999999993</v>
      </c>
      <c r="O17" s="70">
        <v>1</v>
      </c>
      <c r="P17" s="15">
        <v>40299</v>
      </c>
      <c r="Q17" s="40">
        <v>301800</v>
      </c>
      <c r="R17" s="40">
        <v>179949.6</v>
      </c>
      <c r="S17" s="40">
        <f t="shared" si="0"/>
        <v>121850.4</v>
      </c>
      <c r="T17" s="18"/>
      <c r="U17" s="285" t="s">
        <v>16664</v>
      </c>
      <c r="V17" s="14">
        <v>44747</v>
      </c>
      <c r="W17" s="285" t="s">
        <v>16665</v>
      </c>
    </row>
    <row r="18" spans="1:23" s="19" customFormat="1" ht="126" customHeight="1" x14ac:dyDescent="0.2">
      <c r="A18" s="289">
        <v>12</v>
      </c>
      <c r="B18" s="289" t="s">
        <v>16666</v>
      </c>
      <c r="C18" s="285" t="s">
        <v>16667</v>
      </c>
      <c r="D18" s="254" t="s">
        <v>16668</v>
      </c>
      <c r="E18" s="12" t="s">
        <v>16669</v>
      </c>
      <c r="F18" s="9" t="s">
        <v>16670</v>
      </c>
      <c r="G18" s="9" t="s">
        <v>16671</v>
      </c>
      <c r="H18" s="285" t="s">
        <v>4296</v>
      </c>
      <c r="I18" s="285" t="s">
        <v>2337</v>
      </c>
      <c r="J18" s="285"/>
      <c r="K18" s="285" t="s">
        <v>3136</v>
      </c>
      <c r="L18" s="14" t="s">
        <v>16672</v>
      </c>
      <c r="M18" s="22" t="s">
        <v>16673</v>
      </c>
      <c r="N18" s="16">
        <v>8.9</v>
      </c>
      <c r="O18" s="70">
        <v>1</v>
      </c>
      <c r="P18" s="15">
        <v>40299</v>
      </c>
      <c r="Q18" s="40">
        <v>343336.5</v>
      </c>
      <c r="R18" s="40">
        <v>343336.5</v>
      </c>
      <c r="S18" s="40">
        <v>0</v>
      </c>
      <c r="T18" s="18"/>
      <c r="U18" s="285" t="s">
        <v>16674</v>
      </c>
      <c r="V18" s="14">
        <v>44698</v>
      </c>
      <c r="W18" s="285" t="s">
        <v>16675</v>
      </c>
    </row>
    <row r="19" spans="1:23" s="19" customFormat="1" ht="50.45" customHeight="1" x14ac:dyDescent="0.2">
      <c r="A19" s="289">
        <v>13</v>
      </c>
      <c r="B19" s="289" t="s">
        <v>16676</v>
      </c>
      <c r="C19" s="285"/>
      <c r="D19" s="9" t="s">
        <v>16677</v>
      </c>
      <c r="E19" s="289" t="s">
        <v>16678</v>
      </c>
      <c r="F19" s="13" t="s">
        <v>16679</v>
      </c>
      <c r="G19" s="9" t="s">
        <v>4921</v>
      </c>
      <c r="H19" s="285" t="s">
        <v>4877</v>
      </c>
      <c r="I19" s="37" t="s">
        <v>3793</v>
      </c>
      <c r="J19" s="285"/>
      <c r="K19" s="285" t="s">
        <v>3136</v>
      </c>
      <c r="L19" s="14">
        <v>39274</v>
      </c>
      <c r="M19" s="285">
        <v>492</v>
      </c>
      <c r="N19" s="285"/>
      <c r="O19" s="70">
        <v>1</v>
      </c>
      <c r="P19" s="15">
        <v>39934</v>
      </c>
      <c r="Q19" s="40">
        <v>6500</v>
      </c>
      <c r="R19" s="40">
        <f>Q19-S19</f>
        <v>6500</v>
      </c>
      <c r="S19" s="40">
        <v>0</v>
      </c>
      <c r="T19" s="18"/>
      <c r="U19" s="285"/>
      <c r="V19" s="285"/>
      <c r="W19" s="289"/>
    </row>
    <row r="20" spans="1:23" s="19" customFormat="1" ht="39" customHeight="1" x14ac:dyDescent="0.2">
      <c r="A20" s="289">
        <v>14</v>
      </c>
      <c r="B20" s="289" t="s">
        <v>16680</v>
      </c>
      <c r="C20" s="285"/>
      <c r="D20" s="9" t="s">
        <v>16681</v>
      </c>
      <c r="E20" s="289" t="s">
        <v>3769</v>
      </c>
      <c r="F20" s="13" t="s">
        <v>16682</v>
      </c>
      <c r="G20" s="13" t="s">
        <v>2344</v>
      </c>
      <c r="H20" s="285" t="s">
        <v>4296</v>
      </c>
      <c r="I20" s="285" t="s">
        <v>3793</v>
      </c>
      <c r="J20" s="285"/>
      <c r="K20" s="285" t="s">
        <v>3136</v>
      </c>
      <c r="L20" s="15">
        <v>42003</v>
      </c>
      <c r="M20" s="22" t="s">
        <v>5493</v>
      </c>
      <c r="N20" s="285"/>
      <c r="O20" s="70">
        <v>1</v>
      </c>
      <c r="P20" s="15">
        <v>40422</v>
      </c>
      <c r="Q20" s="40">
        <v>1308</v>
      </c>
      <c r="R20" s="40">
        <v>1308</v>
      </c>
      <c r="S20" s="40">
        <f>Q20-R20</f>
        <v>0</v>
      </c>
      <c r="T20" s="18"/>
      <c r="U20" s="285"/>
      <c r="V20" s="285"/>
      <c r="W20" s="289"/>
    </row>
    <row r="21" spans="1:23" s="19" customFormat="1" ht="39" customHeight="1" x14ac:dyDescent="0.2">
      <c r="A21" s="289">
        <v>15</v>
      </c>
      <c r="B21" s="289" t="s">
        <v>16683</v>
      </c>
      <c r="C21" s="285"/>
      <c r="D21" s="9" t="s">
        <v>16684</v>
      </c>
      <c r="E21" s="289"/>
      <c r="F21" s="9" t="s">
        <v>16685</v>
      </c>
      <c r="G21" s="9"/>
      <c r="H21" s="285" t="s">
        <v>7917</v>
      </c>
      <c r="I21" s="285" t="s">
        <v>5127</v>
      </c>
      <c r="J21" s="285"/>
      <c r="K21" s="285" t="s">
        <v>3136</v>
      </c>
      <c r="L21" s="14">
        <v>39052</v>
      </c>
      <c r="M21" s="22" t="s">
        <v>14057</v>
      </c>
      <c r="N21" s="285"/>
      <c r="O21" s="70" t="s">
        <v>3665</v>
      </c>
      <c r="P21" s="15">
        <v>39814</v>
      </c>
      <c r="Q21" s="40">
        <v>707398.56</v>
      </c>
      <c r="R21" s="40">
        <f>Q21-S21</f>
        <v>707398.56</v>
      </c>
      <c r="S21" s="40">
        <v>0</v>
      </c>
      <c r="T21" s="18"/>
      <c r="U21" s="289"/>
      <c r="V21" s="289"/>
      <c r="W21" s="289"/>
    </row>
    <row r="22" spans="1:23" s="19" customFormat="1" ht="39" customHeight="1" x14ac:dyDescent="0.2">
      <c r="A22" s="289">
        <v>16</v>
      </c>
      <c r="B22" s="289" t="s">
        <v>16686</v>
      </c>
      <c r="C22" s="285"/>
      <c r="D22" s="9" t="s">
        <v>16687</v>
      </c>
      <c r="E22" s="289" t="s">
        <v>16688</v>
      </c>
      <c r="F22" s="9" t="s">
        <v>16689</v>
      </c>
      <c r="G22" s="9" t="s">
        <v>14030</v>
      </c>
      <c r="H22" s="285" t="s">
        <v>3525</v>
      </c>
      <c r="I22" s="285" t="s">
        <v>2614</v>
      </c>
      <c r="J22" s="285" t="s">
        <v>2207</v>
      </c>
      <c r="K22" s="285" t="s">
        <v>16690</v>
      </c>
      <c r="L22" s="285" t="s">
        <v>16691</v>
      </c>
      <c r="M22" s="22" t="s">
        <v>16692</v>
      </c>
      <c r="N22" s="285"/>
      <c r="O22" s="70">
        <v>1</v>
      </c>
      <c r="P22" s="15">
        <v>41873</v>
      </c>
      <c r="Q22" s="40">
        <v>5565.09</v>
      </c>
      <c r="R22" s="40">
        <f>Q22-S22</f>
        <v>5565.09</v>
      </c>
      <c r="S22" s="40">
        <v>0</v>
      </c>
      <c r="T22" s="18"/>
      <c r="U22" s="285"/>
      <c r="V22" s="285"/>
      <c r="W22" s="289"/>
    </row>
    <row r="23" spans="1:23" s="19" customFormat="1" ht="39" customHeight="1" x14ac:dyDescent="0.2">
      <c r="A23" s="289">
        <v>17</v>
      </c>
      <c r="B23" s="289" t="s">
        <v>16693</v>
      </c>
      <c r="C23" s="285"/>
      <c r="D23" s="9" t="s">
        <v>16694</v>
      </c>
      <c r="E23" s="289" t="s">
        <v>16695</v>
      </c>
      <c r="F23" s="9" t="s">
        <v>16696</v>
      </c>
      <c r="G23" s="9"/>
      <c r="H23" s="285" t="s">
        <v>4946</v>
      </c>
      <c r="I23" s="285" t="s">
        <v>5127</v>
      </c>
      <c r="J23" s="285"/>
      <c r="K23" s="285" t="s">
        <v>3132</v>
      </c>
      <c r="L23" s="14">
        <v>40403</v>
      </c>
      <c r="M23" s="285" t="s">
        <v>2320</v>
      </c>
      <c r="N23" s="285"/>
      <c r="O23" s="285">
        <v>2</v>
      </c>
      <c r="P23" s="15">
        <v>39814</v>
      </c>
      <c r="Q23" s="40">
        <v>17100</v>
      </c>
      <c r="R23" s="40">
        <f>Q23-S23</f>
        <v>17100</v>
      </c>
      <c r="S23" s="40">
        <v>0</v>
      </c>
      <c r="T23" s="18"/>
      <c r="U23" s="289"/>
      <c r="V23" s="289"/>
      <c r="W23" s="285"/>
    </row>
    <row r="24" spans="1:23" s="19" customFormat="1" ht="102" customHeight="1" x14ac:dyDescent="0.2">
      <c r="A24" s="289">
        <v>18</v>
      </c>
      <c r="B24" s="289" t="s">
        <v>16697</v>
      </c>
      <c r="C24" s="285"/>
      <c r="D24" s="9" t="s">
        <v>16698</v>
      </c>
      <c r="E24" s="12" t="s">
        <v>14187</v>
      </c>
      <c r="F24" s="9" t="s">
        <v>16699</v>
      </c>
      <c r="G24" s="9" t="s">
        <v>14189</v>
      </c>
      <c r="H24" s="285" t="s">
        <v>7982</v>
      </c>
      <c r="I24" s="285" t="s">
        <v>5127</v>
      </c>
      <c r="J24" s="285"/>
      <c r="K24" s="285" t="s">
        <v>3136</v>
      </c>
      <c r="L24" s="14">
        <v>39052</v>
      </c>
      <c r="M24" s="22" t="s">
        <v>14057</v>
      </c>
      <c r="N24" s="285"/>
      <c r="O24" s="285">
        <v>1</v>
      </c>
      <c r="P24" s="15">
        <v>39814</v>
      </c>
      <c r="Q24" s="40">
        <v>880022.34</v>
      </c>
      <c r="R24" s="40">
        <f>Q24-S24</f>
        <v>880022.34</v>
      </c>
      <c r="S24" s="40">
        <v>0</v>
      </c>
      <c r="T24" s="18"/>
      <c r="U24" s="289"/>
      <c r="V24" s="289"/>
      <c r="W24" s="289"/>
    </row>
    <row r="25" spans="1:23" s="19" customFormat="1" ht="54" customHeight="1" x14ac:dyDescent="0.2">
      <c r="A25" s="289">
        <v>19</v>
      </c>
      <c r="B25" s="289" t="s">
        <v>16700</v>
      </c>
      <c r="C25" s="285"/>
      <c r="D25" s="9" t="s">
        <v>16701</v>
      </c>
      <c r="E25" s="289" t="s">
        <v>16702</v>
      </c>
      <c r="F25" s="9" t="s">
        <v>16703</v>
      </c>
      <c r="G25" s="9" t="s">
        <v>14030</v>
      </c>
      <c r="H25" s="285" t="s">
        <v>3525</v>
      </c>
      <c r="I25" s="285" t="s">
        <v>2614</v>
      </c>
      <c r="J25" s="285" t="s">
        <v>2207</v>
      </c>
      <c r="K25" s="285" t="s">
        <v>16690</v>
      </c>
      <c r="L25" s="285" t="s">
        <v>16691</v>
      </c>
      <c r="M25" s="22" t="s">
        <v>16692</v>
      </c>
      <c r="N25" s="285"/>
      <c r="O25" s="70">
        <v>1</v>
      </c>
      <c r="P25" s="15">
        <v>41873</v>
      </c>
      <c r="Q25" s="40">
        <v>40151.360000000001</v>
      </c>
      <c r="R25" s="40">
        <f>Q25-S25</f>
        <v>7190.2700000000041</v>
      </c>
      <c r="S25" s="40">
        <v>32961.089999999997</v>
      </c>
      <c r="T25" s="18"/>
      <c r="U25" s="285" t="s">
        <v>6058</v>
      </c>
      <c r="V25" s="15">
        <v>39811</v>
      </c>
      <c r="W25" s="289">
        <v>178</v>
      </c>
    </row>
    <row r="26" spans="1:23" s="19" customFormat="1" ht="110.25" customHeight="1" x14ac:dyDescent="0.2">
      <c r="A26" s="289">
        <v>20</v>
      </c>
      <c r="B26" s="289" t="s">
        <v>16704</v>
      </c>
      <c r="C26" s="285"/>
      <c r="D26" s="9" t="s">
        <v>16705</v>
      </c>
      <c r="E26" s="31">
        <v>40026</v>
      </c>
      <c r="F26" s="9" t="s">
        <v>16706</v>
      </c>
      <c r="G26" s="9" t="s">
        <v>16707</v>
      </c>
      <c r="H26" s="285" t="s">
        <v>16708</v>
      </c>
      <c r="I26" s="285" t="s">
        <v>7613</v>
      </c>
      <c r="J26" s="29"/>
      <c r="K26" s="558" t="s">
        <v>7610</v>
      </c>
      <c r="L26" s="559" t="s">
        <v>7614</v>
      </c>
      <c r="M26" s="285" t="s">
        <v>7615</v>
      </c>
      <c r="N26" s="285">
        <v>506</v>
      </c>
      <c r="O26" s="70">
        <v>1</v>
      </c>
      <c r="P26" s="15">
        <v>40030</v>
      </c>
      <c r="Q26" s="40">
        <v>888736</v>
      </c>
      <c r="R26" s="40">
        <v>367343.8</v>
      </c>
      <c r="S26" s="40">
        <f>Q26-R26</f>
        <v>521392.2</v>
      </c>
      <c r="T26" s="18"/>
      <c r="U26" s="285" t="s">
        <v>16709</v>
      </c>
      <c r="V26" s="14" t="s">
        <v>16710</v>
      </c>
      <c r="W26" s="289" t="s">
        <v>16711</v>
      </c>
    </row>
    <row r="27" spans="1:23" s="19" customFormat="1" ht="84.75" customHeight="1" x14ac:dyDescent="0.2">
      <c r="A27" s="289">
        <v>21</v>
      </c>
      <c r="B27" s="289" t="s">
        <v>16712</v>
      </c>
      <c r="C27" s="285"/>
      <c r="D27" s="9" t="s">
        <v>16713</v>
      </c>
      <c r="E27" s="12" t="s">
        <v>4980</v>
      </c>
      <c r="F27" s="9" t="s">
        <v>16714</v>
      </c>
      <c r="G27" s="9" t="s">
        <v>16715</v>
      </c>
      <c r="H27" s="285" t="s">
        <v>4296</v>
      </c>
      <c r="I27" s="285" t="s">
        <v>3793</v>
      </c>
      <c r="J27" s="285"/>
      <c r="K27" s="285" t="s">
        <v>3136</v>
      </c>
      <c r="L27" s="15">
        <v>42003</v>
      </c>
      <c r="M27" s="22" t="s">
        <v>5493</v>
      </c>
      <c r="N27" s="285"/>
      <c r="O27" s="70">
        <v>1</v>
      </c>
      <c r="P27" s="15">
        <v>40513</v>
      </c>
      <c r="Q27" s="40">
        <v>4670082.67</v>
      </c>
      <c r="R27" s="40">
        <v>4047405.44</v>
      </c>
      <c r="S27" s="40">
        <f>Q27-R27</f>
        <v>622677.23</v>
      </c>
      <c r="T27" s="18"/>
      <c r="U27" s="285" t="s">
        <v>3136</v>
      </c>
      <c r="V27" s="14">
        <v>40534</v>
      </c>
      <c r="W27" s="285">
        <v>751</v>
      </c>
    </row>
    <row r="28" spans="1:23" s="19" customFormat="1" ht="78" customHeight="1" x14ac:dyDescent="0.2">
      <c r="A28" s="289">
        <v>22</v>
      </c>
      <c r="B28" s="289" t="s">
        <v>16716</v>
      </c>
      <c r="C28" s="285" t="s">
        <v>16717</v>
      </c>
      <c r="D28" s="517" t="s">
        <v>16718</v>
      </c>
      <c r="E28" s="22" t="s">
        <v>9478</v>
      </c>
      <c r="F28" s="254" t="s">
        <v>16719</v>
      </c>
      <c r="G28" s="9" t="s">
        <v>16720</v>
      </c>
      <c r="H28" s="285" t="s">
        <v>16721</v>
      </c>
      <c r="I28" s="285" t="s">
        <v>16722</v>
      </c>
      <c r="J28" s="29" t="s">
        <v>2207</v>
      </c>
      <c r="K28" s="558" t="s">
        <v>16723</v>
      </c>
      <c r="L28" s="559" t="s">
        <v>16724</v>
      </c>
      <c r="M28" s="285" t="s">
        <v>16725</v>
      </c>
      <c r="N28" s="584"/>
      <c r="O28" s="70">
        <v>1</v>
      </c>
      <c r="P28" s="15">
        <v>40879</v>
      </c>
      <c r="Q28" s="40">
        <v>202632</v>
      </c>
      <c r="R28" s="40">
        <v>141842</v>
      </c>
      <c r="S28" s="40">
        <f>Q28-R28</f>
        <v>60790</v>
      </c>
      <c r="T28" s="40">
        <v>1710209</v>
      </c>
      <c r="U28" s="49" t="s">
        <v>16726</v>
      </c>
      <c r="V28" s="53" t="s">
        <v>16727</v>
      </c>
      <c r="W28" s="285" t="s">
        <v>16728</v>
      </c>
    </row>
    <row r="29" spans="1:23" s="19" customFormat="1" ht="81" customHeight="1" x14ac:dyDescent="0.2">
      <c r="A29" s="289">
        <v>23</v>
      </c>
      <c r="B29" s="289" t="s">
        <v>16729</v>
      </c>
      <c r="C29" s="285" t="s">
        <v>16730</v>
      </c>
      <c r="D29" s="517" t="s">
        <v>16731</v>
      </c>
      <c r="E29" s="22" t="s">
        <v>9478</v>
      </c>
      <c r="F29" s="254" t="s">
        <v>16732</v>
      </c>
      <c r="G29" s="9" t="s">
        <v>16733</v>
      </c>
      <c r="H29" s="285" t="s">
        <v>16734</v>
      </c>
      <c r="I29" s="285" t="s">
        <v>16722</v>
      </c>
      <c r="J29" s="29" t="s">
        <v>2207</v>
      </c>
      <c r="K29" s="558" t="s">
        <v>16735</v>
      </c>
      <c r="L29" s="559" t="s">
        <v>16724</v>
      </c>
      <c r="M29" s="285" t="s">
        <v>16725</v>
      </c>
      <c r="N29" s="659">
        <v>9</v>
      </c>
      <c r="O29" s="70">
        <v>1</v>
      </c>
      <c r="P29" s="15">
        <v>40879</v>
      </c>
      <c r="Q29" s="40">
        <v>213262</v>
      </c>
      <c r="R29" s="40">
        <f t="shared" ref="R29:R37" si="1">Q29-S29</f>
        <v>125724</v>
      </c>
      <c r="S29" s="40">
        <v>87538</v>
      </c>
      <c r="T29" s="40">
        <v>31093</v>
      </c>
      <c r="U29" s="285" t="s">
        <v>16736</v>
      </c>
      <c r="V29" s="53" t="s">
        <v>16737</v>
      </c>
      <c r="W29" s="284" t="s">
        <v>16738</v>
      </c>
    </row>
    <row r="30" spans="1:23" s="19" customFormat="1" ht="81" customHeight="1" x14ac:dyDescent="0.2">
      <c r="A30" s="289">
        <v>24</v>
      </c>
      <c r="B30" s="289" t="s">
        <v>16739</v>
      </c>
      <c r="C30" s="285" t="s">
        <v>16740</v>
      </c>
      <c r="D30" s="517" t="s">
        <v>16741</v>
      </c>
      <c r="E30" s="22" t="s">
        <v>9478</v>
      </c>
      <c r="F30" s="254" t="s">
        <v>16732</v>
      </c>
      <c r="G30" s="9" t="s">
        <v>16742</v>
      </c>
      <c r="H30" s="285" t="s">
        <v>16721</v>
      </c>
      <c r="I30" s="285" t="s">
        <v>16722</v>
      </c>
      <c r="J30" s="29" t="s">
        <v>2207</v>
      </c>
      <c r="K30" s="558" t="s">
        <v>16723</v>
      </c>
      <c r="L30" s="559" t="s">
        <v>16724</v>
      </c>
      <c r="M30" s="285" t="s">
        <v>16725</v>
      </c>
      <c r="N30" s="659">
        <v>9</v>
      </c>
      <c r="O30" s="70">
        <v>1</v>
      </c>
      <c r="P30" s="15">
        <v>40879</v>
      </c>
      <c r="Q30" s="40">
        <v>213262</v>
      </c>
      <c r="R30" s="40">
        <f t="shared" si="1"/>
        <v>125724</v>
      </c>
      <c r="S30" s="40">
        <v>87538</v>
      </c>
      <c r="T30" s="40">
        <v>66072</v>
      </c>
      <c r="U30" s="285" t="s">
        <v>16736</v>
      </c>
      <c r="V30" s="14" t="s">
        <v>16743</v>
      </c>
      <c r="W30" s="285" t="s">
        <v>16744</v>
      </c>
    </row>
    <row r="31" spans="1:23" s="19" customFormat="1" ht="81" customHeight="1" x14ac:dyDescent="0.2">
      <c r="A31" s="289">
        <v>25</v>
      </c>
      <c r="B31" s="289" t="s">
        <v>16745</v>
      </c>
      <c r="C31" s="285" t="s">
        <v>16746</v>
      </c>
      <c r="D31" s="517" t="s">
        <v>16747</v>
      </c>
      <c r="E31" s="22" t="s">
        <v>9478</v>
      </c>
      <c r="F31" s="254" t="s">
        <v>16732</v>
      </c>
      <c r="G31" s="9" t="s">
        <v>16748</v>
      </c>
      <c r="H31" s="285" t="s">
        <v>16721</v>
      </c>
      <c r="I31" s="285" t="s">
        <v>16722</v>
      </c>
      <c r="J31" s="29" t="s">
        <v>2207</v>
      </c>
      <c r="K31" s="558" t="s">
        <v>16723</v>
      </c>
      <c r="L31" s="559" t="s">
        <v>16724</v>
      </c>
      <c r="M31" s="285" t="s">
        <v>16725</v>
      </c>
      <c r="N31" s="659">
        <v>9</v>
      </c>
      <c r="O31" s="70">
        <v>1</v>
      </c>
      <c r="P31" s="15">
        <v>40879</v>
      </c>
      <c r="Q31" s="40">
        <v>213262</v>
      </c>
      <c r="R31" s="40">
        <f t="shared" si="1"/>
        <v>125724</v>
      </c>
      <c r="S31" s="40">
        <v>87538</v>
      </c>
      <c r="T31" s="40">
        <v>31093</v>
      </c>
      <c r="U31" s="285" t="s">
        <v>16736</v>
      </c>
      <c r="V31" s="14" t="s">
        <v>16749</v>
      </c>
      <c r="W31" s="285" t="s">
        <v>16750</v>
      </c>
    </row>
    <row r="32" spans="1:23" s="19" customFormat="1" ht="68.25" customHeight="1" x14ac:dyDescent="0.2">
      <c r="A32" s="289">
        <v>26</v>
      </c>
      <c r="B32" s="289" t="s">
        <v>16751</v>
      </c>
      <c r="C32" s="285" t="s">
        <v>16752</v>
      </c>
      <c r="D32" s="517" t="s">
        <v>16753</v>
      </c>
      <c r="E32" s="22" t="s">
        <v>9478</v>
      </c>
      <c r="F32" s="254" t="s">
        <v>16754</v>
      </c>
      <c r="G32" s="9" t="s">
        <v>16755</v>
      </c>
      <c r="H32" s="285" t="s">
        <v>16721</v>
      </c>
      <c r="I32" s="285" t="s">
        <v>16722</v>
      </c>
      <c r="J32" s="29" t="s">
        <v>2207</v>
      </c>
      <c r="K32" s="558" t="s">
        <v>16723</v>
      </c>
      <c r="L32" s="559" t="s">
        <v>16724</v>
      </c>
      <c r="M32" s="285" t="s">
        <v>16725</v>
      </c>
      <c r="N32" s="659">
        <v>150</v>
      </c>
      <c r="O32" s="70">
        <v>1</v>
      </c>
      <c r="P32" s="15">
        <v>40879</v>
      </c>
      <c r="Q32" s="40">
        <v>101316</v>
      </c>
      <c r="R32" s="40">
        <f t="shared" si="1"/>
        <v>60790</v>
      </c>
      <c r="S32" s="40">
        <v>40526</v>
      </c>
      <c r="T32" s="40">
        <v>593252</v>
      </c>
      <c r="U32" s="285" t="s">
        <v>16736</v>
      </c>
      <c r="V32" s="14" t="s">
        <v>16737</v>
      </c>
      <c r="W32" s="285" t="s">
        <v>16756</v>
      </c>
    </row>
    <row r="33" spans="1:23" s="19" customFormat="1" ht="63" customHeight="1" x14ac:dyDescent="0.2">
      <c r="A33" s="289">
        <v>27</v>
      </c>
      <c r="B33" s="289" t="s">
        <v>16757</v>
      </c>
      <c r="C33" s="285" t="s">
        <v>16758</v>
      </c>
      <c r="D33" s="517" t="s">
        <v>16759</v>
      </c>
      <c r="E33" s="22" t="s">
        <v>9478</v>
      </c>
      <c r="F33" s="254" t="s">
        <v>16760</v>
      </c>
      <c r="G33" s="9" t="s">
        <v>16761</v>
      </c>
      <c r="H33" s="285" t="s">
        <v>16721</v>
      </c>
      <c r="I33" s="285" t="s">
        <v>16722</v>
      </c>
      <c r="J33" s="29" t="s">
        <v>2207</v>
      </c>
      <c r="K33" s="558" t="s">
        <v>16723</v>
      </c>
      <c r="L33" s="559" t="s">
        <v>16724</v>
      </c>
      <c r="M33" s="285" t="s">
        <v>16725</v>
      </c>
      <c r="N33" s="659">
        <v>70</v>
      </c>
      <c r="O33" s="70">
        <v>1</v>
      </c>
      <c r="P33" s="15">
        <v>40879</v>
      </c>
      <c r="Q33" s="40">
        <v>47281</v>
      </c>
      <c r="R33" s="40">
        <f t="shared" si="1"/>
        <v>33099</v>
      </c>
      <c r="S33" s="40">
        <v>14182</v>
      </c>
      <c r="T33" s="40">
        <v>515118</v>
      </c>
      <c r="U33" s="285" t="s">
        <v>16736</v>
      </c>
      <c r="V33" s="14" t="s">
        <v>16762</v>
      </c>
      <c r="W33" s="285" t="s">
        <v>16763</v>
      </c>
    </row>
    <row r="34" spans="1:23" s="19" customFormat="1" ht="63" customHeight="1" x14ac:dyDescent="0.2">
      <c r="A34" s="289">
        <v>28</v>
      </c>
      <c r="B34" s="289" t="s">
        <v>16764</v>
      </c>
      <c r="C34" s="285" t="s">
        <v>16765</v>
      </c>
      <c r="D34" s="517" t="s">
        <v>16766</v>
      </c>
      <c r="E34" s="22" t="s">
        <v>9478</v>
      </c>
      <c r="F34" s="254" t="s">
        <v>16767</v>
      </c>
      <c r="G34" s="9" t="s">
        <v>16768</v>
      </c>
      <c r="H34" s="285" t="s">
        <v>16721</v>
      </c>
      <c r="I34" s="285" t="s">
        <v>16722</v>
      </c>
      <c r="J34" s="29" t="s">
        <v>2207</v>
      </c>
      <c r="K34" s="558" t="s">
        <v>16723</v>
      </c>
      <c r="L34" s="559" t="s">
        <v>16724</v>
      </c>
      <c r="M34" s="285" t="s">
        <v>16725</v>
      </c>
      <c r="N34" s="659">
        <v>70</v>
      </c>
      <c r="O34" s="70">
        <v>1</v>
      </c>
      <c r="P34" s="15">
        <v>40879</v>
      </c>
      <c r="Q34" s="40">
        <v>47281</v>
      </c>
      <c r="R34" s="40">
        <f t="shared" si="1"/>
        <v>28363</v>
      </c>
      <c r="S34" s="40">
        <v>18918</v>
      </c>
      <c r="T34" s="40">
        <v>242409</v>
      </c>
      <c r="U34" s="285" t="s">
        <v>16736</v>
      </c>
      <c r="V34" s="14" t="s">
        <v>16762</v>
      </c>
      <c r="W34" s="285" t="s">
        <v>16769</v>
      </c>
    </row>
    <row r="35" spans="1:23" s="19" customFormat="1" ht="61.5" customHeight="1" x14ac:dyDescent="0.2">
      <c r="A35" s="289">
        <v>29</v>
      </c>
      <c r="B35" s="289" t="s">
        <v>16770</v>
      </c>
      <c r="C35" s="285" t="s">
        <v>16771</v>
      </c>
      <c r="D35" s="517" t="s">
        <v>16772</v>
      </c>
      <c r="E35" s="22" t="s">
        <v>9478</v>
      </c>
      <c r="F35" s="254" t="s">
        <v>16773</v>
      </c>
      <c r="G35" s="9" t="s">
        <v>16774</v>
      </c>
      <c r="H35" s="285" t="s">
        <v>16721</v>
      </c>
      <c r="I35" s="285" t="s">
        <v>16722</v>
      </c>
      <c r="J35" s="29" t="s">
        <v>2207</v>
      </c>
      <c r="K35" s="558" t="s">
        <v>16723</v>
      </c>
      <c r="L35" s="559" t="s">
        <v>16724</v>
      </c>
      <c r="M35" s="285" t="s">
        <v>16725</v>
      </c>
      <c r="N35" s="584">
        <v>70</v>
      </c>
      <c r="O35" s="70">
        <v>1</v>
      </c>
      <c r="P35" s="15">
        <v>40879</v>
      </c>
      <c r="Q35" s="40">
        <v>47281</v>
      </c>
      <c r="R35" s="40">
        <f t="shared" si="1"/>
        <v>28363</v>
      </c>
      <c r="S35" s="40">
        <v>18918</v>
      </c>
      <c r="T35" s="40">
        <v>242409</v>
      </c>
      <c r="U35" s="285" t="s">
        <v>16736</v>
      </c>
      <c r="V35" s="14" t="s">
        <v>16762</v>
      </c>
      <c r="W35" s="285" t="s">
        <v>16775</v>
      </c>
    </row>
    <row r="36" spans="1:23" s="19" customFormat="1" ht="62.25" customHeight="1" x14ac:dyDescent="0.2">
      <c r="A36" s="289">
        <v>30</v>
      </c>
      <c r="B36" s="289" t="s">
        <v>16776</v>
      </c>
      <c r="C36" s="285" t="s">
        <v>16777</v>
      </c>
      <c r="D36" s="517" t="s">
        <v>16778</v>
      </c>
      <c r="E36" s="22" t="s">
        <v>9478</v>
      </c>
      <c r="F36" s="254" t="s">
        <v>16773</v>
      </c>
      <c r="G36" s="9" t="s">
        <v>16779</v>
      </c>
      <c r="H36" s="285" t="s">
        <v>16721</v>
      </c>
      <c r="I36" s="285" t="s">
        <v>16722</v>
      </c>
      <c r="J36" s="29" t="s">
        <v>2207</v>
      </c>
      <c r="K36" s="558" t="s">
        <v>16723</v>
      </c>
      <c r="L36" s="559" t="s">
        <v>16724</v>
      </c>
      <c r="M36" s="285" t="s">
        <v>16725</v>
      </c>
      <c r="N36" s="584">
        <v>70</v>
      </c>
      <c r="O36" s="70">
        <v>1</v>
      </c>
      <c r="P36" s="15">
        <v>40879</v>
      </c>
      <c r="Q36" s="40">
        <v>47281</v>
      </c>
      <c r="R36" s="40">
        <f t="shared" si="1"/>
        <v>28363</v>
      </c>
      <c r="S36" s="40">
        <v>18918</v>
      </c>
      <c r="T36" s="40">
        <v>242409</v>
      </c>
      <c r="U36" s="285" t="s">
        <v>16736</v>
      </c>
      <c r="V36" s="14" t="s">
        <v>16762</v>
      </c>
      <c r="W36" s="285" t="s">
        <v>16780</v>
      </c>
    </row>
    <row r="37" spans="1:23" s="19" customFormat="1" ht="39" customHeight="1" x14ac:dyDescent="0.2">
      <c r="A37" s="289">
        <v>31</v>
      </c>
      <c r="B37" s="289" t="s">
        <v>16781</v>
      </c>
      <c r="C37" s="285" t="s">
        <v>16782</v>
      </c>
      <c r="D37" s="517" t="s">
        <v>16783</v>
      </c>
      <c r="E37" s="22" t="s">
        <v>9478</v>
      </c>
      <c r="F37" s="254" t="s">
        <v>16773</v>
      </c>
      <c r="G37" s="9" t="s">
        <v>16784</v>
      </c>
      <c r="H37" s="285" t="s">
        <v>16721</v>
      </c>
      <c r="I37" s="285" t="s">
        <v>16722</v>
      </c>
      <c r="J37" s="29" t="s">
        <v>2207</v>
      </c>
      <c r="K37" s="558" t="s">
        <v>16723</v>
      </c>
      <c r="L37" s="559" t="s">
        <v>16724</v>
      </c>
      <c r="M37" s="285" t="s">
        <v>16725</v>
      </c>
      <c r="N37" s="584">
        <v>70</v>
      </c>
      <c r="O37" s="70">
        <v>1</v>
      </c>
      <c r="P37" s="15">
        <v>40879</v>
      </c>
      <c r="Q37" s="40">
        <v>47281</v>
      </c>
      <c r="R37" s="40">
        <f t="shared" si="1"/>
        <v>28363</v>
      </c>
      <c r="S37" s="40">
        <v>18918</v>
      </c>
      <c r="T37" s="40">
        <v>242409</v>
      </c>
      <c r="U37" s="285" t="s">
        <v>16736</v>
      </c>
      <c r="V37" s="14" t="s">
        <v>16762</v>
      </c>
      <c r="W37" s="285" t="s">
        <v>16785</v>
      </c>
    </row>
    <row r="38" spans="1:23" s="19" customFormat="1" ht="78" customHeight="1" x14ac:dyDescent="0.2">
      <c r="A38" s="289">
        <v>32</v>
      </c>
      <c r="B38" s="289" t="s">
        <v>16786</v>
      </c>
      <c r="C38" s="285" t="s">
        <v>16787</v>
      </c>
      <c r="D38" s="517" t="s">
        <v>16788</v>
      </c>
      <c r="E38" s="22" t="s">
        <v>9478</v>
      </c>
      <c r="F38" s="254" t="s">
        <v>16789</v>
      </c>
      <c r="G38" s="9" t="s">
        <v>16790</v>
      </c>
      <c r="H38" s="285"/>
      <c r="I38" s="285" t="s">
        <v>2042</v>
      </c>
      <c r="J38" s="29" t="s">
        <v>2207</v>
      </c>
      <c r="K38" s="285" t="s">
        <v>3136</v>
      </c>
      <c r="L38" s="559" t="s">
        <v>16791</v>
      </c>
      <c r="M38" s="289" t="s">
        <v>16792</v>
      </c>
      <c r="N38" s="584">
        <v>70</v>
      </c>
      <c r="O38" s="70">
        <v>1</v>
      </c>
      <c r="P38" s="15">
        <v>40879</v>
      </c>
      <c r="Q38" s="40">
        <v>47281</v>
      </c>
      <c r="R38" s="40">
        <v>21282.06</v>
      </c>
      <c r="S38" s="40">
        <f>Q38-R38</f>
        <v>25998.94</v>
      </c>
      <c r="T38" s="40">
        <v>242409</v>
      </c>
      <c r="U38" s="285" t="s">
        <v>16736</v>
      </c>
      <c r="V38" s="14" t="s">
        <v>16793</v>
      </c>
      <c r="W38" s="285" t="s">
        <v>16794</v>
      </c>
    </row>
    <row r="39" spans="1:23" s="19" customFormat="1" ht="65.25" customHeight="1" x14ac:dyDescent="0.2">
      <c r="A39" s="289">
        <v>33</v>
      </c>
      <c r="B39" s="289" t="s">
        <v>16795</v>
      </c>
      <c r="C39" s="285" t="s">
        <v>16796</v>
      </c>
      <c r="D39" s="517" t="s">
        <v>16797</v>
      </c>
      <c r="E39" s="22" t="s">
        <v>9478</v>
      </c>
      <c r="F39" s="254" t="s">
        <v>16798</v>
      </c>
      <c r="G39" s="9" t="s">
        <v>16799</v>
      </c>
      <c r="H39" s="285"/>
      <c r="I39" s="285" t="s">
        <v>2042</v>
      </c>
      <c r="J39" s="285" t="s">
        <v>2207</v>
      </c>
      <c r="K39" s="558" t="s">
        <v>16800</v>
      </c>
      <c r="L39" s="558" t="s">
        <v>16801</v>
      </c>
      <c r="M39" s="285" t="s">
        <v>16802</v>
      </c>
      <c r="N39" s="584">
        <v>800</v>
      </c>
      <c r="O39" s="70">
        <v>1</v>
      </c>
      <c r="P39" s="15">
        <v>40879</v>
      </c>
      <c r="Q39" s="40">
        <v>506581</v>
      </c>
      <c r="R39" s="40">
        <f>Q39-S39</f>
        <v>354607</v>
      </c>
      <c r="S39" s="40">
        <v>151974</v>
      </c>
      <c r="T39" s="40">
        <v>6404186</v>
      </c>
      <c r="U39" s="285" t="s">
        <v>16736</v>
      </c>
      <c r="V39" s="14" t="s">
        <v>16803</v>
      </c>
      <c r="W39" s="285" t="s">
        <v>16804</v>
      </c>
    </row>
    <row r="40" spans="1:23" s="19" customFormat="1" ht="65.25" customHeight="1" x14ac:dyDescent="0.2">
      <c r="A40" s="289">
        <v>34</v>
      </c>
      <c r="B40" s="289" t="s">
        <v>16805</v>
      </c>
      <c r="C40" s="285" t="s">
        <v>16806</v>
      </c>
      <c r="D40" s="517" t="s">
        <v>16807</v>
      </c>
      <c r="E40" s="22" t="s">
        <v>6173</v>
      </c>
      <c r="F40" s="254" t="s">
        <v>16808</v>
      </c>
      <c r="G40" s="9" t="s">
        <v>16809</v>
      </c>
      <c r="H40" s="285"/>
      <c r="I40" s="285" t="s">
        <v>2042</v>
      </c>
      <c r="J40" s="285" t="s">
        <v>2207</v>
      </c>
      <c r="K40" s="558" t="s">
        <v>16800</v>
      </c>
      <c r="L40" s="558" t="s">
        <v>16810</v>
      </c>
      <c r="M40" s="285" t="s">
        <v>16811</v>
      </c>
      <c r="N40" s="558"/>
      <c r="O40" s="70">
        <v>1</v>
      </c>
      <c r="P40" s="15">
        <v>40879</v>
      </c>
      <c r="Q40" s="40">
        <v>506581</v>
      </c>
      <c r="R40" s="40">
        <f>Q40-S40</f>
        <v>354607</v>
      </c>
      <c r="S40" s="40">
        <v>151974</v>
      </c>
      <c r="T40" s="18"/>
      <c r="U40" s="285" t="s">
        <v>16736</v>
      </c>
      <c r="V40" s="14" t="s">
        <v>16812</v>
      </c>
      <c r="W40" s="285" t="s">
        <v>16813</v>
      </c>
    </row>
    <row r="41" spans="1:23" s="19" customFormat="1" ht="39" customHeight="1" x14ac:dyDescent="0.2">
      <c r="A41" s="289">
        <v>35</v>
      </c>
      <c r="B41" s="289" t="s">
        <v>16814</v>
      </c>
      <c r="C41" s="285"/>
      <c r="D41" s="517" t="s">
        <v>16815</v>
      </c>
      <c r="E41" s="22" t="s">
        <v>2467</v>
      </c>
      <c r="F41" s="254" t="s">
        <v>16816</v>
      </c>
      <c r="G41" s="9" t="s">
        <v>16817</v>
      </c>
      <c r="H41" s="285" t="s">
        <v>16708</v>
      </c>
      <c r="I41" s="285" t="s">
        <v>7613</v>
      </c>
      <c r="J41" s="29"/>
      <c r="K41" s="558" t="s">
        <v>7610</v>
      </c>
      <c r="L41" s="559" t="s">
        <v>7614</v>
      </c>
      <c r="M41" s="285" t="s">
        <v>7615</v>
      </c>
      <c r="N41" s="558"/>
      <c r="O41" s="70">
        <v>1</v>
      </c>
      <c r="P41" s="15">
        <v>40822</v>
      </c>
      <c r="Q41" s="40">
        <v>38500</v>
      </c>
      <c r="R41" s="40">
        <v>21875.8</v>
      </c>
      <c r="S41" s="40">
        <f>Q41-R41</f>
        <v>16624.2</v>
      </c>
      <c r="T41" s="18"/>
      <c r="U41" s="49" t="s">
        <v>16818</v>
      </c>
      <c r="V41" s="53" t="s">
        <v>16819</v>
      </c>
      <c r="W41" s="39">
        <v>1016</v>
      </c>
    </row>
    <row r="42" spans="1:23" s="19" customFormat="1" ht="56.25" customHeight="1" x14ac:dyDescent="0.2">
      <c r="A42" s="289">
        <v>36</v>
      </c>
      <c r="B42" s="285" t="s">
        <v>16820</v>
      </c>
      <c r="C42" s="285"/>
      <c r="D42" s="517" t="s">
        <v>16821</v>
      </c>
      <c r="E42" s="22" t="s">
        <v>15222</v>
      </c>
      <c r="F42" s="254" t="s">
        <v>16822</v>
      </c>
      <c r="G42" s="9" t="s">
        <v>16823</v>
      </c>
      <c r="H42" s="285" t="s">
        <v>16708</v>
      </c>
      <c r="I42" s="285" t="s">
        <v>16824</v>
      </c>
      <c r="J42" s="29"/>
      <c r="K42" s="558" t="s">
        <v>7610</v>
      </c>
      <c r="L42" s="559" t="s">
        <v>16825</v>
      </c>
      <c r="M42" s="285" t="s">
        <v>16826</v>
      </c>
      <c r="N42" s="558"/>
      <c r="O42" s="70">
        <v>1</v>
      </c>
      <c r="P42" s="15">
        <v>40822</v>
      </c>
      <c r="Q42" s="40">
        <v>326700</v>
      </c>
      <c r="R42" s="40">
        <v>326700</v>
      </c>
      <c r="S42" s="40">
        <f>Q42-R42</f>
        <v>0</v>
      </c>
      <c r="T42" s="18"/>
      <c r="U42" s="285" t="s">
        <v>16818</v>
      </c>
      <c r="V42" s="14" t="s">
        <v>16819</v>
      </c>
      <c r="W42" s="289">
        <v>1016</v>
      </c>
    </row>
    <row r="43" spans="1:23" s="19" customFormat="1" ht="93" customHeight="1" x14ac:dyDescent="0.2">
      <c r="A43" s="289">
        <v>37</v>
      </c>
      <c r="B43" s="285" t="s">
        <v>16827</v>
      </c>
      <c r="C43" s="285"/>
      <c r="D43" s="517" t="s">
        <v>16828</v>
      </c>
      <c r="E43" s="560">
        <v>2012</v>
      </c>
      <c r="F43" s="254" t="s">
        <v>16829</v>
      </c>
      <c r="G43" s="817" t="s">
        <v>14126</v>
      </c>
      <c r="H43" s="558" t="s">
        <v>4877</v>
      </c>
      <c r="I43" s="285" t="s">
        <v>1586</v>
      </c>
      <c r="J43" s="558"/>
      <c r="K43" s="558" t="s">
        <v>3136</v>
      </c>
      <c r="L43" s="559">
        <v>41165</v>
      </c>
      <c r="M43" s="285">
        <v>863</v>
      </c>
      <c r="N43" s="558"/>
      <c r="O43" s="70">
        <v>1</v>
      </c>
      <c r="P43" s="15">
        <v>41456</v>
      </c>
      <c r="Q43" s="40">
        <v>159100</v>
      </c>
      <c r="R43" s="40">
        <v>108718.47</v>
      </c>
      <c r="S43" s="40">
        <f>Q43-R43</f>
        <v>50381.53</v>
      </c>
      <c r="T43" s="18"/>
      <c r="U43" s="285" t="s">
        <v>3136</v>
      </c>
      <c r="V43" s="14">
        <v>41137</v>
      </c>
      <c r="W43" s="289">
        <v>751</v>
      </c>
    </row>
    <row r="44" spans="1:23" s="19" customFormat="1" ht="57" customHeight="1" x14ac:dyDescent="0.2">
      <c r="A44" s="289">
        <v>38</v>
      </c>
      <c r="B44" s="285" t="s">
        <v>16830</v>
      </c>
      <c r="C44" s="285"/>
      <c r="D44" s="254" t="s">
        <v>16831</v>
      </c>
      <c r="E44" s="818" t="s">
        <v>16832</v>
      </c>
      <c r="F44" s="254" t="s">
        <v>16833</v>
      </c>
      <c r="G44" s="817" t="s">
        <v>16834</v>
      </c>
      <c r="H44" s="361"/>
      <c r="I44" s="558" t="s">
        <v>2042</v>
      </c>
      <c r="J44" s="558" t="s">
        <v>2207</v>
      </c>
      <c r="K44" s="558" t="s">
        <v>3136</v>
      </c>
      <c r="L44" s="559">
        <v>41272</v>
      </c>
      <c r="M44" s="285">
        <v>1278</v>
      </c>
      <c r="N44" s="558">
        <v>33.6</v>
      </c>
      <c r="O44" s="70">
        <v>1</v>
      </c>
      <c r="P44" s="15">
        <v>41243</v>
      </c>
      <c r="Q44" s="40">
        <v>14543</v>
      </c>
      <c r="R44" s="40">
        <f>Q44-S44</f>
        <v>14543</v>
      </c>
      <c r="S44" s="40">
        <v>0</v>
      </c>
      <c r="T44" s="18"/>
      <c r="U44" s="285"/>
      <c r="V44" s="14"/>
      <c r="W44" s="22"/>
    </row>
    <row r="45" spans="1:23" s="19" customFormat="1" ht="39" customHeight="1" x14ac:dyDescent="0.2">
      <c r="A45" s="289">
        <v>39</v>
      </c>
      <c r="B45" s="285" t="s">
        <v>16835</v>
      </c>
      <c r="C45" s="285"/>
      <c r="D45" s="254" t="s">
        <v>16831</v>
      </c>
      <c r="E45" s="818" t="s">
        <v>16832</v>
      </c>
      <c r="F45" s="254" t="s">
        <v>16836</v>
      </c>
      <c r="G45" s="817" t="s">
        <v>16837</v>
      </c>
      <c r="H45" s="361"/>
      <c r="I45" s="558" t="s">
        <v>2042</v>
      </c>
      <c r="J45" s="558" t="s">
        <v>2207</v>
      </c>
      <c r="K45" s="558" t="s">
        <v>3136</v>
      </c>
      <c r="L45" s="559">
        <v>41272</v>
      </c>
      <c r="M45" s="285">
        <v>1278</v>
      </c>
      <c r="N45" s="558">
        <v>29.4</v>
      </c>
      <c r="O45" s="70">
        <v>1</v>
      </c>
      <c r="P45" s="15">
        <v>41243</v>
      </c>
      <c r="Q45" s="40">
        <v>17211</v>
      </c>
      <c r="R45" s="40">
        <f>Q45-S45</f>
        <v>17211</v>
      </c>
      <c r="S45" s="40">
        <v>0</v>
      </c>
      <c r="T45" s="18"/>
      <c r="U45" s="285"/>
      <c r="V45" s="14"/>
      <c r="W45" s="22"/>
    </row>
    <row r="46" spans="1:23" s="19" customFormat="1" ht="186" customHeight="1" x14ac:dyDescent="0.2">
      <c r="A46" s="289">
        <v>40</v>
      </c>
      <c r="B46" s="285" t="s">
        <v>16838</v>
      </c>
      <c r="C46" s="285" t="s">
        <v>16839</v>
      </c>
      <c r="D46" s="817" t="s">
        <v>16840</v>
      </c>
      <c r="E46" s="664" t="s">
        <v>1823</v>
      </c>
      <c r="F46" s="254" t="s">
        <v>16841</v>
      </c>
      <c r="G46" s="9" t="s">
        <v>16842</v>
      </c>
      <c r="H46" s="361" t="s">
        <v>4877</v>
      </c>
      <c r="I46" s="361" t="s">
        <v>3793</v>
      </c>
      <c r="J46" s="361"/>
      <c r="K46" s="558" t="s">
        <v>3136</v>
      </c>
      <c r="L46" s="140" t="s">
        <v>16843</v>
      </c>
      <c r="M46" s="285" t="s">
        <v>16844</v>
      </c>
      <c r="N46" s="361">
        <v>20</v>
      </c>
      <c r="O46" s="70">
        <v>1</v>
      </c>
      <c r="P46" s="819">
        <v>41607</v>
      </c>
      <c r="Q46" s="40">
        <v>126319</v>
      </c>
      <c r="R46" s="40">
        <v>126319</v>
      </c>
      <c r="S46" s="40">
        <f>Q46-R46</f>
        <v>0</v>
      </c>
      <c r="T46" s="18"/>
      <c r="U46" s="285" t="s">
        <v>16629</v>
      </c>
      <c r="V46" s="14" t="s">
        <v>16845</v>
      </c>
      <c r="W46" s="22" t="s">
        <v>16846</v>
      </c>
    </row>
    <row r="47" spans="1:23" s="19" customFormat="1" ht="45.75" customHeight="1" x14ac:dyDescent="0.2">
      <c r="A47" s="289">
        <v>41</v>
      </c>
      <c r="B47" s="285" t="s">
        <v>16847</v>
      </c>
      <c r="C47" s="285"/>
      <c r="D47" s="254" t="s">
        <v>16848</v>
      </c>
      <c r="E47" s="818" t="s">
        <v>16832</v>
      </c>
      <c r="F47" s="254" t="s">
        <v>16849</v>
      </c>
      <c r="G47" s="817" t="s">
        <v>16850</v>
      </c>
      <c r="H47" s="361"/>
      <c r="I47" s="558" t="s">
        <v>2042</v>
      </c>
      <c r="J47" s="558" t="s">
        <v>2207</v>
      </c>
      <c r="K47" s="558" t="s">
        <v>3136</v>
      </c>
      <c r="L47" s="559">
        <v>41272</v>
      </c>
      <c r="M47" s="285">
        <v>1278</v>
      </c>
      <c r="N47" s="558">
        <v>6</v>
      </c>
      <c r="O47" s="70">
        <v>1</v>
      </c>
      <c r="P47" s="15">
        <v>41243</v>
      </c>
      <c r="Q47" s="40">
        <v>3123</v>
      </c>
      <c r="R47" s="40">
        <f t="shared" ref="R47:R60" si="2">Q47-S47</f>
        <v>3123</v>
      </c>
      <c r="S47" s="40">
        <v>0</v>
      </c>
      <c r="T47" s="18"/>
      <c r="U47" s="285" t="s">
        <v>3136</v>
      </c>
      <c r="V47" s="14">
        <v>41272</v>
      </c>
      <c r="W47" s="22">
        <v>1278</v>
      </c>
    </row>
    <row r="48" spans="1:23" s="19" customFormat="1" ht="45.75" customHeight="1" x14ac:dyDescent="0.2">
      <c r="A48" s="289">
        <v>42</v>
      </c>
      <c r="B48" s="285" t="s">
        <v>16851</v>
      </c>
      <c r="C48" s="285"/>
      <c r="D48" s="254" t="s">
        <v>16848</v>
      </c>
      <c r="E48" s="818" t="s">
        <v>16832</v>
      </c>
      <c r="F48" s="254" t="s">
        <v>16849</v>
      </c>
      <c r="G48" s="817" t="s">
        <v>16852</v>
      </c>
      <c r="H48" s="361"/>
      <c r="I48" s="558" t="s">
        <v>2042</v>
      </c>
      <c r="J48" s="558" t="s">
        <v>2207</v>
      </c>
      <c r="K48" s="558" t="s">
        <v>3136</v>
      </c>
      <c r="L48" s="559">
        <v>41272</v>
      </c>
      <c r="M48" s="285">
        <v>1278</v>
      </c>
      <c r="N48" s="558">
        <v>6</v>
      </c>
      <c r="O48" s="70">
        <v>1</v>
      </c>
      <c r="P48" s="15">
        <v>41243</v>
      </c>
      <c r="Q48" s="40">
        <v>3156</v>
      </c>
      <c r="R48" s="40">
        <f t="shared" si="2"/>
        <v>3156</v>
      </c>
      <c r="S48" s="40">
        <v>0</v>
      </c>
      <c r="T48" s="18"/>
      <c r="U48" s="285" t="s">
        <v>3136</v>
      </c>
      <c r="V48" s="14">
        <v>41272</v>
      </c>
      <c r="W48" s="22">
        <v>1278</v>
      </c>
    </row>
    <row r="49" spans="1:23" s="19" customFormat="1" ht="45.75" customHeight="1" x14ac:dyDescent="0.2">
      <c r="A49" s="289">
        <v>43</v>
      </c>
      <c r="B49" s="285" t="s">
        <v>16853</v>
      </c>
      <c r="C49" s="285"/>
      <c r="D49" s="254" t="s">
        <v>16848</v>
      </c>
      <c r="E49" s="818" t="s">
        <v>16832</v>
      </c>
      <c r="F49" s="254" t="s">
        <v>16849</v>
      </c>
      <c r="G49" s="817" t="s">
        <v>16854</v>
      </c>
      <c r="H49" s="361"/>
      <c r="I49" s="558" t="s">
        <v>2042</v>
      </c>
      <c r="J49" s="558" t="s">
        <v>2207</v>
      </c>
      <c r="K49" s="558" t="s">
        <v>3136</v>
      </c>
      <c r="L49" s="559">
        <v>41272</v>
      </c>
      <c r="M49" s="285">
        <v>1278</v>
      </c>
      <c r="N49" s="558">
        <v>6</v>
      </c>
      <c r="O49" s="70">
        <v>1</v>
      </c>
      <c r="P49" s="15">
        <v>41243</v>
      </c>
      <c r="Q49" s="40">
        <v>3186</v>
      </c>
      <c r="R49" s="40">
        <f t="shared" si="2"/>
        <v>3186</v>
      </c>
      <c r="S49" s="40">
        <v>0</v>
      </c>
      <c r="T49" s="18"/>
      <c r="U49" s="285" t="s">
        <v>3136</v>
      </c>
      <c r="V49" s="14">
        <v>41272</v>
      </c>
      <c r="W49" s="22">
        <v>1278</v>
      </c>
    </row>
    <row r="50" spans="1:23" s="19" customFormat="1" ht="45.75" customHeight="1" x14ac:dyDescent="0.2">
      <c r="A50" s="289">
        <v>44</v>
      </c>
      <c r="B50" s="285" t="s">
        <v>16855</v>
      </c>
      <c r="C50" s="285"/>
      <c r="D50" s="254" t="s">
        <v>16848</v>
      </c>
      <c r="E50" s="818" t="s">
        <v>16832</v>
      </c>
      <c r="F50" s="254" t="s">
        <v>16849</v>
      </c>
      <c r="G50" s="817" t="s">
        <v>16856</v>
      </c>
      <c r="H50" s="361"/>
      <c r="I50" s="558" t="s">
        <v>2042</v>
      </c>
      <c r="J50" s="558" t="s">
        <v>2207</v>
      </c>
      <c r="K50" s="558" t="s">
        <v>3136</v>
      </c>
      <c r="L50" s="559">
        <v>41272</v>
      </c>
      <c r="M50" s="285">
        <v>1278</v>
      </c>
      <c r="N50" s="558">
        <v>6</v>
      </c>
      <c r="O50" s="70">
        <v>1</v>
      </c>
      <c r="P50" s="15">
        <v>41243</v>
      </c>
      <c r="Q50" s="40">
        <v>3226</v>
      </c>
      <c r="R50" s="40">
        <f t="shared" si="2"/>
        <v>3226</v>
      </c>
      <c r="S50" s="40">
        <v>0</v>
      </c>
      <c r="T50" s="18"/>
      <c r="U50" s="285" t="s">
        <v>3136</v>
      </c>
      <c r="V50" s="14">
        <v>41272</v>
      </c>
      <c r="W50" s="22">
        <v>1278</v>
      </c>
    </row>
    <row r="51" spans="1:23" s="19" customFormat="1" ht="39" customHeight="1" x14ac:dyDescent="0.2">
      <c r="A51" s="289">
        <v>45</v>
      </c>
      <c r="B51" s="285" t="s">
        <v>16857</v>
      </c>
      <c r="C51" s="285"/>
      <c r="D51" s="254" t="s">
        <v>16858</v>
      </c>
      <c r="E51" s="361">
        <v>2000</v>
      </c>
      <c r="F51" s="254" t="s">
        <v>16859</v>
      </c>
      <c r="G51" s="254" t="s">
        <v>16860</v>
      </c>
      <c r="H51" s="361" t="s">
        <v>4296</v>
      </c>
      <c r="I51" s="285" t="s">
        <v>1586</v>
      </c>
      <c r="J51" s="361"/>
      <c r="K51" s="558" t="s">
        <v>3136</v>
      </c>
      <c r="L51" s="140">
        <v>41950</v>
      </c>
      <c r="M51" s="285">
        <v>1012</v>
      </c>
      <c r="N51" s="361"/>
      <c r="O51" s="70">
        <v>1</v>
      </c>
      <c r="P51" s="15">
        <v>41121</v>
      </c>
      <c r="Q51" s="40">
        <v>16017.05</v>
      </c>
      <c r="R51" s="40">
        <f t="shared" si="2"/>
        <v>16017.05</v>
      </c>
      <c r="S51" s="40">
        <v>0</v>
      </c>
      <c r="T51" s="18"/>
      <c r="U51" s="285" t="s">
        <v>5071</v>
      </c>
      <c r="V51" s="14">
        <v>41121</v>
      </c>
      <c r="W51" s="289">
        <v>11</v>
      </c>
    </row>
    <row r="52" spans="1:23" s="19" customFormat="1" ht="39" customHeight="1" x14ac:dyDescent="0.2">
      <c r="A52" s="289">
        <v>46</v>
      </c>
      <c r="B52" s="285" t="s">
        <v>16861</v>
      </c>
      <c r="C52" s="285"/>
      <c r="D52" s="254" t="s">
        <v>16862</v>
      </c>
      <c r="E52" s="361">
        <v>1978</v>
      </c>
      <c r="F52" s="254" t="s">
        <v>16859</v>
      </c>
      <c r="G52" s="254" t="s">
        <v>16863</v>
      </c>
      <c r="H52" s="361" t="s">
        <v>4296</v>
      </c>
      <c r="I52" s="285" t="s">
        <v>1586</v>
      </c>
      <c r="J52" s="361"/>
      <c r="K52" s="558" t="s">
        <v>3136</v>
      </c>
      <c r="L52" s="140">
        <v>41950</v>
      </c>
      <c r="M52" s="285">
        <v>1012</v>
      </c>
      <c r="N52" s="361"/>
      <c r="O52" s="70">
        <v>1</v>
      </c>
      <c r="P52" s="15">
        <v>41121</v>
      </c>
      <c r="Q52" s="40">
        <v>17085</v>
      </c>
      <c r="R52" s="40">
        <f t="shared" si="2"/>
        <v>17085</v>
      </c>
      <c r="S52" s="40">
        <v>0</v>
      </c>
      <c r="T52" s="18"/>
      <c r="U52" s="285" t="s">
        <v>5071</v>
      </c>
      <c r="V52" s="14">
        <v>41121</v>
      </c>
      <c r="W52" s="289">
        <v>11</v>
      </c>
    </row>
    <row r="53" spans="1:23" s="19" customFormat="1" ht="46.5" customHeight="1" x14ac:dyDescent="0.2">
      <c r="A53" s="289">
        <v>47</v>
      </c>
      <c r="B53" s="285" t="s">
        <v>16864</v>
      </c>
      <c r="C53" s="285"/>
      <c r="D53" s="254" t="s">
        <v>16862</v>
      </c>
      <c r="E53" s="361">
        <v>1968</v>
      </c>
      <c r="F53" s="254" t="s">
        <v>16859</v>
      </c>
      <c r="G53" s="254" t="s">
        <v>16865</v>
      </c>
      <c r="H53" s="361" t="s">
        <v>4296</v>
      </c>
      <c r="I53" s="285" t="s">
        <v>1586</v>
      </c>
      <c r="J53" s="361"/>
      <c r="K53" s="558" t="s">
        <v>3136</v>
      </c>
      <c r="L53" s="140">
        <v>41950</v>
      </c>
      <c r="M53" s="285">
        <v>1012</v>
      </c>
      <c r="N53" s="361"/>
      <c r="O53" s="70">
        <v>1</v>
      </c>
      <c r="P53" s="15">
        <v>41121</v>
      </c>
      <c r="Q53" s="40">
        <v>17085</v>
      </c>
      <c r="R53" s="40">
        <f t="shared" si="2"/>
        <v>17085</v>
      </c>
      <c r="S53" s="40">
        <v>0</v>
      </c>
      <c r="T53" s="18"/>
      <c r="U53" s="285" t="s">
        <v>5071</v>
      </c>
      <c r="V53" s="14">
        <v>41121</v>
      </c>
      <c r="W53" s="289">
        <v>11</v>
      </c>
    </row>
    <row r="54" spans="1:23" s="19" customFormat="1" ht="39" customHeight="1" x14ac:dyDescent="0.2">
      <c r="A54" s="289">
        <v>48</v>
      </c>
      <c r="B54" s="285" t="s">
        <v>16866</v>
      </c>
      <c r="C54" s="285"/>
      <c r="D54" s="254" t="s">
        <v>16867</v>
      </c>
      <c r="E54" s="361">
        <v>1961</v>
      </c>
      <c r="F54" s="254" t="s">
        <v>16868</v>
      </c>
      <c r="G54" s="254" t="s">
        <v>16869</v>
      </c>
      <c r="H54" s="361" t="s">
        <v>4296</v>
      </c>
      <c r="I54" s="285" t="s">
        <v>1586</v>
      </c>
      <c r="J54" s="361"/>
      <c r="K54" s="558" t="s">
        <v>3136</v>
      </c>
      <c r="L54" s="140">
        <v>41950</v>
      </c>
      <c r="M54" s="285">
        <v>1012</v>
      </c>
      <c r="N54" s="361"/>
      <c r="O54" s="70">
        <v>1</v>
      </c>
      <c r="P54" s="15">
        <v>41121</v>
      </c>
      <c r="Q54" s="40">
        <v>15968.36</v>
      </c>
      <c r="R54" s="40">
        <f t="shared" si="2"/>
        <v>15968.36</v>
      </c>
      <c r="S54" s="40">
        <v>0</v>
      </c>
      <c r="T54" s="18"/>
      <c r="U54" s="285" t="s">
        <v>5071</v>
      </c>
      <c r="V54" s="14">
        <v>41121</v>
      </c>
      <c r="W54" s="289">
        <v>11</v>
      </c>
    </row>
    <row r="55" spans="1:23" s="19" customFormat="1" ht="39" customHeight="1" x14ac:dyDescent="0.2">
      <c r="A55" s="289">
        <v>49</v>
      </c>
      <c r="B55" s="285" t="s">
        <v>16870</v>
      </c>
      <c r="C55" s="285"/>
      <c r="D55" s="254" t="s">
        <v>16871</v>
      </c>
      <c r="E55" s="361">
        <v>1964</v>
      </c>
      <c r="F55" s="254" t="s">
        <v>16868</v>
      </c>
      <c r="G55" s="254" t="s">
        <v>16872</v>
      </c>
      <c r="H55" s="361" t="s">
        <v>4296</v>
      </c>
      <c r="I55" s="285" t="s">
        <v>1586</v>
      </c>
      <c r="J55" s="361"/>
      <c r="K55" s="558" t="s">
        <v>3136</v>
      </c>
      <c r="L55" s="140">
        <v>41950</v>
      </c>
      <c r="M55" s="285">
        <v>1012</v>
      </c>
      <c r="N55" s="361"/>
      <c r="O55" s="70">
        <v>1</v>
      </c>
      <c r="P55" s="15">
        <v>41121</v>
      </c>
      <c r="Q55" s="40">
        <v>14740.09</v>
      </c>
      <c r="R55" s="40">
        <f t="shared" si="2"/>
        <v>14740.09</v>
      </c>
      <c r="S55" s="40">
        <v>0</v>
      </c>
      <c r="T55" s="18"/>
      <c r="U55" s="285" t="s">
        <v>5071</v>
      </c>
      <c r="V55" s="14">
        <v>41121</v>
      </c>
      <c r="W55" s="289">
        <v>11</v>
      </c>
    </row>
    <row r="56" spans="1:23" s="19" customFormat="1" ht="39" customHeight="1" x14ac:dyDescent="0.2">
      <c r="A56" s="289">
        <v>50</v>
      </c>
      <c r="B56" s="285" t="s">
        <v>16873</v>
      </c>
      <c r="C56" s="285"/>
      <c r="D56" s="254" t="s">
        <v>16874</v>
      </c>
      <c r="E56" s="361">
        <v>1972</v>
      </c>
      <c r="F56" s="254" t="s">
        <v>16859</v>
      </c>
      <c r="G56" s="254" t="s">
        <v>16875</v>
      </c>
      <c r="H56" s="361" t="s">
        <v>4296</v>
      </c>
      <c r="I56" s="285" t="s">
        <v>1586</v>
      </c>
      <c r="J56" s="361"/>
      <c r="K56" s="558" t="s">
        <v>3136</v>
      </c>
      <c r="L56" s="140">
        <v>41950</v>
      </c>
      <c r="M56" s="285">
        <v>1012</v>
      </c>
      <c r="N56" s="361"/>
      <c r="O56" s="70">
        <v>1</v>
      </c>
      <c r="P56" s="15">
        <v>41121</v>
      </c>
      <c r="Q56" s="40">
        <v>23847.759999999998</v>
      </c>
      <c r="R56" s="40">
        <f t="shared" si="2"/>
        <v>23847.759999999998</v>
      </c>
      <c r="S56" s="40">
        <v>0</v>
      </c>
      <c r="T56" s="18"/>
      <c r="U56" s="285" t="s">
        <v>5071</v>
      </c>
      <c r="V56" s="14">
        <v>41121</v>
      </c>
      <c r="W56" s="289">
        <v>11</v>
      </c>
    </row>
    <row r="57" spans="1:23" s="19" customFormat="1" ht="39" customHeight="1" x14ac:dyDescent="0.2">
      <c r="A57" s="289">
        <v>51</v>
      </c>
      <c r="B57" s="285" t="s">
        <v>16876</v>
      </c>
      <c r="C57" s="285"/>
      <c r="D57" s="254" t="s">
        <v>16877</v>
      </c>
      <c r="E57" s="361">
        <v>1974</v>
      </c>
      <c r="F57" s="254" t="s">
        <v>16859</v>
      </c>
      <c r="G57" s="254" t="s">
        <v>16878</v>
      </c>
      <c r="H57" s="361" t="s">
        <v>4296</v>
      </c>
      <c r="I57" s="285" t="s">
        <v>1586</v>
      </c>
      <c r="J57" s="361"/>
      <c r="K57" s="558" t="s">
        <v>3136</v>
      </c>
      <c r="L57" s="140">
        <v>41950</v>
      </c>
      <c r="M57" s="285">
        <v>1012</v>
      </c>
      <c r="N57" s="361"/>
      <c r="O57" s="70">
        <v>1</v>
      </c>
      <c r="P57" s="15">
        <v>41121</v>
      </c>
      <c r="Q57" s="40">
        <v>17085</v>
      </c>
      <c r="R57" s="40">
        <f t="shared" si="2"/>
        <v>17085</v>
      </c>
      <c r="S57" s="40">
        <v>0</v>
      </c>
      <c r="T57" s="18"/>
      <c r="U57" s="285" t="s">
        <v>5071</v>
      </c>
      <c r="V57" s="14">
        <v>41121</v>
      </c>
      <c r="W57" s="289">
        <v>11</v>
      </c>
    </row>
    <row r="58" spans="1:23" s="19" customFormat="1" ht="39" customHeight="1" x14ac:dyDescent="0.2">
      <c r="A58" s="289">
        <v>52</v>
      </c>
      <c r="B58" s="285" t="s">
        <v>16879</v>
      </c>
      <c r="C58" s="285"/>
      <c r="D58" s="254" t="s">
        <v>16880</v>
      </c>
      <c r="E58" s="361">
        <v>1999</v>
      </c>
      <c r="F58" s="254" t="s">
        <v>16859</v>
      </c>
      <c r="G58" s="254" t="s">
        <v>16881</v>
      </c>
      <c r="H58" s="361" t="s">
        <v>4296</v>
      </c>
      <c r="I58" s="285" t="s">
        <v>1586</v>
      </c>
      <c r="J58" s="361"/>
      <c r="K58" s="558" t="s">
        <v>3136</v>
      </c>
      <c r="L58" s="140">
        <v>41950</v>
      </c>
      <c r="M58" s="285">
        <v>1012</v>
      </c>
      <c r="N58" s="361"/>
      <c r="O58" s="70">
        <v>1</v>
      </c>
      <c r="P58" s="15">
        <v>41121</v>
      </c>
      <c r="Q58" s="40">
        <v>16017.05</v>
      </c>
      <c r="R58" s="40">
        <f t="shared" si="2"/>
        <v>16017.05</v>
      </c>
      <c r="S58" s="40">
        <v>0</v>
      </c>
      <c r="T58" s="18"/>
      <c r="U58" s="285" t="s">
        <v>5071</v>
      </c>
      <c r="V58" s="14">
        <v>41121</v>
      </c>
      <c r="W58" s="289">
        <v>11</v>
      </c>
    </row>
    <row r="59" spans="1:23" s="19" customFormat="1" ht="39" customHeight="1" x14ac:dyDescent="0.2">
      <c r="A59" s="289">
        <v>53</v>
      </c>
      <c r="B59" s="285" t="s">
        <v>16882</v>
      </c>
      <c r="C59" s="285"/>
      <c r="D59" s="254" t="s">
        <v>16883</v>
      </c>
      <c r="E59" s="361">
        <v>1978</v>
      </c>
      <c r="F59" s="254" t="s">
        <v>16859</v>
      </c>
      <c r="G59" s="254" t="s">
        <v>16884</v>
      </c>
      <c r="H59" s="361" t="s">
        <v>4296</v>
      </c>
      <c r="I59" s="285" t="s">
        <v>1586</v>
      </c>
      <c r="J59" s="361"/>
      <c r="K59" s="558" t="s">
        <v>3136</v>
      </c>
      <c r="L59" s="140">
        <v>41950</v>
      </c>
      <c r="M59" s="285">
        <v>1012</v>
      </c>
      <c r="N59" s="361"/>
      <c r="O59" s="70">
        <v>1</v>
      </c>
      <c r="P59" s="15">
        <v>41121</v>
      </c>
      <c r="Q59" s="40">
        <v>18152.669999999998</v>
      </c>
      <c r="R59" s="40">
        <f t="shared" si="2"/>
        <v>18152.669999999998</v>
      </c>
      <c r="S59" s="40">
        <v>0</v>
      </c>
      <c r="T59" s="18"/>
      <c r="U59" s="285" t="s">
        <v>5071</v>
      </c>
      <c r="V59" s="14">
        <v>41121</v>
      </c>
      <c r="W59" s="289">
        <v>11</v>
      </c>
    </row>
    <row r="60" spans="1:23" s="19" customFormat="1" ht="39" customHeight="1" x14ac:dyDescent="0.2">
      <c r="A60" s="289">
        <v>54</v>
      </c>
      <c r="B60" s="285" t="s">
        <v>16885</v>
      </c>
      <c r="C60" s="285"/>
      <c r="D60" s="254" t="s">
        <v>16886</v>
      </c>
      <c r="E60" s="361">
        <v>1979</v>
      </c>
      <c r="F60" s="254" t="s">
        <v>16859</v>
      </c>
      <c r="G60" s="254" t="s">
        <v>16887</v>
      </c>
      <c r="H60" s="361" t="s">
        <v>4296</v>
      </c>
      <c r="I60" s="285" t="s">
        <v>1586</v>
      </c>
      <c r="J60" s="361"/>
      <c r="K60" s="558" t="s">
        <v>3136</v>
      </c>
      <c r="L60" s="140">
        <v>41950</v>
      </c>
      <c r="M60" s="285">
        <v>1012</v>
      </c>
      <c r="N60" s="361"/>
      <c r="O60" s="70">
        <v>1</v>
      </c>
      <c r="P60" s="15">
        <v>41121</v>
      </c>
      <c r="Q60" s="40">
        <v>22423.919999999998</v>
      </c>
      <c r="R60" s="40">
        <f t="shared" si="2"/>
        <v>22423.919999999998</v>
      </c>
      <c r="S60" s="40">
        <v>0</v>
      </c>
      <c r="T60" s="18"/>
      <c r="U60" s="285" t="s">
        <v>5071</v>
      </c>
      <c r="V60" s="14">
        <v>41121</v>
      </c>
      <c r="W60" s="289">
        <v>11</v>
      </c>
    </row>
    <row r="61" spans="1:23" s="19" customFormat="1" ht="39" customHeight="1" x14ac:dyDescent="0.2">
      <c r="A61" s="289">
        <v>55</v>
      </c>
      <c r="B61" s="285" t="s">
        <v>16888</v>
      </c>
      <c r="C61" s="285"/>
      <c r="D61" s="254" t="s">
        <v>16889</v>
      </c>
      <c r="E61" s="140">
        <v>39262</v>
      </c>
      <c r="F61" s="254" t="s">
        <v>16890</v>
      </c>
      <c r="G61" s="254" t="s">
        <v>16891</v>
      </c>
      <c r="H61" s="361" t="s">
        <v>4877</v>
      </c>
      <c r="I61" s="285" t="s">
        <v>1586</v>
      </c>
      <c r="J61" s="361"/>
      <c r="K61" s="558" t="s">
        <v>3136</v>
      </c>
      <c r="L61" s="140">
        <v>41911</v>
      </c>
      <c r="M61" s="285">
        <v>866</v>
      </c>
      <c r="N61" s="361"/>
      <c r="O61" s="70">
        <v>1</v>
      </c>
      <c r="P61" s="15">
        <v>41882</v>
      </c>
      <c r="Q61" s="40">
        <v>53516.1</v>
      </c>
      <c r="R61" s="40">
        <v>27650.639999999999</v>
      </c>
      <c r="S61" s="40">
        <f>Q61-R61</f>
        <v>25865.46</v>
      </c>
      <c r="T61" s="18"/>
      <c r="U61" s="285" t="s">
        <v>16892</v>
      </c>
      <c r="V61" s="14">
        <v>39262</v>
      </c>
      <c r="W61" s="289">
        <v>4</v>
      </c>
    </row>
    <row r="62" spans="1:23" s="19" customFormat="1" ht="202.5" customHeight="1" x14ac:dyDescent="0.2">
      <c r="A62" s="289">
        <v>56</v>
      </c>
      <c r="B62" s="285" t="s">
        <v>16893</v>
      </c>
      <c r="C62" s="285" t="s">
        <v>16894</v>
      </c>
      <c r="D62" s="254" t="s">
        <v>16895</v>
      </c>
      <c r="E62" s="361"/>
      <c r="F62" s="254" t="s">
        <v>16896</v>
      </c>
      <c r="G62" s="254" t="s">
        <v>16897</v>
      </c>
      <c r="H62" s="285"/>
      <c r="I62" s="285" t="s">
        <v>2042</v>
      </c>
      <c r="J62" s="361" t="s">
        <v>2207</v>
      </c>
      <c r="K62" s="361" t="s">
        <v>3136</v>
      </c>
      <c r="L62" s="140" t="s">
        <v>16898</v>
      </c>
      <c r="M62" s="285" t="s">
        <v>16899</v>
      </c>
      <c r="N62" s="178">
        <v>300</v>
      </c>
      <c r="O62" s="70">
        <v>1</v>
      </c>
      <c r="P62" s="15">
        <v>42023</v>
      </c>
      <c r="Q62" s="40">
        <v>1</v>
      </c>
      <c r="R62" s="40">
        <v>0</v>
      </c>
      <c r="S62" s="40">
        <f t="shared" ref="S62:S95" si="3">Q62-R62</f>
        <v>1</v>
      </c>
      <c r="T62" s="40">
        <v>1710209</v>
      </c>
      <c r="U62" s="285" t="s">
        <v>14853</v>
      </c>
      <c r="V62" s="14" t="s">
        <v>16900</v>
      </c>
      <c r="W62" s="285" t="s">
        <v>16901</v>
      </c>
    </row>
    <row r="63" spans="1:23" s="19" customFormat="1" ht="202.5" customHeight="1" x14ac:dyDescent="0.2">
      <c r="A63" s="289">
        <v>57</v>
      </c>
      <c r="B63" s="285" t="s">
        <v>16902</v>
      </c>
      <c r="C63" s="285" t="s">
        <v>16903</v>
      </c>
      <c r="D63" s="254" t="s">
        <v>16904</v>
      </c>
      <c r="E63" s="361"/>
      <c r="F63" s="254" t="s">
        <v>16905</v>
      </c>
      <c r="G63" s="254" t="s">
        <v>16897</v>
      </c>
      <c r="H63" s="285"/>
      <c r="I63" s="285" t="s">
        <v>2042</v>
      </c>
      <c r="J63" s="361" t="s">
        <v>2207</v>
      </c>
      <c r="K63" s="361" t="s">
        <v>3136</v>
      </c>
      <c r="L63" s="140" t="s">
        <v>16898</v>
      </c>
      <c r="M63" s="285" t="s">
        <v>16899</v>
      </c>
      <c r="N63" s="178">
        <v>160</v>
      </c>
      <c r="O63" s="70">
        <v>1</v>
      </c>
      <c r="P63" s="15">
        <v>42023</v>
      </c>
      <c r="Q63" s="40">
        <v>1</v>
      </c>
      <c r="R63" s="40">
        <v>0</v>
      </c>
      <c r="S63" s="40">
        <f t="shared" si="3"/>
        <v>1</v>
      </c>
      <c r="T63" s="40">
        <v>632919</v>
      </c>
      <c r="U63" s="285" t="s">
        <v>14853</v>
      </c>
      <c r="V63" s="14" t="s">
        <v>16900</v>
      </c>
      <c r="W63" s="285" t="s">
        <v>16906</v>
      </c>
    </row>
    <row r="64" spans="1:23" s="19" customFormat="1" ht="207" customHeight="1" x14ac:dyDescent="0.2">
      <c r="A64" s="289">
        <v>58</v>
      </c>
      <c r="B64" s="285" t="s">
        <v>16907</v>
      </c>
      <c r="C64" s="285" t="s">
        <v>16908</v>
      </c>
      <c r="D64" s="254" t="s">
        <v>16909</v>
      </c>
      <c r="E64" s="140">
        <v>28293</v>
      </c>
      <c r="F64" s="254" t="s">
        <v>16910</v>
      </c>
      <c r="G64" s="254" t="s">
        <v>16911</v>
      </c>
      <c r="H64" s="361" t="s">
        <v>4296</v>
      </c>
      <c r="I64" s="285" t="s">
        <v>3793</v>
      </c>
      <c r="J64" s="285"/>
      <c r="K64" s="361" t="s">
        <v>3136</v>
      </c>
      <c r="L64" s="561" t="s">
        <v>13539</v>
      </c>
      <c r="M64" s="68" t="s">
        <v>13540</v>
      </c>
      <c r="N64" s="562">
        <v>750</v>
      </c>
      <c r="O64" s="70">
        <v>1</v>
      </c>
      <c r="P64" s="15">
        <v>42023</v>
      </c>
      <c r="Q64" s="40">
        <v>1</v>
      </c>
      <c r="R64" s="40">
        <v>1</v>
      </c>
      <c r="S64" s="40">
        <f t="shared" si="3"/>
        <v>0</v>
      </c>
      <c r="T64" s="40">
        <v>4500944</v>
      </c>
      <c r="U64" s="285" t="s">
        <v>14853</v>
      </c>
      <c r="V64" s="14" t="s">
        <v>16900</v>
      </c>
      <c r="W64" s="285" t="s">
        <v>16912</v>
      </c>
    </row>
    <row r="65" spans="1:23" s="19" customFormat="1" ht="134.25" customHeight="1" x14ac:dyDescent="0.2">
      <c r="A65" s="289">
        <v>59</v>
      </c>
      <c r="B65" s="285" t="s">
        <v>16913</v>
      </c>
      <c r="C65" s="285" t="s">
        <v>16914</v>
      </c>
      <c r="D65" s="254" t="s">
        <v>16915</v>
      </c>
      <c r="E65" s="361"/>
      <c r="F65" s="254" t="s">
        <v>16905</v>
      </c>
      <c r="G65" s="254" t="s">
        <v>16916</v>
      </c>
      <c r="H65" s="361"/>
      <c r="I65" s="285" t="s">
        <v>2042</v>
      </c>
      <c r="J65" s="361" t="s">
        <v>2207</v>
      </c>
      <c r="K65" s="361" t="s">
        <v>3136</v>
      </c>
      <c r="L65" s="140" t="s">
        <v>16898</v>
      </c>
      <c r="M65" s="285" t="s">
        <v>16899</v>
      </c>
      <c r="N65" s="178">
        <v>160</v>
      </c>
      <c r="O65" s="70">
        <v>1</v>
      </c>
      <c r="P65" s="15">
        <v>42023</v>
      </c>
      <c r="Q65" s="40">
        <v>1</v>
      </c>
      <c r="R65" s="40">
        <v>0</v>
      </c>
      <c r="S65" s="40">
        <f t="shared" si="3"/>
        <v>1</v>
      </c>
      <c r="T65" s="40">
        <v>632919</v>
      </c>
      <c r="U65" s="285" t="s">
        <v>14853</v>
      </c>
      <c r="V65" s="14" t="s">
        <v>16900</v>
      </c>
      <c r="W65" s="285" t="s">
        <v>16917</v>
      </c>
    </row>
    <row r="66" spans="1:23" s="19" customFormat="1" ht="202.5" customHeight="1" x14ac:dyDescent="0.2">
      <c r="A66" s="289">
        <v>60</v>
      </c>
      <c r="B66" s="285" t="s">
        <v>16918</v>
      </c>
      <c r="C66" s="285" t="s">
        <v>16919</v>
      </c>
      <c r="D66" s="254" t="s">
        <v>16920</v>
      </c>
      <c r="E66" s="361"/>
      <c r="F66" s="254" t="s">
        <v>16921</v>
      </c>
      <c r="G66" s="254" t="s">
        <v>16922</v>
      </c>
      <c r="H66" s="361"/>
      <c r="I66" s="285" t="s">
        <v>2042</v>
      </c>
      <c r="J66" s="361" t="s">
        <v>2207</v>
      </c>
      <c r="K66" s="361" t="s">
        <v>3136</v>
      </c>
      <c r="L66" s="140" t="s">
        <v>16898</v>
      </c>
      <c r="M66" s="285" t="s">
        <v>16899</v>
      </c>
      <c r="N66" s="178">
        <v>300</v>
      </c>
      <c r="O66" s="70">
        <v>1</v>
      </c>
      <c r="P66" s="15">
        <v>42023</v>
      </c>
      <c r="Q66" s="40">
        <v>1</v>
      </c>
      <c r="R66" s="40">
        <v>0</v>
      </c>
      <c r="S66" s="40">
        <f t="shared" si="3"/>
        <v>1</v>
      </c>
      <c r="T66" s="40">
        <v>31093</v>
      </c>
      <c r="U66" s="285" t="s">
        <v>14853</v>
      </c>
      <c r="V66" s="14" t="s">
        <v>16900</v>
      </c>
      <c r="W66" s="285" t="s">
        <v>16923</v>
      </c>
    </row>
    <row r="67" spans="1:23" s="19" customFormat="1" ht="204.75" customHeight="1" x14ac:dyDescent="0.2">
      <c r="A67" s="289">
        <v>61</v>
      </c>
      <c r="B67" s="285" t="s">
        <v>16924</v>
      </c>
      <c r="C67" s="285" t="s">
        <v>16925</v>
      </c>
      <c r="D67" s="254" t="s">
        <v>16926</v>
      </c>
      <c r="E67" s="361"/>
      <c r="F67" s="254" t="s">
        <v>16921</v>
      </c>
      <c r="G67" s="254" t="s">
        <v>16927</v>
      </c>
      <c r="H67" s="361"/>
      <c r="I67" s="285" t="s">
        <v>2042</v>
      </c>
      <c r="J67" s="361" t="s">
        <v>2207</v>
      </c>
      <c r="K67" s="361" t="s">
        <v>3136</v>
      </c>
      <c r="L67" s="140" t="s">
        <v>16898</v>
      </c>
      <c r="M67" s="285" t="s">
        <v>16899</v>
      </c>
      <c r="N67" s="178">
        <v>300</v>
      </c>
      <c r="O67" s="70">
        <v>1</v>
      </c>
      <c r="P67" s="15">
        <v>42023</v>
      </c>
      <c r="Q67" s="40">
        <v>1</v>
      </c>
      <c r="R67" s="40">
        <v>0</v>
      </c>
      <c r="S67" s="40">
        <f t="shared" si="3"/>
        <v>1</v>
      </c>
      <c r="T67" s="40">
        <v>31093</v>
      </c>
      <c r="U67" s="285" t="s">
        <v>14853</v>
      </c>
      <c r="V67" s="14" t="s">
        <v>16900</v>
      </c>
      <c r="W67" s="285" t="s">
        <v>16928</v>
      </c>
    </row>
    <row r="68" spans="1:23" s="19" customFormat="1" ht="67.5" customHeight="1" x14ac:dyDescent="0.2">
      <c r="A68" s="289">
        <v>62</v>
      </c>
      <c r="B68" s="285" t="s">
        <v>16929</v>
      </c>
      <c r="C68" s="285" t="s">
        <v>16930</v>
      </c>
      <c r="D68" s="254" t="s">
        <v>16931</v>
      </c>
      <c r="E68" s="361"/>
      <c r="F68" s="254" t="s">
        <v>16932</v>
      </c>
      <c r="G68" s="254" t="s">
        <v>16933</v>
      </c>
      <c r="H68" s="361"/>
      <c r="I68" s="285" t="s">
        <v>2042</v>
      </c>
      <c r="J68" s="361" t="s">
        <v>2207</v>
      </c>
      <c r="K68" s="361" t="s">
        <v>3136</v>
      </c>
      <c r="L68" s="140" t="s">
        <v>16898</v>
      </c>
      <c r="M68" s="285" t="s">
        <v>16899</v>
      </c>
      <c r="N68" s="178">
        <v>150</v>
      </c>
      <c r="O68" s="70">
        <v>1</v>
      </c>
      <c r="P68" s="15">
        <v>42023</v>
      </c>
      <c r="Q68" s="40">
        <v>1</v>
      </c>
      <c r="R68" s="40">
        <v>0</v>
      </c>
      <c r="S68" s="40">
        <f t="shared" si="3"/>
        <v>1</v>
      </c>
      <c r="T68" s="40">
        <v>593252</v>
      </c>
      <c r="U68" s="285" t="s">
        <v>14853</v>
      </c>
      <c r="V68" s="14" t="s">
        <v>16900</v>
      </c>
      <c r="W68" s="285" t="s">
        <v>16934</v>
      </c>
    </row>
    <row r="69" spans="1:23" s="19" customFormat="1" ht="71.25" customHeight="1" x14ac:dyDescent="0.2">
      <c r="A69" s="289">
        <v>63</v>
      </c>
      <c r="B69" s="285" t="s">
        <v>16935</v>
      </c>
      <c r="C69" s="285" t="s">
        <v>16936</v>
      </c>
      <c r="D69" s="254" t="s">
        <v>16937</v>
      </c>
      <c r="E69" s="361"/>
      <c r="F69" s="254" t="s">
        <v>16938</v>
      </c>
      <c r="G69" s="254" t="s">
        <v>16939</v>
      </c>
      <c r="H69" s="361"/>
      <c r="I69" s="285" t="s">
        <v>2042</v>
      </c>
      <c r="J69" s="361" t="s">
        <v>2207</v>
      </c>
      <c r="K69" s="361" t="s">
        <v>3136</v>
      </c>
      <c r="L69" s="140" t="s">
        <v>16898</v>
      </c>
      <c r="M69" s="285" t="s">
        <v>16899</v>
      </c>
      <c r="N69" s="178">
        <v>300</v>
      </c>
      <c r="O69" s="70">
        <v>1</v>
      </c>
      <c r="P69" s="15">
        <v>42023</v>
      </c>
      <c r="Q69" s="40">
        <v>1</v>
      </c>
      <c r="R69" s="40">
        <v>0</v>
      </c>
      <c r="S69" s="40">
        <f t="shared" si="3"/>
        <v>1</v>
      </c>
      <c r="T69" s="40">
        <v>1710209</v>
      </c>
      <c r="U69" s="285" t="s">
        <v>14853</v>
      </c>
      <c r="V69" s="14" t="s">
        <v>16900</v>
      </c>
      <c r="W69" s="285" t="s">
        <v>16940</v>
      </c>
    </row>
    <row r="70" spans="1:23" s="19" customFormat="1" ht="56.25" customHeight="1" x14ac:dyDescent="0.2">
      <c r="A70" s="289">
        <v>64</v>
      </c>
      <c r="B70" s="285" t="s">
        <v>16941</v>
      </c>
      <c r="C70" s="285" t="s">
        <v>16942</v>
      </c>
      <c r="D70" s="254" t="s">
        <v>16943</v>
      </c>
      <c r="E70" s="361"/>
      <c r="F70" s="254" t="s">
        <v>16932</v>
      </c>
      <c r="G70" s="254" t="s">
        <v>16944</v>
      </c>
      <c r="H70" s="361"/>
      <c r="I70" s="285" t="s">
        <v>2042</v>
      </c>
      <c r="J70" s="361" t="s">
        <v>2207</v>
      </c>
      <c r="K70" s="361" t="s">
        <v>3136</v>
      </c>
      <c r="L70" s="140" t="s">
        <v>16898</v>
      </c>
      <c r="M70" s="285" t="s">
        <v>16899</v>
      </c>
      <c r="N70" s="178">
        <v>150</v>
      </c>
      <c r="O70" s="70">
        <v>1</v>
      </c>
      <c r="P70" s="15">
        <v>42023</v>
      </c>
      <c r="Q70" s="40">
        <v>1</v>
      </c>
      <c r="R70" s="40">
        <v>0</v>
      </c>
      <c r="S70" s="40">
        <f t="shared" si="3"/>
        <v>1</v>
      </c>
      <c r="T70" s="40">
        <v>593252</v>
      </c>
      <c r="U70" s="285" t="s">
        <v>14853</v>
      </c>
      <c r="V70" s="14" t="s">
        <v>16900</v>
      </c>
      <c r="W70" s="285" t="s">
        <v>16945</v>
      </c>
    </row>
    <row r="71" spans="1:23" s="19" customFormat="1" ht="69" customHeight="1" x14ac:dyDescent="0.2">
      <c r="A71" s="289">
        <v>65</v>
      </c>
      <c r="B71" s="285" t="s">
        <v>16946</v>
      </c>
      <c r="C71" s="285" t="s">
        <v>16947</v>
      </c>
      <c r="D71" s="254" t="s">
        <v>16948</v>
      </c>
      <c r="E71" s="361"/>
      <c r="F71" s="254" t="s">
        <v>16932</v>
      </c>
      <c r="G71" s="254" t="s">
        <v>16949</v>
      </c>
      <c r="H71" s="361"/>
      <c r="I71" s="285" t="s">
        <v>2042</v>
      </c>
      <c r="J71" s="361" t="s">
        <v>2207</v>
      </c>
      <c r="K71" s="361" t="s">
        <v>3136</v>
      </c>
      <c r="L71" s="140" t="s">
        <v>16898</v>
      </c>
      <c r="M71" s="285" t="s">
        <v>16899</v>
      </c>
      <c r="N71" s="178">
        <v>150</v>
      </c>
      <c r="O71" s="70">
        <v>1</v>
      </c>
      <c r="P71" s="15">
        <v>42023</v>
      </c>
      <c r="Q71" s="40">
        <v>1</v>
      </c>
      <c r="R71" s="40">
        <v>0</v>
      </c>
      <c r="S71" s="40">
        <f t="shared" si="3"/>
        <v>1</v>
      </c>
      <c r="T71" s="40">
        <v>593252</v>
      </c>
      <c r="U71" s="285" t="s">
        <v>14853</v>
      </c>
      <c r="V71" s="14" t="s">
        <v>16900</v>
      </c>
      <c r="W71" s="285" t="s">
        <v>16950</v>
      </c>
    </row>
    <row r="72" spans="1:23" s="19" customFormat="1" ht="77.45" customHeight="1" x14ac:dyDescent="0.2">
      <c r="A72" s="289">
        <v>66</v>
      </c>
      <c r="B72" s="285" t="s">
        <v>16951</v>
      </c>
      <c r="C72" s="285" t="s">
        <v>16952</v>
      </c>
      <c r="D72" s="254" t="s">
        <v>16953</v>
      </c>
      <c r="E72" s="361">
        <v>1975</v>
      </c>
      <c r="F72" s="254" t="s">
        <v>16954</v>
      </c>
      <c r="G72" s="254" t="s">
        <v>16955</v>
      </c>
      <c r="H72" s="361"/>
      <c r="I72" s="285" t="s">
        <v>2042</v>
      </c>
      <c r="J72" s="361" t="s">
        <v>2207</v>
      </c>
      <c r="K72" s="361" t="s">
        <v>3136</v>
      </c>
      <c r="L72" s="140" t="s">
        <v>16898</v>
      </c>
      <c r="M72" s="285" t="s">
        <v>16899</v>
      </c>
      <c r="N72" s="178">
        <v>9</v>
      </c>
      <c r="O72" s="70">
        <v>1</v>
      </c>
      <c r="P72" s="15">
        <v>42023</v>
      </c>
      <c r="Q72" s="40">
        <v>1</v>
      </c>
      <c r="R72" s="40">
        <v>0</v>
      </c>
      <c r="S72" s="40">
        <f t="shared" si="3"/>
        <v>1</v>
      </c>
      <c r="T72" s="40">
        <v>31093</v>
      </c>
      <c r="U72" s="285" t="s">
        <v>14853</v>
      </c>
      <c r="V72" s="14" t="s">
        <v>16956</v>
      </c>
      <c r="W72" s="285" t="s">
        <v>16957</v>
      </c>
    </row>
    <row r="73" spans="1:23" s="19" customFormat="1" ht="54" customHeight="1" x14ac:dyDescent="0.2">
      <c r="A73" s="289">
        <v>67</v>
      </c>
      <c r="B73" s="285" t="s">
        <v>16958</v>
      </c>
      <c r="C73" s="285" t="s">
        <v>16959</v>
      </c>
      <c r="D73" s="254" t="s">
        <v>16960</v>
      </c>
      <c r="E73" s="361">
        <v>1969</v>
      </c>
      <c r="F73" s="254"/>
      <c r="G73" s="254" t="s">
        <v>16961</v>
      </c>
      <c r="H73" s="361" t="s">
        <v>4296</v>
      </c>
      <c r="I73" s="285" t="s">
        <v>3793</v>
      </c>
      <c r="J73" s="361"/>
      <c r="K73" s="361" t="s">
        <v>3136</v>
      </c>
      <c r="L73" s="140" t="s">
        <v>16962</v>
      </c>
      <c r="M73" s="285" t="s">
        <v>16963</v>
      </c>
      <c r="N73" s="562">
        <v>433</v>
      </c>
      <c r="O73" s="70">
        <v>1</v>
      </c>
      <c r="P73" s="15">
        <v>42023</v>
      </c>
      <c r="Q73" s="40">
        <v>1</v>
      </c>
      <c r="R73" s="40">
        <v>0.74</v>
      </c>
      <c r="S73" s="40">
        <f t="shared" si="3"/>
        <v>0.26</v>
      </c>
      <c r="T73" s="40">
        <v>64614</v>
      </c>
      <c r="U73" s="285" t="s">
        <v>14853</v>
      </c>
      <c r="V73" s="14" t="s">
        <v>16900</v>
      </c>
      <c r="W73" s="285" t="s">
        <v>16964</v>
      </c>
    </row>
    <row r="74" spans="1:23" s="19" customFormat="1" ht="138.75" customHeight="1" x14ac:dyDescent="0.2">
      <c r="A74" s="289">
        <v>68</v>
      </c>
      <c r="B74" s="285" t="s">
        <v>16965</v>
      </c>
      <c r="C74" s="285"/>
      <c r="D74" s="9" t="s">
        <v>16966</v>
      </c>
      <c r="E74" s="361">
        <v>2015</v>
      </c>
      <c r="F74" s="13" t="s">
        <v>16967</v>
      </c>
      <c r="G74" s="254" t="s">
        <v>16968</v>
      </c>
      <c r="H74" s="361" t="s">
        <v>4296</v>
      </c>
      <c r="I74" s="285" t="s">
        <v>3793</v>
      </c>
      <c r="J74" s="361"/>
      <c r="K74" s="361" t="s">
        <v>3136</v>
      </c>
      <c r="L74" s="140">
        <v>42369</v>
      </c>
      <c r="M74" s="285">
        <v>1082</v>
      </c>
      <c r="N74" s="361">
        <v>32.49</v>
      </c>
      <c r="O74" s="70">
        <v>1</v>
      </c>
      <c r="P74" s="15">
        <v>42369</v>
      </c>
      <c r="Q74" s="40">
        <v>896684.99</v>
      </c>
      <c r="R74" s="17">
        <v>896684.88</v>
      </c>
      <c r="S74" s="40">
        <f t="shared" si="3"/>
        <v>0.10999999998603016</v>
      </c>
      <c r="T74" s="18"/>
      <c r="U74" s="285" t="s">
        <v>15070</v>
      </c>
      <c r="V74" s="14">
        <v>42303</v>
      </c>
      <c r="W74" s="289" t="s">
        <v>1029</v>
      </c>
    </row>
    <row r="75" spans="1:23" s="19" customFormat="1" ht="42.75" customHeight="1" x14ac:dyDescent="0.2">
      <c r="A75" s="289">
        <v>69</v>
      </c>
      <c r="B75" s="285" t="s">
        <v>16969</v>
      </c>
      <c r="C75" s="285"/>
      <c r="D75" s="9" t="s">
        <v>16970</v>
      </c>
      <c r="E75" s="361">
        <v>2015</v>
      </c>
      <c r="F75" s="13" t="s">
        <v>16971</v>
      </c>
      <c r="G75" s="254" t="s">
        <v>16972</v>
      </c>
      <c r="H75" s="361" t="s">
        <v>4296</v>
      </c>
      <c r="I75" s="285" t="s">
        <v>3793</v>
      </c>
      <c r="J75" s="361"/>
      <c r="K75" s="361" t="s">
        <v>3136</v>
      </c>
      <c r="L75" s="140">
        <v>42755</v>
      </c>
      <c r="M75" s="285">
        <v>32</v>
      </c>
      <c r="N75" s="361"/>
      <c r="O75" s="70">
        <v>1</v>
      </c>
      <c r="P75" s="15">
        <v>42723</v>
      </c>
      <c r="Q75" s="40">
        <v>220084.64</v>
      </c>
      <c r="R75" s="17">
        <v>88033.68</v>
      </c>
      <c r="S75" s="40">
        <f t="shared" si="3"/>
        <v>132050.96000000002</v>
      </c>
      <c r="T75" s="18"/>
      <c r="U75" s="285" t="s">
        <v>5110</v>
      </c>
      <c r="V75" s="14">
        <v>42653</v>
      </c>
      <c r="W75" s="45">
        <v>43010</v>
      </c>
    </row>
    <row r="76" spans="1:23" s="19" customFormat="1" ht="39" customHeight="1" x14ac:dyDescent="0.2">
      <c r="A76" s="289">
        <v>70</v>
      </c>
      <c r="B76" s="285" t="s">
        <v>16973</v>
      </c>
      <c r="C76" s="285"/>
      <c r="D76" s="9" t="s">
        <v>16974</v>
      </c>
      <c r="E76" s="361"/>
      <c r="F76" s="13"/>
      <c r="G76" s="254" t="s">
        <v>16975</v>
      </c>
      <c r="H76" s="361" t="s">
        <v>4946</v>
      </c>
      <c r="I76" s="285" t="s">
        <v>5127</v>
      </c>
      <c r="J76" s="361"/>
      <c r="K76" s="361" t="s">
        <v>3136</v>
      </c>
      <c r="L76" s="140">
        <v>43039</v>
      </c>
      <c r="M76" s="285">
        <v>969</v>
      </c>
      <c r="N76" s="361"/>
      <c r="O76" s="70">
        <v>1</v>
      </c>
      <c r="P76" s="15"/>
      <c r="Q76" s="40">
        <v>1</v>
      </c>
      <c r="R76" s="17">
        <v>1</v>
      </c>
      <c r="S76" s="40">
        <f t="shared" si="3"/>
        <v>0</v>
      </c>
      <c r="T76" s="18"/>
      <c r="U76" s="285" t="s">
        <v>16976</v>
      </c>
      <c r="V76" s="14">
        <v>33599</v>
      </c>
      <c r="W76" s="45" t="s">
        <v>16977</v>
      </c>
    </row>
    <row r="77" spans="1:23" s="19" customFormat="1" ht="384.75" customHeight="1" x14ac:dyDescent="0.2">
      <c r="A77" s="289">
        <v>71</v>
      </c>
      <c r="B77" s="285" t="s">
        <v>16978</v>
      </c>
      <c r="C77" s="285"/>
      <c r="D77" s="9" t="s">
        <v>16979</v>
      </c>
      <c r="E77" s="516" t="s">
        <v>16980</v>
      </c>
      <c r="F77" s="820" t="s">
        <v>16981</v>
      </c>
      <c r="G77" s="254" t="s">
        <v>16975</v>
      </c>
      <c r="H77" s="361" t="s">
        <v>4946</v>
      </c>
      <c r="I77" s="285" t="s">
        <v>5127</v>
      </c>
      <c r="J77" s="361"/>
      <c r="K77" s="361" t="s">
        <v>3136</v>
      </c>
      <c r="L77" s="140">
        <v>43080</v>
      </c>
      <c r="M77" s="285">
        <v>1100</v>
      </c>
      <c r="N77" s="361"/>
      <c r="O77" s="70">
        <v>1</v>
      </c>
      <c r="P77" s="15">
        <v>43074</v>
      </c>
      <c r="Q77" s="40">
        <v>990116.04</v>
      </c>
      <c r="R77" s="17">
        <v>495058.2</v>
      </c>
      <c r="S77" s="40">
        <f>Q77-R77</f>
        <v>495057.84</v>
      </c>
      <c r="T77" s="18"/>
      <c r="U77" s="285" t="s">
        <v>7155</v>
      </c>
      <c r="V77" s="14">
        <v>42968</v>
      </c>
      <c r="W77" s="228" t="s">
        <v>16982</v>
      </c>
    </row>
    <row r="78" spans="1:23" s="19" customFormat="1" ht="69.75" customHeight="1" x14ac:dyDescent="0.2">
      <c r="A78" s="289">
        <v>72</v>
      </c>
      <c r="B78" s="285" t="s">
        <v>16983</v>
      </c>
      <c r="C78" s="285"/>
      <c r="D78" s="9" t="s">
        <v>8548</v>
      </c>
      <c r="E78" s="361"/>
      <c r="F78" s="9"/>
      <c r="G78" s="13" t="s">
        <v>16984</v>
      </c>
      <c r="H78" s="361"/>
      <c r="I78" s="285" t="s">
        <v>2042</v>
      </c>
      <c r="J78" s="361" t="s">
        <v>2207</v>
      </c>
      <c r="K78" s="361" t="s">
        <v>3136</v>
      </c>
      <c r="L78" s="140">
        <v>43196</v>
      </c>
      <c r="M78" s="285">
        <v>271</v>
      </c>
      <c r="N78" s="361"/>
      <c r="O78" s="70">
        <v>2</v>
      </c>
      <c r="P78" s="15"/>
      <c r="Q78" s="40">
        <v>2</v>
      </c>
      <c r="R78" s="17">
        <v>0</v>
      </c>
      <c r="S78" s="40">
        <f t="shared" si="3"/>
        <v>2</v>
      </c>
      <c r="T78" s="18"/>
      <c r="U78" s="285" t="s">
        <v>14507</v>
      </c>
      <c r="V78" s="14">
        <v>43186</v>
      </c>
      <c r="W78" s="45" t="s">
        <v>1029</v>
      </c>
    </row>
    <row r="79" spans="1:23" s="19" customFormat="1" ht="344.25" customHeight="1" x14ac:dyDescent="0.2">
      <c r="A79" s="289">
        <v>73</v>
      </c>
      <c r="B79" s="285" t="s">
        <v>16985</v>
      </c>
      <c r="C79" s="285"/>
      <c r="D79" s="9" t="s">
        <v>8548</v>
      </c>
      <c r="E79" s="361"/>
      <c r="F79" s="9"/>
      <c r="G79" s="13" t="s">
        <v>16986</v>
      </c>
      <c r="H79" s="361" t="s">
        <v>4877</v>
      </c>
      <c r="I79" s="285" t="s">
        <v>3793</v>
      </c>
      <c r="J79" s="361"/>
      <c r="K79" s="361" t="s">
        <v>3136</v>
      </c>
      <c r="L79" s="140" t="s">
        <v>16987</v>
      </c>
      <c r="M79" s="285" t="s">
        <v>16988</v>
      </c>
      <c r="N79" s="361"/>
      <c r="O79" s="70">
        <f>10-1</f>
        <v>9</v>
      </c>
      <c r="P79" s="15">
        <v>43196</v>
      </c>
      <c r="Q79" s="40">
        <f>10-1</f>
        <v>9</v>
      </c>
      <c r="R79" s="17">
        <f>10-1</f>
        <v>9</v>
      </c>
      <c r="S79" s="40">
        <f t="shared" si="3"/>
        <v>0</v>
      </c>
      <c r="T79" s="18"/>
      <c r="U79" s="285" t="s">
        <v>14507</v>
      </c>
      <c r="V79" s="14">
        <v>43186</v>
      </c>
      <c r="W79" s="45" t="s">
        <v>1029</v>
      </c>
    </row>
    <row r="80" spans="1:23" s="19" customFormat="1" ht="285" customHeight="1" x14ac:dyDescent="0.2">
      <c r="A80" s="289">
        <v>74</v>
      </c>
      <c r="B80" s="285" t="s">
        <v>16989</v>
      </c>
      <c r="C80" s="285"/>
      <c r="D80" s="9" t="s">
        <v>16990</v>
      </c>
      <c r="E80" s="361">
        <v>2017</v>
      </c>
      <c r="F80" s="279" t="s">
        <v>16991</v>
      </c>
      <c r="G80" s="285" t="s">
        <v>16992</v>
      </c>
      <c r="H80" s="361" t="s">
        <v>4877</v>
      </c>
      <c r="I80" s="285" t="s">
        <v>3793</v>
      </c>
      <c r="J80" s="361"/>
      <c r="K80" s="361" t="s">
        <v>3136</v>
      </c>
      <c r="L80" s="140" t="s">
        <v>16993</v>
      </c>
      <c r="M80" s="285" t="s">
        <v>16994</v>
      </c>
      <c r="N80" s="361"/>
      <c r="O80" s="70">
        <v>1</v>
      </c>
      <c r="P80" s="14" t="s">
        <v>16995</v>
      </c>
      <c r="Q80" s="40">
        <f>374553</f>
        <v>374553</v>
      </c>
      <c r="R80" s="17">
        <v>374553</v>
      </c>
      <c r="S80" s="40">
        <f>Q80-R80</f>
        <v>0</v>
      </c>
      <c r="T80" s="18"/>
      <c r="U80" s="285" t="s">
        <v>16996</v>
      </c>
      <c r="V80" s="14">
        <v>43255</v>
      </c>
      <c r="W80" s="45" t="s">
        <v>16997</v>
      </c>
    </row>
    <row r="81" spans="1:23" s="19" customFormat="1" ht="42.75" customHeight="1" x14ac:dyDescent="0.2">
      <c r="A81" s="289">
        <v>75</v>
      </c>
      <c r="B81" s="285" t="s">
        <v>16998</v>
      </c>
      <c r="C81" s="285"/>
      <c r="D81" s="9" t="s">
        <v>16999</v>
      </c>
      <c r="E81" s="361">
        <v>2017</v>
      </c>
      <c r="F81" s="9"/>
      <c r="G81" s="13" t="s">
        <v>17000</v>
      </c>
      <c r="H81" s="361" t="s">
        <v>4946</v>
      </c>
      <c r="I81" s="285" t="s">
        <v>5127</v>
      </c>
      <c r="J81" s="361"/>
      <c r="K81" s="361" t="s">
        <v>3136</v>
      </c>
      <c r="L81" s="140">
        <v>43266</v>
      </c>
      <c r="M81" s="285">
        <v>564</v>
      </c>
      <c r="N81" s="361"/>
      <c r="O81" s="70">
        <v>7</v>
      </c>
      <c r="P81" s="15">
        <v>43250</v>
      </c>
      <c r="Q81" s="40">
        <v>78946</v>
      </c>
      <c r="R81" s="17">
        <v>78946</v>
      </c>
      <c r="S81" s="40">
        <f t="shared" si="3"/>
        <v>0</v>
      </c>
      <c r="T81" s="18"/>
      <c r="U81" s="285" t="s">
        <v>17001</v>
      </c>
      <c r="V81" s="14"/>
      <c r="W81" s="45"/>
    </row>
    <row r="82" spans="1:23" s="19" customFormat="1" ht="206.25" customHeight="1" x14ac:dyDescent="0.2">
      <c r="A82" s="289">
        <v>76</v>
      </c>
      <c r="B82" s="285" t="s">
        <v>17002</v>
      </c>
      <c r="C82" s="285"/>
      <c r="D82" s="9" t="s">
        <v>17003</v>
      </c>
      <c r="E82" s="361">
        <v>2018</v>
      </c>
      <c r="F82" s="9" t="s">
        <v>17004</v>
      </c>
      <c r="G82" s="285" t="s">
        <v>16992</v>
      </c>
      <c r="H82" s="361" t="s">
        <v>4877</v>
      </c>
      <c r="I82" s="285" t="s">
        <v>3793</v>
      </c>
      <c r="J82" s="361"/>
      <c r="K82" s="361" t="s">
        <v>3136</v>
      </c>
      <c r="L82" s="140">
        <v>43362</v>
      </c>
      <c r="M82" s="285">
        <v>896</v>
      </c>
      <c r="N82" s="361"/>
      <c r="O82" s="70">
        <v>1</v>
      </c>
      <c r="P82" s="15">
        <v>43342</v>
      </c>
      <c r="Q82" s="40">
        <v>354691.13</v>
      </c>
      <c r="R82" s="17">
        <v>354691.13</v>
      </c>
      <c r="S82" s="40">
        <f t="shared" si="3"/>
        <v>0</v>
      </c>
      <c r="T82" s="18"/>
      <c r="U82" s="285"/>
      <c r="V82" s="14"/>
      <c r="W82" s="45"/>
    </row>
    <row r="83" spans="1:23" s="19" customFormat="1" ht="78.75" customHeight="1" x14ac:dyDescent="0.2">
      <c r="A83" s="289">
        <v>77</v>
      </c>
      <c r="B83" s="285" t="s">
        <v>17005</v>
      </c>
      <c r="C83" s="285"/>
      <c r="D83" s="9" t="s">
        <v>17006</v>
      </c>
      <c r="E83" s="361">
        <v>2019</v>
      </c>
      <c r="F83" s="9" t="s">
        <v>17007</v>
      </c>
      <c r="G83" s="285" t="s">
        <v>17008</v>
      </c>
      <c r="H83" s="361"/>
      <c r="I83" s="285" t="s">
        <v>2042</v>
      </c>
      <c r="J83" s="361" t="s">
        <v>2207</v>
      </c>
      <c r="K83" s="361" t="s">
        <v>3136</v>
      </c>
      <c r="L83" s="140">
        <v>43774</v>
      </c>
      <c r="M83" s="285">
        <v>915</v>
      </c>
      <c r="N83" s="140"/>
      <c r="O83" s="70">
        <v>1</v>
      </c>
      <c r="P83" s="15">
        <v>43707</v>
      </c>
      <c r="Q83" s="40">
        <v>24466</v>
      </c>
      <c r="R83" s="17">
        <v>24466</v>
      </c>
      <c r="S83" s="40">
        <f t="shared" si="3"/>
        <v>0</v>
      </c>
      <c r="T83" s="18"/>
      <c r="U83" s="22" t="s">
        <v>14520</v>
      </c>
      <c r="V83" s="14">
        <v>43626</v>
      </c>
      <c r="W83" s="45" t="s">
        <v>9305</v>
      </c>
    </row>
    <row r="84" spans="1:23" s="19" customFormat="1" ht="77.25" customHeight="1" x14ac:dyDescent="0.2">
      <c r="A84" s="289">
        <v>78</v>
      </c>
      <c r="B84" s="285" t="s">
        <v>17009</v>
      </c>
      <c r="C84" s="285"/>
      <c r="D84" s="9" t="s">
        <v>17010</v>
      </c>
      <c r="E84" s="361">
        <v>1974</v>
      </c>
      <c r="F84" s="9" t="s">
        <v>17011</v>
      </c>
      <c r="G84" s="285" t="s">
        <v>13678</v>
      </c>
      <c r="H84" s="361" t="s">
        <v>4296</v>
      </c>
      <c r="I84" s="285" t="s">
        <v>3793</v>
      </c>
      <c r="J84" s="361"/>
      <c r="K84" s="361" t="s">
        <v>3136</v>
      </c>
      <c r="L84" s="140">
        <v>44132</v>
      </c>
      <c r="M84" s="285">
        <v>895</v>
      </c>
      <c r="N84" s="821"/>
      <c r="O84" s="34"/>
      <c r="P84" s="57">
        <v>44105</v>
      </c>
      <c r="Q84" s="62">
        <v>41000</v>
      </c>
      <c r="R84" s="62">
        <v>4441.58</v>
      </c>
      <c r="S84" s="62">
        <f t="shared" si="3"/>
        <v>36558.42</v>
      </c>
      <c r="T84" s="18"/>
      <c r="U84" s="285" t="s">
        <v>13679</v>
      </c>
      <c r="V84" s="15">
        <v>44057</v>
      </c>
      <c r="W84" s="22" t="s">
        <v>17012</v>
      </c>
    </row>
    <row r="85" spans="1:23" s="19" customFormat="1" ht="77.25" customHeight="1" x14ac:dyDescent="0.2">
      <c r="A85" s="289">
        <v>79</v>
      </c>
      <c r="B85" s="285" t="s">
        <v>17013</v>
      </c>
      <c r="C85" s="285"/>
      <c r="D85" s="9" t="s">
        <v>17014</v>
      </c>
      <c r="E85" s="361">
        <v>1974</v>
      </c>
      <c r="F85" s="9" t="s">
        <v>17015</v>
      </c>
      <c r="G85" s="285" t="s">
        <v>13678</v>
      </c>
      <c r="H85" s="361" t="s">
        <v>4296</v>
      </c>
      <c r="I85" s="285" t="s">
        <v>3793</v>
      </c>
      <c r="J85" s="361"/>
      <c r="K85" s="361" t="s">
        <v>3136</v>
      </c>
      <c r="L85" s="140">
        <v>44132</v>
      </c>
      <c r="M85" s="285">
        <v>895</v>
      </c>
      <c r="N85" s="34">
        <v>138.19999999999999</v>
      </c>
      <c r="P85" s="57">
        <v>44105</v>
      </c>
      <c r="Q85" s="62">
        <v>176000</v>
      </c>
      <c r="R85" s="62">
        <v>10895.3</v>
      </c>
      <c r="S85" s="62">
        <f t="shared" si="3"/>
        <v>165104.70000000001</v>
      </c>
      <c r="T85" s="18"/>
      <c r="U85" s="285" t="s">
        <v>13679</v>
      </c>
      <c r="V85" s="15">
        <v>44057</v>
      </c>
      <c r="W85" s="22" t="s">
        <v>17012</v>
      </c>
    </row>
    <row r="86" spans="1:23" s="19" customFormat="1" ht="151.9" customHeight="1" x14ac:dyDescent="0.2">
      <c r="A86" s="289">
        <v>80</v>
      </c>
      <c r="B86" s="285" t="s">
        <v>17016</v>
      </c>
      <c r="C86" s="285" t="s">
        <v>17017</v>
      </c>
      <c r="D86" s="9" t="s">
        <v>17018</v>
      </c>
      <c r="E86" s="361">
        <v>1971</v>
      </c>
      <c r="F86" s="279" t="s">
        <v>17019</v>
      </c>
      <c r="G86" s="285" t="s">
        <v>17020</v>
      </c>
      <c r="H86" s="361" t="s">
        <v>4296</v>
      </c>
      <c r="I86" s="285" t="s">
        <v>3793</v>
      </c>
      <c r="J86" s="361"/>
      <c r="K86" s="361" t="s">
        <v>3136</v>
      </c>
      <c r="L86" s="140">
        <v>44132</v>
      </c>
      <c r="M86" s="285">
        <v>895</v>
      </c>
      <c r="N86" s="34">
        <v>162.1</v>
      </c>
      <c r="P86" s="57">
        <v>44105</v>
      </c>
      <c r="Q86" s="62">
        <v>78000</v>
      </c>
      <c r="R86" s="62">
        <v>8047.52</v>
      </c>
      <c r="S86" s="62">
        <f t="shared" si="3"/>
        <v>69952.479999999996</v>
      </c>
      <c r="T86" s="18"/>
      <c r="U86" s="285" t="s">
        <v>17021</v>
      </c>
      <c r="V86" s="14" t="s">
        <v>17022</v>
      </c>
      <c r="W86" s="22" t="s">
        <v>17023</v>
      </c>
    </row>
    <row r="87" spans="1:23" s="19" customFormat="1" ht="112.9" customHeight="1" x14ac:dyDescent="0.2">
      <c r="A87" s="289">
        <v>81</v>
      </c>
      <c r="B87" s="285" t="s">
        <v>17024</v>
      </c>
      <c r="C87" s="285" t="s">
        <v>17017</v>
      </c>
      <c r="D87" s="9" t="s">
        <v>17025</v>
      </c>
      <c r="E87" s="361">
        <v>1971</v>
      </c>
      <c r="F87" s="279" t="s">
        <v>17026</v>
      </c>
      <c r="G87" s="285" t="s">
        <v>13678</v>
      </c>
      <c r="H87" s="361" t="s">
        <v>4296</v>
      </c>
      <c r="I87" s="285" t="s">
        <v>3793</v>
      </c>
      <c r="J87" s="361"/>
      <c r="K87" s="361" t="s">
        <v>3136</v>
      </c>
      <c r="L87" s="140">
        <v>44132</v>
      </c>
      <c r="M87" s="285">
        <v>895</v>
      </c>
      <c r="N87" s="821"/>
      <c r="O87" s="34"/>
      <c r="P87" s="57">
        <v>44105</v>
      </c>
      <c r="Q87" s="62">
        <v>34000</v>
      </c>
      <c r="R87" s="34">
        <v>34000</v>
      </c>
      <c r="S87" s="62">
        <f t="shared" si="3"/>
        <v>0</v>
      </c>
      <c r="T87" s="18"/>
      <c r="U87" s="285" t="s">
        <v>17021</v>
      </c>
      <c r="V87" s="14" t="s">
        <v>17022</v>
      </c>
      <c r="W87" s="22" t="s">
        <v>17023</v>
      </c>
    </row>
    <row r="88" spans="1:23" s="19" customFormat="1" ht="78" customHeight="1" x14ac:dyDescent="0.2">
      <c r="A88" s="289">
        <v>82</v>
      </c>
      <c r="B88" s="285" t="s">
        <v>17027</v>
      </c>
      <c r="C88" s="285"/>
      <c r="D88" s="9" t="s">
        <v>17028</v>
      </c>
      <c r="E88" s="361">
        <v>1971</v>
      </c>
      <c r="F88" s="9" t="s">
        <v>17029</v>
      </c>
      <c r="G88" s="285" t="s">
        <v>13678</v>
      </c>
      <c r="H88" s="361" t="s">
        <v>4296</v>
      </c>
      <c r="I88" s="285" t="s">
        <v>3793</v>
      </c>
      <c r="J88" s="361"/>
      <c r="K88" s="361" t="s">
        <v>3136</v>
      </c>
      <c r="L88" s="140">
        <v>44132</v>
      </c>
      <c r="M88" s="285">
        <v>895</v>
      </c>
      <c r="N88" s="140"/>
      <c r="O88" s="17"/>
      <c r="P88" s="57">
        <v>44105</v>
      </c>
      <c r="Q88" s="40">
        <v>800000</v>
      </c>
      <c r="R88" s="17">
        <v>82539.600000000006</v>
      </c>
      <c r="S88" s="40">
        <f t="shared" si="3"/>
        <v>717460.4</v>
      </c>
      <c r="T88" s="18"/>
      <c r="U88" s="285" t="s">
        <v>13679</v>
      </c>
      <c r="V88" s="15">
        <v>44057</v>
      </c>
      <c r="W88" s="22" t="s">
        <v>17012</v>
      </c>
    </row>
    <row r="89" spans="1:23" s="19" customFormat="1" ht="78" customHeight="1" x14ac:dyDescent="0.2">
      <c r="A89" s="289">
        <v>83</v>
      </c>
      <c r="B89" s="285" t="s">
        <v>17030</v>
      </c>
      <c r="C89" s="285"/>
      <c r="D89" s="9" t="s">
        <v>17031</v>
      </c>
      <c r="E89" s="361">
        <v>1978</v>
      </c>
      <c r="F89" s="9" t="s">
        <v>17032</v>
      </c>
      <c r="G89" s="285" t="s">
        <v>13678</v>
      </c>
      <c r="H89" s="361" t="s">
        <v>4296</v>
      </c>
      <c r="I89" s="285" t="s">
        <v>3793</v>
      </c>
      <c r="J89" s="361"/>
      <c r="K89" s="361" t="s">
        <v>3136</v>
      </c>
      <c r="L89" s="140">
        <v>44132</v>
      </c>
      <c r="M89" s="285">
        <v>895</v>
      </c>
      <c r="N89" s="34">
        <v>874.4</v>
      </c>
      <c r="O89" s="17"/>
      <c r="P89" s="57">
        <v>44105</v>
      </c>
      <c r="Q89" s="40">
        <v>1061000</v>
      </c>
      <c r="R89" s="17">
        <v>109468.32</v>
      </c>
      <c r="S89" s="40">
        <f t="shared" si="3"/>
        <v>951531.67999999993</v>
      </c>
      <c r="T89" s="18"/>
      <c r="U89" s="285" t="s">
        <v>13679</v>
      </c>
      <c r="V89" s="15">
        <v>44057</v>
      </c>
      <c r="W89" s="22" t="s">
        <v>17012</v>
      </c>
    </row>
    <row r="90" spans="1:23" s="19" customFormat="1" ht="78" customHeight="1" x14ac:dyDescent="0.2">
      <c r="A90" s="289">
        <v>84</v>
      </c>
      <c r="B90" s="285" t="s">
        <v>17033</v>
      </c>
      <c r="C90" s="285"/>
      <c r="D90" s="9" t="s">
        <v>17034</v>
      </c>
      <c r="E90" s="361">
        <v>1973</v>
      </c>
      <c r="F90" s="9" t="s">
        <v>17035</v>
      </c>
      <c r="G90" s="285" t="s">
        <v>13678</v>
      </c>
      <c r="H90" s="361" t="s">
        <v>4296</v>
      </c>
      <c r="I90" s="285" t="s">
        <v>3793</v>
      </c>
      <c r="J90" s="361"/>
      <c r="K90" s="361" t="s">
        <v>3136</v>
      </c>
      <c r="L90" s="140">
        <v>44132</v>
      </c>
      <c r="M90" s="285">
        <v>895</v>
      </c>
      <c r="N90" s="140"/>
      <c r="O90" s="17"/>
      <c r="P90" s="57">
        <v>44105</v>
      </c>
      <c r="Q90" s="40">
        <v>1288000</v>
      </c>
      <c r="R90" s="17">
        <v>132888.85999999999</v>
      </c>
      <c r="S90" s="40">
        <f t="shared" si="3"/>
        <v>1155111.1400000001</v>
      </c>
      <c r="T90" s="18"/>
      <c r="U90" s="285" t="s">
        <v>13679</v>
      </c>
      <c r="V90" s="15">
        <v>44057</v>
      </c>
      <c r="W90" s="22" t="s">
        <v>17012</v>
      </c>
    </row>
    <row r="91" spans="1:23" s="19" customFormat="1" ht="72" customHeight="1" x14ac:dyDescent="0.2">
      <c r="A91" s="289">
        <v>85</v>
      </c>
      <c r="B91" s="285" t="s">
        <v>17036</v>
      </c>
      <c r="C91" s="285"/>
      <c r="D91" s="9" t="s">
        <v>17037</v>
      </c>
      <c r="E91" s="361"/>
      <c r="F91" s="9" t="s">
        <v>17038</v>
      </c>
      <c r="G91" s="285" t="s">
        <v>13678</v>
      </c>
      <c r="H91" s="361" t="s">
        <v>4296</v>
      </c>
      <c r="I91" s="285" t="s">
        <v>3793</v>
      </c>
      <c r="J91" s="361"/>
      <c r="K91" s="361" t="s">
        <v>3136</v>
      </c>
      <c r="L91" s="140">
        <v>44132</v>
      </c>
      <c r="M91" s="285">
        <v>895</v>
      </c>
      <c r="N91" s="34">
        <v>1085</v>
      </c>
      <c r="O91" s="17"/>
      <c r="P91" s="57">
        <v>44105</v>
      </c>
      <c r="Q91" s="40">
        <v>133000</v>
      </c>
      <c r="R91" s="40">
        <v>14408.42</v>
      </c>
      <c r="S91" s="40">
        <f t="shared" si="3"/>
        <v>118591.58</v>
      </c>
      <c r="T91" s="18"/>
      <c r="U91" s="285" t="s">
        <v>13679</v>
      </c>
      <c r="V91" s="15">
        <v>44057</v>
      </c>
      <c r="W91" s="22" t="s">
        <v>17012</v>
      </c>
    </row>
    <row r="92" spans="1:23" s="19" customFormat="1" ht="72" customHeight="1" x14ac:dyDescent="0.2">
      <c r="A92" s="289">
        <v>86</v>
      </c>
      <c r="B92" s="285" t="s">
        <v>17039</v>
      </c>
      <c r="C92" s="285"/>
      <c r="D92" s="46" t="s">
        <v>17040</v>
      </c>
      <c r="E92" s="361">
        <v>1969</v>
      </c>
      <c r="F92" s="9" t="s">
        <v>17041</v>
      </c>
      <c r="G92" s="285" t="s">
        <v>13678</v>
      </c>
      <c r="H92" s="361" t="s">
        <v>4296</v>
      </c>
      <c r="I92" s="285" t="s">
        <v>3793</v>
      </c>
      <c r="J92" s="361"/>
      <c r="K92" s="361" t="s">
        <v>3136</v>
      </c>
      <c r="L92" s="140">
        <v>44132</v>
      </c>
      <c r="M92" s="285">
        <v>895</v>
      </c>
      <c r="N92" s="140"/>
      <c r="O92" s="17"/>
      <c r="P92" s="57">
        <v>44105</v>
      </c>
      <c r="Q92" s="40">
        <v>7791000</v>
      </c>
      <c r="R92" s="40">
        <v>803833.42</v>
      </c>
      <c r="S92" s="40">
        <f t="shared" si="3"/>
        <v>6987166.5800000001</v>
      </c>
      <c r="T92" s="18"/>
      <c r="U92" s="285" t="s">
        <v>13679</v>
      </c>
      <c r="V92" s="15">
        <v>44057</v>
      </c>
      <c r="W92" s="22" t="s">
        <v>17012</v>
      </c>
    </row>
    <row r="93" spans="1:23" s="19" customFormat="1" ht="72" customHeight="1" x14ac:dyDescent="0.2">
      <c r="A93" s="289">
        <v>87</v>
      </c>
      <c r="B93" s="285" t="s">
        <v>17042</v>
      </c>
      <c r="C93" s="257"/>
      <c r="D93" s="73" t="s">
        <v>17043</v>
      </c>
      <c r="E93" s="558">
        <v>2014</v>
      </c>
      <c r="F93" s="9" t="s">
        <v>17044</v>
      </c>
      <c r="G93" s="285" t="s">
        <v>13678</v>
      </c>
      <c r="H93" s="361" t="s">
        <v>4296</v>
      </c>
      <c r="I93" s="285" t="s">
        <v>3793</v>
      </c>
      <c r="J93" s="361"/>
      <c r="K93" s="361" t="s">
        <v>3136</v>
      </c>
      <c r="L93" s="140">
        <v>44132</v>
      </c>
      <c r="M93" s="285">
        <v>894</v>
      </c>
      <c r="N93" s="821"/>
      <c r="O93" s="34">
        <v>1</v>
      </c>
      <c r="P93" s="57">
        <v>44105</v>
      </c>
      <c r="Q93" s="62">
        <v>23780</v>
      </c>
      <c r="R93" s="40">
        <v>23780</v>
      </c>
      <c r="S93" s="62">
        <f t="shared" si="3"/>
        <v>0</v>
      </c>
      <c r="T93" s="18"/>
      <c r="U93" s="285" t="s">
        <v>13679</v>
      </c>
      <c r="V93" s="15"/>
      <c r="W93" s="22" t="s">
        <v>14588</v>
      </c>
    </row>
    <row r="94" spans="1:23" s="19" customFormat="1" ht="71.25" customHeight="1" x14ac:dyDescent="0.2">
      <c r="A94" s="289">
        <v>88</v>
      </c>
      <c r="B94" s="285" t="s">
        <v>17045</v>
      </c>
      <c r="C94" s="257"/>
      <c r="D94" s="73" t="s">
        <v>17046</v>
      </c>
      <c r="E94" s="558" t="s">
        <v>10239</v>
      </c>
      <c r="F94" s="9" t="s">
        <v>17047</v>
      </c>
      <c r="G94" s="285" t="s">
        <v>13678</v>
      </c>
      <c r="H94" s="361" t="s">
        <v>4296</v>
      </c>
      <c r="I94" s="285" t="s">
        <v>3793</v>
      </c>
      <c r="J94" s="361"/>
      <c r="K94" s="361" t="s">
        <v>3136</v>
      </c>
      <c r="L94" s="140">
        <v>44132</v>
      </c>
      <c r="M94" s="285">
        <v>894</v>
      </c>
      <c r="N94" s="821"/>
      <c r="O94" s="34">
        <v>1</v>
      </c>
      <c r="P94" s="57">
        <v>44105</v>
      </c>
      <c r="Q94" s="62">
        <v>445440</v>
      </c>
      <c r="R94" s="40">
        <v>38476.620000000003</v>
      </c>
      <c r="S94" s="62">
        <f t="shared" si="3"/>
        <v>406963.38</v>
      </c>
      <c r="T94" s="18"/>
      <c r="U94" s="285" t="s">
        <v>13679</v>
      </c>
      <c r="V94" s="15"/>
      <c r="W94" s="22" t="s">
        <v>14588</v>
      </c>
    </row>
    <row r="95" spans="1:23" s="19" customFormat="1" ht="71.25" customHeight="1" x14ac:dyDescent="0.2">
      <c r="A95" s="289">
        <v>89</v>
      </c>
      <c r="B95" s="285" t="s">
        <v>17048</v>
      </c>
      <c r="C95" s="257"/>
      <c r="D95" s="73" t="s">
        <v>17049</v>
      </c>
      <c r="E95" s="558" t="s">
        <v>10239</v>
      </c>
      <c r="F95" s="9" t="s">
        <v>17050</v>
      </c>
      <c r="G95" s="285" t="s">
        <v>13678</v>
      </c>
      <c r="H95" s="361" t="s">
        <v>4296</v>
      </c>
      <c r="I95" s="285" t="s">
        <v>3793</v>
      </c>
      <c r="J95" s="361"/>
      <c r="K95" s="361" t="s">
        <v>3136</v>
      </c>
      <c r="L95" s="140">
        <v>44132</v>
      </c>
      <c r="M95" s="285">
        <v>894</v>
      </c>
      <c r="N95" s="821"/>
      <c r="O95" s="34">
        <v>1</v>
      </c>
      <c r="P95" s="57">
        <v>44105</v>
      </c>
      <c r="Q95" s="62">
        <v>70590</v>
      </c>
      <c r="R95" s="40">
        <v>6097.52</v>
      </c>
      <c r="S95" s="62">
        <f t="shared" si="3"/>
        <v>64492.479999999996</v>
      </c>
      <c r="T95" s="18"/>
      <c r="U95" s="285" t="s">
        <v>13679</v>
      </c>
      <c r="V95" s="15"/>
      <c r="W95" s="22" t="s">
        <v>14588</v>
      </c>
    </row>
    <row r="96" spans="1:23" s="450" customFormat="1" ht="21" customHeight="1" x14ac:dyDescent="0.2">
      <c r="A96" s="7"/>
      <c r="B96" s="533"/>
      <c r="C96" s="159"/>
      <c r="D96" s="564"/>
      <c r="E96" s="565"/>
      <c r="F96" s="564"/>
      <c r="G96" s="564"/>
      <c r="H96" s="565"/>
      <c r="I96" s="565"/>
      <c r="J96" s="565"/>
      <c r="K96" s="822"/>
      <c r="L96" s="566"/>
      <c r="M96" s="567"/>
      <c r="N96" s="864">
        <f>SUM(N7:N95)</f>
        <v>7508.49</v>
      </c>
      <c r="O96" s="823"/>
      <c r="P96" s="823"/>
      <c r="Q96" s="824">
        <f>SUM(Q7:Q95)</f>
        <v>31831783.220000006</v>
      </c>
      <c r="R96" s="824"/>
      <c r="S96" s="824"/>
      <c r="T96" s="825"/>
      <c r="U96" s="146"/>
      <c r="V96" s="146"/>
      <c r="W96" s="533"/>
    </row>
    <row r="97" spans="1:23" s="832" customFormat="1" ht="11.25" x14ac:dyDescent="0.2">
      <c r="A97" s="815"/>
      <c r="B97" s="816"/>
      <c r="C97" s="816"/>
      <c r="D97" s="826"/>
      <c r="E97" s="827"/>
      <c r="F97" s="826"/>
      <c r="G97" s="826"/>
      <c r="H97" s="827"/>
      <c r="I97" s="827"/>
      <c r="J97" s="827"/>
      <c r="K97" s="827"/>
      <c r="L97" s="827"/>
      <c r="M97" s="816"/>
      <c r="N97" s="827"/>
      <c r="O97" s="828"/>
      <c r="P97" s="828"/>
      <c r="Q97" s="829"/>
      <c r="R97" s="829"/>
      <c r="S97" s="829"/>
      <c r="T97" s="830"/>
      <c r="U97" s="816"/>
      <c r="V97" s="816"/>
      <c r="W97" s="831"/>
    </row>
    <row r="98" spans="1:23" s="832" customFormat="1" ht="11.25" x14ac:dyDescent="0.2">
      <c r="A98" s="815"/>
      <c r="B98" s="815"/>
      <c r="C98" s="833"/>
      <c r="D98" s="833"/>
      <c r="E98" s="816"/>
      <c r="F98" s="833"/>
      <c r="G98" s="833"/>
      <c r="H98" s="816"/>
      <c r="I98" s="816"/>
      <c r="J98" s="816"/>
      <c r="K98" s="816"/>
      <c r="L98" s="816"/>
      <c r="M98" s="815"/>
      <c r="N98" s="816"/>
      <c r="O98" s="834"/>
      <c r="P98" s="834"/>
      <c r="Q98" s="829"/>
      <c r="R98" s="829"/>
      <c r="S98" s="829"/>
      <c r="T98" s="830"/>
      <c r="U98" s="829"/>
      <c r="V98" s="829"/>
      <c r="W98" s="830"/>
    </row>
    <row r="99" spans="1:23" s="832" customFormat="1" ht="11.25" x14ac:dyDescent="0.2">
      <c r="A99" s="815"/>
      <c r="B99" s="815"/>
      <c r="C99" s="816"/>
      <c r="D99" s="833"/>
      <c r="E99" s="815"/>
      <c r="F99" s="833"/>
      <c r="G99" s="833"/>
      <c r="H99" s="816"/>
      <c r="I99" s="816"/>
      <c r="J99" s="815"/>
      <c r="K99" s="816"/>
      <c r="L99" s="815"/>
      <c r="M99" s="815"/>
      <c r="N99" s="815"/>
      <c r="O99" s="834"/>
      <c r="P99" s="834"/>
      <c r="Q99" s="829"/>
      <c r="R99" s="815"/>
      <c r="S99" s="815"/>
      <c r="U99" s="815"/>
      <c r="V99" s="815"/>
      <c r="W99" s="815"/>
    </row>
    <row r="100" spans="1:23" s="832" customFormat="1" ht="11.25" x14ac:dyDescent="0.2">
      <c r="A100" s="815"/>
      <c r="B100" s="815"/>
      <c r="C100" s="816"/>
      <c r="D100" s="833"/>
      <c r="E100" s="815"/>
      <c r="F100" s="833"/>
      <c r="G100" s="833"/>
      <c r="H100" s="816"/>
      <c r="I100" s="816"/>
      <c r="J100" s="815"/>
      <c r="K100" s="816"/>
      <c r="L100" s="815"/>
      <c r="M100" s="815"/>
      <c r="N100" s="815"/>
      <c r="O100" s="834"/>
      <c r="P100" s="834"/>
      <c r="Q100" s="815"/>
      <c r="R100" s="815"/>
      <c r="S100" s="815"/>
      <c r="U100" s="815"/>
      <c r="V100" s="815"/>
      <c r="W100" s="815"/>
    </row>
    <row r="101" spans="1:23" s="832" customFormat="1" ht="11.25" x14ac:dyDescent="0.2">
      <c r="A101" s="815"/>
      <c r="B101" s="815"/>
      <c r="C101" s="816"/>
      <c r="D101" s="833"/>
      <c r="E101" s="815"/>
      <c r="F101" s="833"/>
      <c r="G101" s="833"/>
      <c r="H101" s="816"/>
      <c r="I101" s="816"/>
      <c r="J101" s="815"/>
      <c r="K101" s="816"/>
      <c r="L101" s="815"/>
      <c r="M101" s="815"/>
      <c r="N101" s="815"/>
      <c r="O101" s="834"/>
      <c r="P101" s="834"/>
      <c r="Q101" s="815"/>
      <c r="R101" s="815"/>
      <c r="S101" s="815"/>
      <c r="U101" s="815"/>
      <c r="V101" s="815"/>
      <c r="W101" s="815"/>
    </row>
    <row r="102" spans="1:23" s="832" customFormat="1" ht="11.25" x14ac:dyDescent="0.2">
      <c r="A102" s="815"/>
      <c r="B102" s="815"/>
      <c r="C102" s="816"/>
      <c r="D102" s="833"/>
      <c r="E102" s="815"/>
      <c r="F102" s="833"/>
      <c r="G102" s="833"/>
      <c r="H102" s="816"/>
      <c r="I102" s="816"/>
      <c r="J102" s="815"/>
      <c r="K102" s="816"/>
      <c r="L102" s="815"/>
      <c r="M102" s="815"/>
      <c r="N102" s="815"/>
      <c r="O102" s="834"/>
      <c r="P102" s="834"/>
      <c r="Q102" s="815"/>
      <c r="R102" s="815"/>
      <c r="S102" s="815"/>
      <c r="U102" s="815"/>
      <c r="V102" s="815"/>
      <c r="W102" s="815"/>
    </row>
    <row r="103" spans="1:23" s="832" customFormat="1" ht="11.25" x14ac:dyDescent="0.2">
      <c r="A103" s="815"/>
      <c r="B103" s="815"/>
      <c r="C103" s="816"/>
      <c r="D103" s="833"/>
      <c r="E103" s="815"/>
      <c r="F103" s="833"/>
      <c r="G103" s="833"/>
      <c r="H103" s="816"/>
      <c r="I103" s="816"/>
      <c r="J103" s="815"/>
      <c r="K103" s="816"/>
      <c r="L103" s="815"/>
      <c r="M103" s="815"/>
      <c r="N103" s="815"/>
      <c r="O103" s="834"/>
      <c r="P103" s="834"/>
      <c r="Q103" s="815"/>
      <c r="R103" s="815"/>
      <c r="S103" s="815"/>
      <c r="U103" s="815"/>
      <c r="V103" s="815"/>
      <c r="W103" s="815"/>
    </row>
    <row r="104" spans="1:23" s="832" customFormat="1" ht="11.25" x14ac:dyDescent="0.2">
      <c r="A104" s="815"/>
      <c r="B104" s="815"/>
      <c r="C104" s="816"/>
      <c r="D104" s="833"/>
      <c r="E104" s="815"/>
      <c r="F104" s="833"/>
      <c r="G104" s="833"/>
      <c r="H104" s="816"/>
      <c r="I104" s="816"/>
      <c r="J104" s="815"/>
      <c r="K104" s="816"/>
      <c r="L104" s="815"/>
      <c r="M104" s="815"/>
      <c r="N104" s="815"/>
      <c r="O104" s="834"/>
      <c r="P104" s="834"/>
      <c r="Q104" s="815"/>
      <c r="R104" s="815"/>
      <c r="S104" s="815"/>
      <c r="U104" s="815"/>
      <c r="V104" s="815"/>
      <c r="W104" s="815"/>
    </row>
    <row r="105" spans="1:23" s="832" customFormat="1" ht="11.25" x14ac:dyDescent="0.2">
      <c r="A105" s="815"/>
      <c r="B105" s="815"/>
      <c r="C105" s="816"/>
      <c r="D105" s="833"/>
      <c r="E105" s="815"/>
      <c r="F105" s="833"/>
      <c r="G105" s="833"/>
      <c r="H105" s="816"/>
      <c r="I105" s="816"/>
      <c r="J105" s="815"/>
      <c r="K105" s="816"/>
      <c r="L105" s="815"/>
      <c r="M105" s="815"/>
      <c r="N105" s="815"/>
      <c r="O105" s="834"/>
      <c r="P105" s="834"/>
      <c r="Q105" s="815"/>
      <c r="R105" s="815"/>
      <c r="S105" s="815"/>
      <c r="U105" s="815"/>
      <c r="V105" s="815"/>
      <c r="W105" s="815"/>
    </row>
    <row r="106" spans="1:23" s="832" customFormat="1" ht="11.25" x14ac:dyDescent="0.2">
      <c r="A106" s="815"/>
      <c r="B106" s="815"/>
      <c r="C106" s="816"/>
      <c r="D106" s="833"/>
      <c r="E106" s="815"/>
      <c r="F106" s="833"/>
      <c r="G106" s="833"/>
      <c r="H106" s="816"/>
      <c r="I106" s="816"/>
      <c r="J106" s="815"/>
      <c r="K106" s="816"/>
      <c r="L106" s="815"/>
      <c r="M106" s="815"/>
      <c r="N106" s="815"/>
      <c r="O106" s="834"/>
      <c r="P106" s="834"/>
      <c r="Q106" s="815"/>
      <c r="R106" s="815"/>
      <c r="S106" s="815"/>
      <c r="U106" s="815"/>
      <c r="V106" s="815"/>
      <c r="W106" s="815"/>
    </row>
    <row r="107" spans="1:23" s="832" customFormat="1" ht="11.25" x14ac:dyDescent="0.2">
      <c r="A107" s="815"/>
      <c r="B107" s="815"/>
      <c r="C107" s="816"/>
      <c r="D107" s="833"/>
      <c r="E107" s="815"/>
      <c r="F107" s="833"/>
      <c r="G107" s="833"/>
      <c r="H107" s="816"/>
      <c r="I107" s="816"/>
      <c r="J107" s="815"/>
      <c r="K107" s="816"/>
      <c r="L107" s="815"/>
      <c r="M107" s="815"/>
      <c r="N107" s="815"/>
      <c r="O107" s="834"/>
      <c r="P107" s="834"/>
      <c r="Q107" s="815"/>
      <c r="R107" s="815"/>
      <c r="S107" s="815"/>
      <c r="U107" s="815"/>
      <c r="V107" s="815"/>
      <c r="W107" s="815"/>
    </row>
    <row r="108" spans="1:23" s="832" customFormat="1" ht="11.25" x14ac:dyDescent="0.2">
      <c r="A108" s="815"/>
      <c r="B108" s="815"/>
      <c r="C108" s="816"/>
      <c r="D108" s="833"/>
      <c r="E108" s="815"/>
      <c r="F108" s="833"/>
      <c r="G108" s="833"/>
      <c r="H108" s="816"/>
      <c r="I108" s="816"/>
      <c r="J108" s="815"/>
      <c r="K108" s="816"/>
      <c r="L108" s="815"/>
      <c r="M108" s="815"/>
      <c r="N108" s="815"/>
      <c r="O108" s="834"/>
      <c r="P108" s="834"/>
      <c r="Q108" s="815"/>
      <c r="R108" s="815"/>
      <c r="S108" s="815"/>
      <c r="U108" s="815"/>
      <c r="V108" s="815"/>
      <c r="W108" s="815"/>
    </row>
    <row r="109" spans="1:23" s="832" customFormat="1" ht="11.25" x14ac:dyDescent="0.2">
      <c r="A109" s="815"/>
      <c r="B109" s="815"/>
      <c r="C109" s="816"/>
      <c r="D109" s="833"/>
      <c r="E109" s="815"/>
      <c r="F109" s="833"/>
      <c r="G109" s="833"/>
      <c r="H109" s="816"/>
      <c r="I109" s="816"/>
      <c r="J109" s="815"/>
      <c r="K109" s="816"/>
      <c r="L109" s="815"/>
      <c r="M109" s="815"/>
      <c r="N109" s="815"/>
      <c r="O109" s="834"/>
      <c r="P109" s="834"/>
      <c r="Q109" s="815"/>
      <c r="R109" s="815"/>
      <c r="S109" s="815"/>
      <c r="U109" s="815"/>
      <c r="V109" s="815"/>
      <c r="W109" s="815"/>
    </row>
    <row r="110" spans="1:23" s="832" customFormat="1" ht="11.25" x14ac:dyDescent="0.2">
      <c r="A110" s="815"/>
      <c r="B110" s="815"/>
      <c r="C110" s="816"/>
      <c r="D110" s="833"/>
      <c r="E110" s="815"/>
      <c r="F110" s="833"/>
      <c r="G110" s="833"/>
      <c r="H110" s="816"/>
      <c r="I110" s="816"/>
      <c r="J110" s="815"/>
      <c r="K110" s="816"/>
      <c r="L110" s="815"/>
      <c r="M110" s="815"/>
      <c r="N110" s="815"/>
      <c r="O110" s="834"/>
      <c r="P110" s="834"/>
      <c r="Q110" s="815"/>
      <c r="R110" s="815"/>
      <c r="S110" s="815"/>
      <c r="U110" s="815"/>
      <c r="V110" s="815"/>
      <c r="W110" s="815"/>
    </row>
    <row r="111" spans="1:23" s="832" customFormat="1" ht="11.25" x14ac:dyDescent="0.2">
      <c r="A111" s="815"/>
      <c r="B111" s="815"/>
      <c r="C111" s="816"/>
      <c r="D111" s="833"/>
      <c r="E111" s="815"/>
      <c r="F111" s="833"/>
      <c r="G111" s="833"/>
      <c r="H111" s="816"/>
      <c r="I111" s="816"/>
      <c r="J111" s="815"/>
      <c r="K111" s="816"/>
      <c r="L111" s="815"/>
      <c r="M111" s="815"/>
      <c r="N111" s="815"/>
      <c r="O111" s="834"/>
      <c r="P111" s="834"/>
      <c r="Q111" s="815"/>
      <c r="R111" s="815"/>
      <c r="S111" s="815"/>
      <c r="U111" s="815"/>
      <c r="V111" s="815"/>
      <c r="W111" s="815"/>
    </row>
    <row r="112" spans="1:23" s="832" customFormat="1" ht="11.25" x14ac:dyDescent="0.2">
      <c r="A112" s="815"/>
      <c r="B112" s="815"/>
      <c r="C112" s="816"/>
      <c r="D112" s="833"/>
      <c r="E112" s="815"/>
      <c r="F112" s="833"/>
      <c r="G112" s="833"/>
      <c r="H112" s="816"/>
      <c r="I112" s="816"/>
      <c r="J112" s="815"/>
      <c r="K112" s="816"/>
      <c r="L112" s="815"/>
      <c r="M112" s="815"/>
      <c r="N112" s="815"/>
      <c r="O112" s="834"/>
      <c r="P112" s="834"/>
      <c r="Q112" s="815"/>
      <c r="R112" s="815"/>
      <c r="S112" s="815"/>
      <c r="U112" s="815"/>
      <c r="V112" s="815"/>
      <c r="W112" s="815"/>
    </row>
    <row r="113" spans="1:23" s="832" customFormat="1" ht="11.25" x14ac:dyDescent="0.2">
      <c r="A113" s="815"/>
      <c r="B113" s="815"/>
      <c r="C113" s="816"/>
      <c r="D113" s="833"/>
      <c r="E113" s="815"/>
      <c r="F113" s="833"/>
      <c r="G113" s="833"/>
      <c r="H113" s="816"/>
      <c r="I113" s="816"/>
      <c r="J113" s="815"/>
      <c r="K113" s="816"/>
      <c r="L113" s="815"/>
      <c r="M113" s="815"/>
      <c r="N113" s="815"/>
      <c r="O113" s="834"/>
      <c r="P113" s="834"/>
      <c r="Q113" s="815"/>
      <c r="R113" s="815"/>
      <c r="S113" s="815"/>
      <c r="U113" s="815"/>
      <c r="V113" s="815"/>
      <c r="W113" s="815"/>
    </row>
    <row r="114" spans="1:23" s="832" customFormat="1" ht="11.25" x14ac:dyDescent="0.2">
      <c r="A114" s="815"/>
      <c r="B114" s="815"/>
      <c r="C114" s="816"/>
      <c r="D114" s="833"/>
      <c r="E114" s="815"/>
      <c r="F114" s="833"/>
      <c r="G114" s="833"/>
      <c r="H114" s="816"/>
      <c r="I114" s="816"/>
      <c r="J114" s="815"/>
      <c r="K114" s="816"/>
      <c r="L114" s="815"/>
      <c r="M114" s="815"/>
      <c r="N114" s="815"/>
      <c r="O114" s="834"/>
      <c r="P114" s="834"/>
      <c r="Q114" s="815"/>
      <c r="R114" s="815"/>
      <c r="S114" s="815"/>
      <c r="U114" s="815"/>
      <c r="V114" s="815"/>
      <c r="W114" s="815"/>
    </row>
    <row r="115" spans="1:23" s="832" customFormat="1" ht="11.25" x14ac:dyDescent="0.2">
      <c r="A115" s="815"/>
      <c r="B115" s="815"/>
      <c r="C115" s="816"/>
      <c r="D115" s="833"/>
      <c r="E115" s="815"/>
      <c r="F115" s="833"/>
      <c r="G115" s="833"/>
      <c r="H115" s="816"/>
      <c r="I115" s="816"/>
      <c r="J115" s="815"/>
      <c r="K115" s="816"/>
      <c r="L115" s="815"/>
      <c r="M115" s="815"/>
      <c r="N115" s="815"/>
      <c r="O115" s="834"/>
      <c r="P115" s="834"/>
      <c r="Q115" s="815"/>
      <c r="R115" s="815"/>
      <c r="S115" s="815"/>
      <c r="U115" s="815"/>
      <c r="V115" s="815"/>
      <c r="W115" s="815"/>
    </row>
    <row r="116" spans="1:23" s="832" customFormat="1" ht="11.25" x14ac:dyDescent="0.2">
      <c r="A116" s="815"/>
      <c r="B116" s="815"/>
      <c r="C116" s="816"/>
      <c r="D116" s="833"/>
      <c r="E116" s="815"/>
      <c r="F116" s="833"/>
      <c r="G116" s="833"/>
      <c r="H116" s="816"/>
      <c r="I116" s="816"/>
      <c r="J116" s="815"/>
      <c r="K116" s="816"/>
      <c r="L116" s="815"/>
      <c r="M116" s="815"/>
      <c r="N116" s="815"/>
      <c r="O116" s="834"/>
      <c r="P116" s="834"/>
      <c r="Q116" s="815"/>
      <c r="R116" s="815"/>
      <c r="S116" s="815"/>
      <c r="U116" s="815"/>
      <c r="V116" s="815"/>
      <c r="W116" s="815"/>
    </row>
    <row r="117" spans="1:23" s="832" customFormat="1" ht="11.25" x14ac:dyDescent="0.2">
      <c r="A117" s="815"/>
      <c r="B117" s="815"/>
      <c r="C117" s="816"/>
      <c r="D117" s="833"/>
      <c r="E117" s="815"/>
      <c r="F117" s="833"/>
      <c r="G117" s="833"/>
      <c r="H117" s="816"/>
      <c r="I117" s="816"/>
      <c r="J117" s="815"/>
      <c r="K117" s="816"/>
      <c r="L117" s="815"/>
      <c r="M117" s="815"/>
      <c r="N117" s="815"/>
      <c r="O117" s="834"/>
      <c r="P117" s="834"/>
      <c r="Q117" s="815"/>
      <c r="R117" s="815"/>
      <c r="S117" s="815"/>
      <c r="U117" s="815"/>
      <c r="V117" s="815"/>
      <c r="W117" s="815"/>
    </row>
    <row r="118" spans="1:23" s="832" customFormat="1" ht="11.25" x14ac:dyDescent="0.2">
      <c r="A118" s="815"/>
      <c r="B118" s="815"/>
      <c r="C118" s="816"/>
      <c r="D118" s="833"/>
      <c r="E118" s="815"/>
      <c r="F118" s="833"/>
      <c r="G118" s="833"/>
      <c r="H118" s="816"/>
      <c r="I118" s="816"/>
      <c r="J118" s="815"/>
      <c r="K118" s="816"/>
      <c r="L118" s="815"/>
      <c r="M118" s="815"/>
      <c r="N118" s="815"/>
      <c r="O118" s="834"/>
      <c r="P118" s="834"/>
      <c r="Q118" s="815"/>
      <c r="R118" s="815"/>
      <c r="S118" s="815"/>
      <c r="U118" s="815"/>
      <c r="V118" s="815"/>
      <c r="W118" s="815"/>
    </row>
    <row r="119" spans="1:23" s="832" customFormat="1" ht="11.25" x14ac:dyDescent="0.2">
      <c r="A119" s="815"/>
      <c r="B119" s="815"/>
      <c r="C119" s="816"/>
      <c r="D119" s="833"/>
      <c r="E119" s="815"/>
      <c r="F119" s="833"/>
      <c r="G119" s="833"/>
      <c r="H119" s="816"/>
      <c r="I119" s="816"/>
      <c r="J119" s="815"/>
      <c r="K119" s="816"/>
      <c r="L119" s="815"/>
      <c r="M119" s="815"/>
      <c r="N119" s="815"/>
      <c r="O119" s="834"/>
      <c r="P119" s="834"/>
      <c r="Q119" s="815"/>
      <c r="R119" s="815"/>
      <c r="S119" s="815"/>
      <c r="U119" s="815"/>
      <c r="V119" s="815"/>
      <c r="W119" s="815"/>
    </row>
    <row r="120" spans="1:23" s="832" customFormat="1" ht="11.25" x14ac:dyDescent="0.2">
      <c r="A120" s="815"/>
      <c r="B120" s="815"/>
      <c r="C120" s="816"/>
      <c r="D120" s="833"/>
      <c r="E120" s="815"/>
      <c r="F120" s="833"/>
      <c r="G120" s="833"/>
      <c r="H120" s="816"/>
      <c r="I120" s="816"/>
      <c r="J120" s="815"/>
      <c r="K120" s="816"/>
      <c r="L120" s="815"/>
      <c r="M120" s="815"/>
      <c r="N120" s="815"/>
      <c r="O120" s="834"/>
      <c r="P120" s="834"/>
      <c r="Q120" s="815"/>
      <c r="R120" s="815"/>
      <c r="S120" s="815"/>
      <c r="U120" s="815"/>
      <c r="V120" s="815"/>
      <c r="W120" s="815"/>
    </row>
    <row r="121" spans="1:23" s="832" customFormat="1" ht="11.25" x14ac:dyDescent="0.2">
      <c r="A121" s="815"/>
      <c r="B121" s="815"/>
      <c r="C121" s="816"/>
      <c r="D121" s="833"/>
      <c r="E121" s="815"/>
      <c r="F121" s="833"/>
      <c r="G121" s="833"/>
      <c r="H121" s="816"/>
      <c r="I121" s="816"/>
      <c r="J121" s="815"/>
      <c r="K121" s="816"/>
      <c r="L121" s="815"/>
      <c r="M121" s="815"/>
      <c r="N121" s="815"/>
      <c r="O121" s="834"/>
      <c r="P121" s="834"/>
      <c r="Q121" s="815"/>
      <c r="R121" s="815"/>
      <c r="S121" s="815"/>
      <c r="U121" s="815"/>
      <c r="V121" s="815"/>
      <c r="W121" s="815"/>
    </row>
    <row r="122" spans="1:23" s="832" customFormat="1" ht="11.25" x14ac:dyDescent="0.2">
      <c r="A122" s="815"/>
      <c r="B122" s="815"/>
      <c r="C122" s="816"/>
      <c r="D122" s="833"/>
      <c r="E122" s="815"/>
      <c r="F122" s="833"/>
      <c r="G122" s="833"/>
      <c r="H122" s="816"/>
      <c r="I122" s="816"/>
      <c r="J122" s="815"/>
      <c r="K122" s="816"/>
      <c r="L122" s="815"/>
      <c r="M122" s="815"/>
      <c r="N122" s="815"/>
      <c r="O122" s="834"/>
      <c r="P122" s="834"/>
      <c r="Q122" s="815"/>
      <c r="R122" s="815"/>
      <c r="S122" s="815"/>
      <c r="U122" s="815"/>
      <c r="V122" s="815"/>
      <c r="W122" s="815"/>
    </row>
    <row r="123" spans="1:23" s="832" customFormat="1" ht="11.25" x14ac:dyDescent="0.2">
      <c r="A123" s="815"/>
      <c r="B123" s="815"/>
      <c r="C123" s="816"/>
      <c r="D123" s="833"/>
      <c r="E123" s="815"/>
      <c r="F123" s="833"/>
      <c r="G123" s="833"/>
      <c r="H123" s="816"/>
      <c r="I123" s="816"/>
      <c r="J123" s="815"/>
      <c r="K123" s="816"/>
      <c r="L123" s="815"/>
      <c r="M123" s="815"/>
      <c r="N123" s="815"/>
      <c r="O123" s="834"/>
      <c r="P123" s="834"/>
      <c r="Q123" s="815"/>
      <c r="R123" s="815"/>
      <c r="S123" s="815"/>
      <c r="U123" s="815"/>
      <c r="V123" s="815"/>
      <c r="W123" s="815"/>
    </row>
    <row r="124" spans="1:23" s="832" customFormat="1" ht="11.25" x14ac:dyDescent="0.2">
      <c r="A124" s="815"/>
      <c r="B124" s="815"/>
      <c r="C124" s="816"/>
      <c r="D124" s="833"/>
      <c r="E124" s="815"/>
      <c r="F124" s="833"/>
      <c r="G124" s="833"/>
      <c r="H124" s="816"/>
      <c r="I124" s="816"/>
      <c r="J124" s="815"/>
      <c r="K124" s="816"/>
      <c r="L124" s="815"/>
      <c r="M124" s="815"/>
      <c r="N124" s="815"/>
      <c r="O124" s="834"/>
      <c r="P124" s="834"/>
      <c r="Q124" s="815"/>
      <c r="R124" s="815"/>
      <c r="S124" s="815"/>
      <c r="U124" s="815"/>
      <c r="V124" s="815"/>
      <c r="W124" s="815"/>
    </row>
    <row r="125" spans="1:23" s="832" customFormat="1" ht="11.25" x14ac:dyDescent="0.2">
      <c r="A125" s="815"/>
      <c r="B125" s="815"/>
      <c r="C125" s="816"/>
      <c r="D125" s="833"/>
      <c r="E125" s="815"/>
      <c r="F125" s="833"/>
      <c r="G125" s="833"/>
      <c r="H125" s="816"/>
      <c r="I125" s="816"/>
      <c r="J125" s="815"/>
      <c r="K125" s="816"/>
      <c r="L125" s="815"/>
      <c r="M125" s="815"/>
      <c r="N125" s="815"/>
      <c r="O125" s="834"/>
      <c r="P125" s="834"/>
      <c r="Q125" s="815"/>
      <c r="R125" s="815"/>
      <c r="S125" s="815"/>
      <c r="U125" s="815"/>
      <c r="V125" s="815"/>
      <c r="W125" s="815"/>
    </row>
    <row r="126" spans="1:23" s="832" customFormat="1" ht="11.25" x14ac:dyDescent="0.2">
      <c r="A126" s="815"/>
      <c r="B126" s="815"/>
      <c r="C126" s="816"/>
      <c r="D126" s="833"/>
      <c r="E126" s="815"/>
      <c r="F126" s="833"/>
      <c r="G126" s="833"/>
      <c r="H126" s="816"/>
      <c r="I126" s="816"/>
      <c r="J126" s="815"/>
      <c r="K126" s="816"/>
      <c r="L126" s="815"/>
      <c r="M126" s="815"/>
      <c r="N126" s="815"/>
      <c r="O126" s="834"/>
      <c r="P126" s="834"/>
      <c r="Q126" s="815"/>
      <c r="R126" s="815"/>
      <c r="S126" s="815"/>
      <c r="U126" s="815"/>
      <c r="V126" s="815"/>
      <c r="W126" s="815"/>
    </row>
    <row r="127" spans="1:23" s="832" customFormat="1" ht="11.25" x14ac:dyDescent="0.2">
      <c r="A127" s="815"/>
      <c r="B127" s="815"/>
      <c r="C127" s="816"/>
      <c r="D127" s="833"/>
      <c r="E127" s="815"/>
      <c r="F127" s="833"/>
      <c r="G127" s="833"/>
      <c r="H127" s="816"/>
      <c r="I127" s="816"/>
      <c r="J127" s="815"/>
      <c r="K127" s="816"/>
      <c r="L127" s="815"/>
      <c r="M127" s="815"/>
      <c r="N127" s="815"/>
      <c r="O127" s="834"/>
      <c r="P127" s="834"/>
      <c r="Q127" s="815"/>
      <c r="R127" s="815"/>
      <c r="S127" s="815"/>
      <c r="U127" s="815"/>
      <c r="V127" s="815"/>
      <c r="W127" s="815"/>
    </row>
    <row r="128" spans="1:23" s="832" customFormat="1" ht="11.25" x14ac:dyDescent="0.2">
      <c r="A128" s="815"/>
      <c r="B128" s="815"/>
      <c r="C128" s="816"/>
      <c r="D128" s="833"/>
      <c r="E128" s="815"/>
      <c r="F128" s="833"/>
      <c r="G128" s="833"/>
      <c r="H128" s="816"/>
      <c r="I128" s="816"/>
      <c r="J128" s="815"/>
      <c r="K128" s="816"/>
      <c r="L128" s="815"/>
      <c r="M128" s="815"/>
      <c r="N128" s="815"/>
      <c r="O128" s="834"/>
      <c r="P128" s="834"/>
      <c r="Q128" s="815"/>
      <c r="R128" s="815"/>
      <c r="S128" s="815"/>
      <c r="U128" s="815"/>
      <c r="V128" s="815"/>
      <c r="W128" s="815"/>
    </row>
    <row r="129" spans="1:23" s="832" customFormat="1" ht="11.25" x14ac:dyDescent="0.2">
      <c r="A129" s="815"/>
      <c r="B129" s="815"/>
      <c r="C129" s="816"/>
      <c r="D129" s="833"/>
      <c r="E129" s="815"/>
      <c r="F129" s="833"/>
      <c r="G129" s="833"/>
      <c r="H129" s="816"/>
      <c r="I129" s="816"/>
      <c r="J129" s="815"/>
      <c r="K129" s="816"/>
      <c r="L129" s="815"/>
      <c r="M129" s="815"/>
      <c r="N129" s="815"/>
      <c r="O129" s="834"/>
      <c r="P129" s="834"/>
      <c r="Q129" s="815"/>
      <c r="R129" s="815"/>
      <c r="S129" s="815"/>
      <c r="U129" s="815"/>
      <c r="V129" s="815"/>
      <c r="W129" s="815"/>
    </row>
    <row r="130" spans="1:23" s="832" customFormat="1" ht="11.25" x14ac:dyDescent="0.2">
      <c r="A130" s="815"/>
      <c r="B130" s="815"/>
      <c r="C130" s="816"/>
      <c r="D130" s="833"/>
      <c r="E130" s="815"/>
      <c r="F130" s="833"/>
      <c r="G130" s="833"/>
      <c r="H130" s="816"/>
      <c r="I130" s="816"/>
      <c r="J130" s="815"/>
      <c r="K130" s="816"/>
      <c r="L130" s="815"/>
      <c r="M130" s="815"/>
      <c r="N130" s="815"/>
      <c r="O130" s="834"/>
      <c r="P130" s="834"/>
      <c r="Q130" s="815"/>
      <c r="R130" s="815"/>
      <c r="S130" s="815"/>
      <c r="U130" s="815"/>
      <c r="V130" s="815"/>
      <c r="W130" s="815"/>
    </row>
    <row r="131" spans="1:23" s="832" customFormat="1" ht="11.25" x14ac:dyDescent="0.2">
      <c r="A131" s="815"/>
      <c r="B131" s="815"/>
      <c r="C131" s="816"/>
      <c r="D131" s="833"/>
      <c r="E131" s="815"/>
      <c r="F131" s="833"/>
      <c r="G131" s="833"/>
      <c r="H131" s="816"/>
      <c r="I131" s="816"/>
      <c r="J131" s="815"/>
      <c r="K131" s="816"/>
      <c r="L131" s="815"/>
      <c r="M131" s="815"/>
      <c r="N131" s="815"/>
      <c r="O131" s="834"/>
      <c r="P131" s="834"/>
      <c r="Q131" s="815"/>
      <c r="R131" s="815"/>
      <c r="S131" s="815"/>
      <c r="U131" s="815"/>
      <c r="V131" s="815"/>
      <c r="W131" s="815"/>
    </row>
    <row r="132" spans="1:23" s="832" customFormat="1" ht="11.25" x14ac:dyDescent="0.2">
      <c r="A132" s="815"/>
      <c r="B132" s="815"/>
      <c r="C132" s="816"/>
      <c r="D132" s="833"/>
      <c r="E132" s="815"/>
      <c r="F132" s="833"/>
      <c r="G132" s="833"/>
      <c r="H132" s="816"/>
      <c r="I132" s="816"/>
      <c r="J132" s="815"/>
      <c r="K132" s="816"/>
      <c r="L132" s="815"/>
      <c r="M132" s="815"/>
      <c r="N132" s="815"/>
      <c r="O132" s="834"/>
      <c r="P132" s="834"/>
      <c r="Q132" s="815"/>
      <c r="R132" s="815"/>
      <c r="S132" s="815"/>
      <c r="U132" s="815"/>
      <c r="V132" s="815"/>
      <c r="W132" s="815"/>
    </row>
    <row r="133" spans="1:23" s="832" customFormat="1" ht="11.25" x14ac:dyDescent="0.2">
      <c r="A133" s="815"/>
      <c r="B133" s="815"/>
      <c r="C133" s="816"/>
      <c r="D133" s="833"/>
      <c r="E133" s="815"/>
      <c r="F133" s="833"/>
      <c r="G133" s="833"/>
      <c r="H133" s="816"/>
      <c r="I133" s="816"/>
      <c r="J133" s="815"/>
      <c r="K133" s="816"/>
      <c r="L133" s="815"/>
      <c r="M133" s="815"/>
      <c r="N133" s="815"/>
      <c r="O133" s="834"/>
      <c r="P133" s="834"/>
      <c r="Q133" s="815"/>
      <c r="R133" s="815"/>
      <c r="S133" s="815"/>
      <c r="U133" s="815"/>
      <c r="V133" s="815"/>
      <c r="W133" s="815"/>
    </row>
    <row r="134" spans="1:23" s="832" customFormat="1" ht="11.25" x14ac:dyDescent="0.2">
      <c r="A134" s="815"/>
      <c r="B134" s="815"/>
      <c r="C134" s="816"/>
      <c r="D134" s="833"/>
      <c r="E134" s="815"/>
      <c r="F134" s="833"/>
      <c r="G134" s="833"/>
      <c r="H134" s="816"/>
      <c r="I134" s="816"/>
      <c r="J134" s="815"/>
      <c r="K134" s="816"/>
      <c r="L134" s="815"/>
      <c r="M134" s="815"/>
      <c r="N134" s="815"/>
      <c r="O134" s="834"/>
      <c r="P134" s="834"/>
      <c r="Q134" s="815"/>
      <c r="R134" s="815"/>
      <c r="S134" s="815"/>
      <c r="U134" s="815"/>
      <c r="V134" s="815"/>
      <c r="W134" s="815"/>
    </row>
    <row r="135" spans="1:23" s="832" customFormat="1" ht="11.25" x14ac:dyDescent="0.2">
      <c r="A135" s="815"/>
      <c r="B135" s="815"/>
      <c r="C135" s="816"/>
      <c r="D135" s="833"/>
      <c r="E135" s="815"/>
      <c r="F135" s="833"/>
      <c r="G135" s="833"/>
      <c r="H135" s="816"/>
      <c r="I135" s="816"/>
      <c r="J135" s="815"/>
      <c r="K135" s="816"/>
      <c r="L135" s="815"/>
      <c r="M135" s="815"/>
      <c r="N135" s="815"/>
      <c r="O135" s="834"/>
      <c r="P135" s="834"/>
      <c r="Q135" s="815"/>
      <c r="R135" s="815"/>
      <c r="S135" s="815"/>
      <c r="U135" s="815"/>
      <c r="V135" s="815"/>
      <c r="W135" s="815"/>
    </row>
    <row r="136" spans="1:23" s="832" customFormat="1" ht="11.25" x14ac:dyDescent="0.2">
      <c r="A136" s="815"/>
      <c r="B136" s="815"/>
      <c r="C136" s="816"/>
      <c r="D136" s="833"/>
      <c r="E136" s="815"/>
      <c r="F136" s="833"/>
      <c r="G136" s="833"/>
      <c r="H136" s="816"/>
      <c r="I136" s="816"/>
      <c r="J136" s="815"/>
      <c r="K136" s="816"/>
      <c r="L136" s="815"/>
      <c r="M136" s="815"/>
      <c r="N136" s="815"/>
      <c r="O136" s="834"/>
      <c r="P136" s="834"/>
      <c r="Q136" s="815"/>
      <c r="R136" s="815"/>
      <c r="S136" s="815"/>
      <c r="U136" s="815"/>
      <c r="V136" s="815"/>
      <c r="W136" s="815"/>
    </row>
    <row r="137" spans="1:23" s="832" customFormat="1" ht="11.25" x14ac:dyDescent="0.2">
      <c r="A137" s="815"/>
      <c r="B137" s="815"/>
      <c r="C137" s="816"/>
      <c r="D137" s="833"/>
      <c r="E137" s="815"/>
      <c r="F137" s="833"/>
      <c r="G137" s="833"/>
      <c r="H137" s="816"/>
      <c r="I137" s="816"/>
      <c r="J137" s="815"/>
      <c r="K137" s="816"/>
      <c r="L137" s="815"/>
      <c r="M137" s="815"/>
      <c r="N137" s="815"/>
      <c r="O137" s="834"/>
      <c r="P137" s="834"/>
      <c r="Q137" s="815"/>
      <c r="R137" s="815"/>
      <c r="S137" s="815"/>
      <c r="U137" s="815"/>
      <c r="V137" s="815"/>
      <c r="W137" s="815"/>
    </row>
    <row r="138" spans="1:23" s="832" customFormat="1" ht="11.25" x14ac:dyDescent="0.2">
      <c r="A138" s="815"/>
      <c r="B138" s="815"/>
      <c r="C138" s="816"/>
      <c r="D138" s="833"/>
      <c r="E138" s="815"/>
      <c r="F138" s="833"/>
      <c r="G138" s="833"/>
      <c r="H138" s="816"/>
      <c r="I138" s="816"/>
      <c r="J138" s="815"/>
      <c r="K138" s="816"/>
      <c r="L138" s="815"/>
      <c r="M138" s="815"/>
      <c r="N138" s="815"/>
      <c r="O138" s="834"/>
      <c r="P138" s="834"/>
      <c r="Q138" s="815"/>
      <c r="R138" s="815"/>
      <c r="S138" s="815"/>
      <c r="U138" s="815"/>
      <c r="V138" s="815"/>
      <c r="W138" s="815"/>
    </row>
    <row r="139" spans="1:23" s="832" customFormat="1" ht="11.25" x14ac:dyDescent="0.2">
      <c r="A139" s="815"/>
      <c r="B139" s="815"/>
      <c r="C139" s="816"/>
      <c r="D139" s="833"/>
      <c r="E139" s="815"/>
      <c r="F139" s="833"/>
      <c r="G139" s="833"/>
      <c r="H139" s="816"/>
      <c r="I139" s="816"/>
      <c r="J139" s="815"/>
      <c r="K139" s="816"/>
      <c r="L139" s="815"/>
      <c r="M139" s="815"/>
      <c r="N139" s="815"/>
      <c r="O139" s="834"/>
      <c r="P139" s="834"/>
      <c r="Q139" s="815"/>
      <c r="R139" s="815"/>
      <c r="S139" s="815"/>
      <c r="U139" s="815"/>
      <c r="V139" s="815"/>
      <c r="W139" s="815"/>
    </row>
    <row r="140" spans="1:23" s="832" customFormat="1" ht="11.25" x14ac:dyDescent="0.2">
      <c r="A140" s="815"/>
      <c r="B140" s="815"/>
      <c r="C140" s="816"/>
      <c r="D140" s="833"/>
      <c r="E140" s="815"/>
      <c r="F140" s="833"/>
      <c r="G140" s="833"/>
      <c r="H140" s="816"/>
      <c r="I140" s="816"/>
      <c r="J140" s="815"/>
      <c r="K140" s="816"/>
      <c r="L140" s="815"/>
      <c r="M140" s="815"/>
      <c r="N140" s="815"/>
      <c r="O140" s="834"/>
      <c r="P140" s="834"/>
      <c r="Q140" s="815"/>
      <c r="R140" s="815"/>
      <c r="S140" s="815"/>
      <c r="U140" s="815"/>
      <c r="V140" s="815"/>
      <c r="W140" s="815"/>
    </row>
    <row r="141" spans="1:23" s="832" customFormat="1" ht="11.25" x14ac:dyDescent="0.2">
      <c r="A141" s="815"/>
      <c r="B141" s="815"/>
      <c r="C141" s="816"/>
      <c r="D141" s="833"/>
      <c r="E141" s="815"/>
      <c r="F141" s="833"/>
      <c r="G141" s="833"/>
      <c r="H141" s="816"/>
      <c r="I141" s="816"/>
      <c r="J141" s="815"/>
      <c r="K141" s="816"/>
      <c r="L141" s="815"/>
      <c r="M141" s="815"/>
      <c r="N141" s="815"/>
      <c r="O141" s="834"/>
      <c r="P141" s="834"/>
      <c r="Q141" s="815"/>
      <c r="R141" s="815"/>
      <c r="S141" s="815"/>
      <c r="U141" s="815"/>
      <c r="V141" s="815"/>
      <c r="W141" s="815"/>
    </row>
    <row r="142" spans="1:23" s="832" customFormat="1" ht="11.25" x14ac:dyDescent="0.2">
      <c r="A142" s="815"/>
      <c r="B142" s="815"/>
      <c r="C142" s="816"/>
      <c r="D142" s="833"/>
      <c r="E142" s="815"/>
      <c r="F142" s="833"/>
      <c r="G142" s="833"/>
      <c r="H142" s="816"/>
      <c r="I142" s="816"/>
      <c r="J142" s="815"/>
      <c r="K142" s="816"/>
      <c r="L142" s="815"/>
      <c r="M142" s="815"/>
      <c r="N142" s="815"/>
      <c r="O142" s="834"/>
      <c r="P142" s="834"/>
      <c r="Q142" s="815"/>
      <c r="R142" s="815"/>
      <c r="S142" s="815"/>
      <c r="U142" s="815"/>
      <c r="V142" s="815"/>
      <c r="W142" s="815"/>
    </row>
    <row r="143" spans="1:23" s="832" customFormat="1" ht="11.25" x14ac:dyDescent="0.2">
      <c r="A143" s="815"/>
      <c r="B143" s="815"/>
      <c r="C143" s="816"/>
      <c r="D143" s="833"/>
      <c r="E143" s="815"/>
      <c r="F143" s="833"/>
      <c r="G143" s="833"/>
      <c r="H143" s="816"/>
      <c r="I143" s="816"/>
      <c r="J143" s="815"/>
      <c r="K143" s="816"/>
      <c r="L143" s="815"/>
      <c r="M143" s="815"/>
      <c r="N143" s="815"/>
      <c r="O143" s="834"/>
      <c r="P143" s="834"/>
      <c r="Q143" s="815"/>
      <c r="R143" s="815"/>
      <c r="S143" s="815"/>
      <c r="U143" s="815"/>
      <c r="V143" s="815"/>
      <c r="W143" s="815"/>
    </row>
    <row r="144" spans="1:23" s="832" customFormat="1" ht="11.25" x14ac:dyDescent="0.2">
      <c r="A144" s="815"/>
      <c r="B144" s="815"/>
      <c r="C144" s="816"/>
      <c r="D144" s="833"/>
      <c r="E144" s="815"/>
      <c r="F144" s="833"/>
      <c r="G144" s="833"/>
      <c r="H144" s="816"/>
      <c r="I144" s="816"/>
      <c r="J144" s="815"/>
      <c r="K144" s="816"/>
      <c r="L144" s="815"/>
      <c r="M144" s="815"/>
      <c r="N144" s="815"/>
      <c r="O144" s="834"/>
      <c r="P144" s="834"/>
      <c r="Q144" s="815"/>
      <c r="R144" s="815"/>
      <c r="S144" s="815"/>
      <c r="U144" s="815"/>
      <c r="V144" s="815"/>
      <c r="W144" s="815"/>
    </row>
    <row r="145" spans="1:23" s="832" customFormat="1" ht="11.25" x14ac:dyDescent="0.2">
      <c r="A145" s="815"/>
      <c r="B145" s="815"/>
      <c r="C145" s="816"/>
      <c r="D145" s="833"/>
      <c r="E145" s="815"/>
      <c r="F145" s="833"/>
      <c r="G145" s="833"/>
      <c r="H145" s="816"/>
      <c r="I145" s="816"/>
      <c r="J145" s="815"/>
      <c r="K145" s="816"/>
      <c r="L145" s="815"/>
      <c r="M145" s="815"/>
      <c r="N145" s="815"/>
      <c r="O145" s="834"/>
      <c r="P145" s="834"/>
      <c r="Q145" s="815"/>
      <c r="R145" s="815"/>
      <c r="S145" s="815"/>
      <c r="U145" s="815"/>
      <c r="V145" s="815"/>
      <c r="W145" s="815"/>
    </row>
    <row r="146" spans="1:23" s="832" customFormat="1" ht="11.25" x14ac:dyDescent="0.2">
      <c r="A146" s="815"/>
      <c r="B146" s="815"/>
      <c r="C146" s="816"/>
      <c r="D146" s="833"/>
      <c r="E146" s="815"/>
      <c r="F146" s="833"/>
      <c r="G146" s="833"/>
      <c r="H146" s="816"/>
      <c r="I146" s="816"/>
      <c r="J146" s="815"/>
      <c r="K146" s="816"/>
      <c r="L146" s="815"/>
      <c r="M146" s="815"/>
      <c r="N146" s="815"/>
      <c r="O146" s="834"/>
      <c r="P146" s="834"/>
      <c r="Q146" s="815"/>
      <c r="R146" s="815"/>
      <c r="S146" s="815"/>
      <c r="U146" s="815"/>
      <c r="V146" s="815"/>
      <c r="W146" s="815"/>
    </row>
    <row r="147" spans="1:23" s="832" customFormat="1" ht="11.25" x14ac:dyDescent="0.2">
      <c r="A147" s="815"/>
      <c r="B147" s="815"/>
      <c r="C147" s="816"/>
      <c r="D147" s="833"/>
      <c r="E147" s="815"/>
      <c r="F147" s="833"/>
      <c r="G147" s="833"/>
      <c r="H147" s="816"/>
      <c r="I147" s="816"/>
      <c r="J147" s="815"/>
      <c r="K147" s="816"/>
      <c r="L147" s="815"/>
      <c r="M147" s="815"/>
      <c r="N147" s="815"/>
      <c r="O147" s="834"/>
      <c r="P147" s="834"/>
      <c r="Q147" s="815"/>
      <c r="R147" s="815"/>
      <c r="S147" s="815"/>
      <c r="U147" s="815"/>
      <c r="V147" s="815"/>
      <c r="W147" s="815"/>
    </row>
    <row r="148" spans="1:23" s="832" customFormat="1" ht="11.25" x14ac:dyDescent="0.2">
      <c r="A148" s="815"/>
      <c r="B148" s="815"/>
      <c r="C148" s="816"/>
      <c r="D148" s="833"/>
      <c r="E148" s="815"/>
      <c r="F148" s="833"/>
      <c r="G148" s="833"/>
      <c r="H148" s="816"/>
      <c r="I148" s="816"/>
      <c r="J148" s="815"/>
      <c r="K148" s="816"/>
      <c r="L148" s="815"/>
      <c r="M148" s="815"/>
      <c r="N148" s="815"/>
      <c r="O148" s="834"/>
      <c r="P148" s="834"/>
      <c r="Q148" s="815"/>
      <c r="R148" s="815"/>
      <c r="S148" s="815"/>
      <c r="U148" s="815"/>
      <c r="V148" s="815"/>
      <c r="W148" s="815"/>
    </row>
    <row r="149" spans="1:23" s="832" customFormat="1" ht="11.25" x14ac:dyDescent="0.2">
      <c r="A149" s="815"/>
      <c r="B149" s="815"/>
      <c r="C149" s="816"/>
      <c r="D149" s="833"/>
      <c r="E149" s="815"/>
      <c r="F149" s="833"/>
      <c r="G149" s="833"/>
      <c r="H149" s="816"/>
      <c r="I149" s="816"/>
      <c r="J149" s="815"/>
      <c r="K149" s="816"/>
      <c r="L149" s="815"/>
      <c r="M149" s="815"/>
      <c r="N149" s="815"/>
      <c r="O149" s="834"/>
      <c r="P149" s="834"/>
      <c r="Q149" s="815"/>
      <c r="R149" s="815"/>
      <c r="S149" s="815"/>
      <c r="U149" s="815"/>
      <c r="V149" s="815"/>
      <c r="W149" s="815"/>
    </row>
    <row r="150" spans="1:23" s="832" customFormat="1" ht="11.25" x14ac:dyDescent="0.2">
      <c r="A150" s="815"/>
      <c r="B150" s="815"/>
      <c r="C150" s="816"/>
      <c r="D150" s="833"/>
      <c r="E150" s="815"/>
      <c r="F150" s="833"/>
      <c r="G150" s="833"/>
      <c r="H150" s="816"/>
      <c r="I150" s="816"/>
      <c r="J150" s="815"/>
      <c r="K150" s="816"/>
      <c r="L150" s="815"/>
      <c r="M150" s="815"/>
      <c r="N150" s="815"/>
      <c r="O150" s="834"/>
      <c r="P150" s="834"/>
      <c r="Q150" s="815"/>
      <c r="R150" s="815"/>
      <c r="S150" s="815"/>
      <c r="U150" s="815"/>
      <c r="V150" s="815"/>
      <c r="W150" s="815"/>
    </row>
    <row r="151" spans="1:23" s="832" customFormat="1" ht="11.25" x14ac:dyDescent="0.2">
      <c r="A151" s="815"/>
      <c r="B151" s="815"/>
      <c r="C151" s="816"/>
      <c r="D151" s="833"/>
      <c r="E151" s="815"/>
      <c r="F151" s="833"/>
      <c r="G151" s="833"/>
      <c r="H151" s="816"/>
      <c r="I151" s="816"/>
      <c r="J151" s="815"/>
      <c r="K151" s="816"/>
      <c r="L151" s="815"/>
      <c r="M151" s="815"/>
      <c r="N151" s="815"/>
      <c r="O151" s="834"/>
      <c r="P151" s="834"/>
      <c r="Q151" s="815"/>
      <c r="R151" s="815"/>
      <c r="S151" s="815"/>
      <c r="U151" s="815"/>
      <c r="V151" s="815"/>
      <c r="W151" s="815"/>
    </row>
    <row r="152" spans="1:23" s="832" customFormat="1" ht="11.25" x14ac:dyDescent="0.2">
      <c r="A152" s="815"/>
      <c r="B152" s="815"/>
      <c r="C152" s="816"/>
      <c r="D152" s="833"/>
      <c r="E152" s="815"/>
      <c r="F152" s="833"/>
      <c r="G152" s="833"/>
      <c r="H152" s="816"/>
      <c r="I152" s="816"/>
      <c r="J152" s="815"/>
      <c r="K152" s="816"/>
      <c r="L152" s="815"/>
      <c r="M152" s="815"/>
      <c r="N152" s="815"/>
      <c r="O152" s="834"/>
      <c r="P152" s="834"/>
      <c r="Q152" s="815"/>
      <c r="R152" s="815"/>
      <c r="S152" s="815"/>
      <c r="U152" s="815"/>
      <c r="V152" s="815"/>
      <c r="W152" s="815"/>
    </row>
    <row r="153" spans="1:23" s="832" customFormat="1" ht="11.25" x14ac:dyDescent="0.2">
      <c r="A153" s="815"/>
      <c r="B153" s="815"/>
      <c r="C153" s="816"/>
      <c r="D153" s="833"/>
      <c r="E153" s="815"/>
      <c r="F153" s="833"/>
      <c r="G153" s="833"/>
      <c r="H153" s="816"/>
      <c r="I153" s="816"/>
      <c r="J153" s="815"/>
      <c r="K153" s="816"/>
      <c r="L153" s="815"/>
      <c r="M153" s="815"/>
      <c r="N153" s="815"/>
      <c r="O153" s="834"/>
      <c r="P153" s="834"/>
      <c r="Q153" s="815"/>
      <c r="R153" s="815"/>
      <c r="S153" s="815"/>
      <c r="U153" s="815"/>
      <c r="V153" s="815"/>
      <c r="W153" s="815"/>
    </row>
    <row r="154" spans="1:23" s="832" customFormat="1" ht="11.25" x14ac:dyDescent="0.2">
      <c r="A154" s="815"/>
      <c r="B154" s="815"/>
      <c r="C154" s="816"/>
      <c r="D154" s="833"/>
      <c r="E154" s="815"/>
      <c r="F154" s="833"/>
      <c r="G154" s="833"/>
      <c r="H154" s="816"/>
      <c r="I154" s="816"/>
      <c r="J154" s="815"/>
      <c r="K154" s="816"/>
      <c r="L154" s="815"/>
      <c r="M154" s="815"/>
      <c r="N154" s="815"/>
      <c r="O154" s="834"/>
      <c r="P154" s="834"/>
      <c r="Q154" s="815"/>
      <c r="R154" s="815"/>
      <c r="S154" s="815"/>
      <c r="U154" s="815"/>
      <c r="V154" s="815"/>
      <c r="W154" s="815"/>
    </row>
    <row r="155" spans="1:23" s="832" customFormat="1" ht="11.25" x14ac:dyDescent="0.2">
      <c r="A155" s="815"/>
      <c r="B155" s="815"/>
      <c r="C155" s="816"/>
      <c r="D155" s="833"/>
      <c r="E155" s="815"/>
      <c r="F155" s="833"/>
      <c r="G155" s="833"/>
      <c r="H155" s="816"/>
      <c r="I155" s="816"/>
      <c r="J155" s="815"/>
      <c r="K155" s="816"/>
      <c r="L155" s="815"/>
      <c r="M155" s="815"/>
      <c r="N155" s="815"/>
      <c r="O155" s="834"/>
      <c r="P155" s="834"/>
      <c r="Q155" s="815"/>
      <c r="R155" s="815"/>
      <c r="S155" s="815"/>
      <c r="U155" s="815"/>
      <c r="V155" s="815"/>
      <c r="W155" s="815"/>
    </row>
    <row r="156" spans="1:23" s="832" customFormat="1" ht="11.25" x14ac:dyDescent="0.2">
      <c r="A156" s="815"/>
      <c r="B156" s="815"/>
      <c r="C156" s="816"/>
      <c r="D156" s="833"/>
      <c r="E156" s="815"/>
      <c r="F156" s="833"/>
      <c r="G156" s="833"/>
      <c r="H156" s="816"/>
      <c r="I156" s="816"/>
      <c r="J156" s="815"/>
      <c r="K156" s="816"/>
      <c r="L156" s="815"/>
      <c r="M156" s="815"/>
      <c r="N156" s="815"/>
      <c r="O156" s="834"/>
      <c r="P156" s="834"/>
      <c r="Q156" s="815"/>
      <c r="R156" s="815"/>
      <c r="S156" s="815"/>
      <c r="U156" s="815"/>
      <c r="V156" s="815"/>
      <c r="W156" s="815"/>
    </row>
    <row r="157" spans="1:23" s="832" customFormat="1" ht="11.25" x14ac:dyDescent="0.2">
      <c r="A157" s="815"/>
      <c r="B157" s="815"/>
      <c r="C157" s="816"/>
      <c r="D157" s="833"/>
      <c r="E157" s="815"/>
      <c r="F157" s="833"/>
      <c r="G157" s="833"/>
      <c r="H157" s="816"/>
      <c r="I157" s="816"/>
      <c r="J157" s="815"/>
      <c r="K157" s="816"/>
      <c r="L157" s="815"/>
      <c r="M157" s="815"/>
      <c r="N157" s="815"/>
      <c r="O157" s="834"/>
      <c r="P157" s="834"/>
      <c r="Q157" s="815"/>
      <c r="R157" s="815"/>
      <c r="S157" s="815"/>
      <c r="U157" s="815"/>
      <c r="V157" s="815"/>
      <c r="W157" s="815"/>
    </row>
    <row r="158" spans="1:23" s="832" customFormat="1" ht="11.25" x14ac:dyDescent="0.2">
      <c r="A158" s="815"/>
      <c r="B158" s="815"/>
      <c r="C158" s="816"/>
      <c r="D158" s="833"/>
      <c r="E158" s="815"/>
      <c r="F158" s="833"/>
      <c r="G158" s="833"/>
      <c r="H158" s="816"/>
      <c r="I158" s="816"/>
      <c r="J158" s="815"/>
      <c r="K158" s="816"/>
      <c r="L158" s="815"/>
      <c r="M158" s="815"/>
      <c r="N158" s="815"/>
      <c r="O158" s="834"/>
      <c r="P158" s="834"/>
      <c r="Q158" s="815"/>
      <c r="R158" s="815"/>
      <c r="S158" s="815"/>
      <c r="U158" s="815"/>
      <c r="V158" s="815"/>
      <c r="W158" s="815"/>
    </row>
    <row r="159" spans="1:23" s="832" customFormat="1" ht="11.25" x14ac:dyDescent="0.2">
      <c r="A159" s="815"/>
      <c r="B159" s="815"/>
      <c r="C159" s="816"/>
      <c r="D159" s="833"/>
      <c r="E159" s="815"/>
      <c r="F159" s="833"/>
      <c r="G159" s="833"/>
      <c r="H159" s="816"/>
      <c r="I159" s="816"/>
      <c r="J159" s="815"/>
      <c r="K159" s="816"/>
      <c r="L159" s="815"/>
      <c r="M159" s="815"/>
      <c r="N159" s="815"/>
      <c r="O159" s="834"/>
      <c r="P159" s="834"/>
      <c r="Q159" s="815"/>
      <c r="R159" s="815"/>
      <c r="S159" s="815"/>
      <c r="U159" s="815"/>
      <c r="V159" s="815"/>
      <c r="W159" s="815"/>
    </row>
  </sheetData>
  <mergeCells count="18">
    <mergeCell ref="AA8:AG8"/>
    <mergeCell ref="N4:N5"/>
    <mergeCell ref="O4:O5"/>
    <mergeCell ref="P4:P5"/>
    <mergeCell ref="Q4:T4"/>
    <mergeCell ref="U4:W4"/>
    <mergeCell ref="F4:F5"/>
    <mergeCell ref="G4:G5"/>
    <mergeCell ref="H4:H5"/>
    <mergeCell ref="I4:I5"/>
    <mergeCell ref="J4:J5"/>
    <mergeCell ref="K4:M4"/>
    <mergeCell ref="A1:C1"/>
    <mergeCell ref="A4:A5"/>
    <mergeCell ref="B4:B5"/>
    <mergeCell ref="C4:C5"/>
    <mergeCell ref="D4:D5"/>
    <mergeCell ref="E4:E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workbookViewId="0">
      <selection activeCell="P80" sqref="P80:P81"/>
    </sheetView>
  </sheetViews>
  <sheetFormatPr defaultColWidth="9.140625" defaultRowHeight="12.75" x14ac:dyDescent="0.2"/>
  <cols>
    <col min="1" max="1" width="5.7109375" style="3" customWidth="1"/>
    <col min="2" max="2" width="11.28515625" style="3" customWidth="1"/>
    <col min="3" max="3" width="9.140625" style="151" customWidth="1"/>
    <col min="4" max="4" width="13.7109375" style="3" customWidth="1"/>
    <col min="5" max="5" width="9.140625" style="3" customWidth="1"/>
    <col min="6" max="6" width="18.140625" style="804" customWidth="1"/>
    <col min="7" max="7" width="17.28515625" style="804" customWidth="1"/>
    <col min="8" max="8" width="9.140625" style="805" customWidth="1"/>
    <col min="9" max="9" width="9.5703125" style="804" customWidth="1"/>
    <col min="10" max="10" width="6" style="804" customWidth="1"/>
    <col min="11" max="11" width="12.7109375" style="3" customWidth="1"/>
    <col min="12" max="12" width="9.140625" style="151" customWidth="1"/>
    <col min="13" max="13" width="9.140625" style="809" customWidth="1"/>
    <col min="14" max="15" width="9.140625" style="3" customWidth="1"/>
    <col min="16" max="16" width="9.85546875" style="3" customWidth="1"/>
    <col min="17" max="17" width="13.42578125" style="3" customWidth="1"/>
    <col min="18" max="19" width="13.7109375" style="3" customWidth="1"/>
    <col min="20" max="16384" width="9.140625" style="3"/>
  </cols>
  <sheetData>
    <row r="1" spans="1:19" ht="15.75" x14ac:dyDescent="0.2">
      <c r="A1" s="318" t="s">
        <v>12980</v>
      </c>
      <c r="B1" s="318"/>
      <c r="C1" s="318"/>
      <c r="D1" s="6"/>
      <c r="E1" s="90"/>
      <c r="F1" s="450"/>
      <c r="G1" s="7"/>
      <c r="H1" s="7"/>
      <c r="I1" s="7"/>
      <c r="J1" s="7"/>
      <c r="K1" s="90"/>
      <c r="L1" s="90"/>
      <c r="M1" s="90"/>
      <c r="N1" s="90"/>
      <c r="O1" s="387"/>
      <c r="P1" s="387"/>
      <c r="Q1" s="90"/>
      <c r="R1" s="90"/>
      <c r="S1" s="90"/>
    </row>
    <row r="2" spans="1:19" ht="15.75" x14ac:dyDescent="0.2">
      <c r="A2" s="91" t="s">
        <v>17051</v>
      </c>
      <c r="B2" s="91"/>
      <c r="C2" s="91"/>
      <c r="D2" s="6"/>
      <c r="E2" s="90"/>
      <c r="F2" s="450"/>
      <c r="G2" s="7"/>
      <c r="H2" s="7"/>
      <c r="I2" s="90"/>
      <c r="J2" s="90"/>
      <c r="K2" s="90"/>
      <c r="L2" s="90"/>
      <c r="M2" s="90"/>
      <c r="N2" s="90"/>
      <c r="O2" s="387"/>
      <c r="P2" s="387"/>
      <c r="Q2" s="90"/>
      <c r="R2" s="90"/>
      <c r="S2" s="90"/>
    </row>
    <row r="3" spans="1:19" x14ac:dyDescent="0.2">
      <c r="A3" s="90"/>
      <c r="B3" s="7"/>
      <c r="C3" s="7" t="s">
        <v>3211</v>
      </c>
      <c r="D3" s="6"/>
      <c r="E3" s="90"/>
      <c r="F3" s="450"/>
      <c r="G3" s="7"/>
      <c r="H3" s="7"/>
      <c r="I3" s="7"/>
      <c r="J3" s="7"/>
      <c r="K3" s="90"/>
      <c r="L3" s="90"/>
      <c r="M3" s="90"/>
      <c r="N3" s="90"/>
      <c r="O3" s="387"/>
      <c r="P3" s="387"/>
      <c r="Q3" s="90"/>
      <c r="R3" s="90"/>
      <c r="S3" s="90"/>
    </row>
    <row r="4" spans="1:19" s="2" customFormat="1" ht="12.75" customHeight="1" x14ac:dyDescent="0.2">
      <c r="A4" s="316" t="s">
        <v>14020</v>
      </c>
      <c r="B4" s="316" t="s">
        <v>6165</v>
      </c>
      <c r="C4" s="316" t="s">
        <v>12408</v>
      </c>
      <c r="D4" s="316" t="s">
        <v>1995</v>
      </c>
      <c r="E4" s="316" t="s">
        <v>12982</v>
      </c>
      <c r="F4" s="316" t="s">
        <v>438</v>
      </c>
      <c r="G4" s="316" t="s">
        <v>14021</v>
      </c>
      <c r="H4" s="316" t="s">
        <v>2417</v>
      </c>
      <c r="I4" s="316" t="s">
        <v>5331</v>
      </c>
      <c r="J4" s="316" t="s">
        <v>12419</v>
      </c>
      <c r="K4" s="316" t="s">
        <v>3130</v>
      </c>
      <c r="L4" s="316"/>
      <c r="M4" s="316"/>
      <c r="N4" s="316" t="s">
        <v>14022</v>
      </c>
      <c r="O4" s="353" t="s">
        <v>14023</v>
      </c>
      <c r="P4" s="353" t="s">
        <v>5405</v>
      </c>
      <c r="Q4" s="317" t="s">
        <v>14024</v>
      </c>
      <c r="R4" s="317"/>
      <c r="S4" s="317"/>
    </row>
    <row r="5" spans="1:19" s="2" customFormat="1" ht="24" x14ac:dyDescent="0.2">
      <c r="A5" s="316"/>
      <c r="B5" s="316"/>
      <c r="C5" s="316"/>
      <c r="D5" s="316"/>
      <c r="E5" s="316"/>
      <c r="F5" s="316"/>
      <c r="G5" s="316"/>
      <c r="H5" s="316"/>
      <c r="I5" s="316"/>
      <c r="J5" s="316"/>
      <c r="K5" s="285" t="s">
        <v>3771</v>
      </c>
      <c r="L5" s="285" t="s">
        <v>1598</v>
      </c>
      <c r="M5" s="285" t="s">
        <v>3131</v>
      </c>
      <c r="N5" s="316"/>
      <c r="O5" s="353"/>
      <c r="P5" s="353"/>
      <c r="Q5" s="285" t="s">
        <v>14025</v>
      </c>
      <c r="R5" s="285" t="s">
        <v>14026</v>
      </c>
      <c r="S5" s="289" t="s">
        <v>11432</v>
      </c>
    </row>
    <row r="6" spans="1:19" s="2" customFormat="1" x14ac:dyDescent="0.2">
      <c r="A6" s="285">
        <v>1</v>
      </c>
      <c r="B6" s="285">
        <v>2</v>
      </c>
      <c r="C6" s="285">
        <v>3</v>
      </c>
      <c r="D6" s="285">
        <v>4</v>
      </c>
      <c r="E6" s="285">
        <v>5</v>
      </c>
      <c r="F6" s="285">
        <v>6</v>
      </c>
      <c r="G6" s="285">
        <v>7</v>
      </c>
      <c r="H6" s="285">
        <v>8</v>
      </c>
      <c r="I6" s="285">
        <v>9</v>
      </c>
      <c r="J6" s="285">
        <v>10</v>
      </c>
      <c r="K6" s="285">
        <v>11</v>
      </c>
      <c r="L6" s="285">
        <v>12</v>
      </c>
      <c r="M6" s="285">
        <v>13</v>
      </c>
      <c r="N6" s="285">
        <v>14</v>
      </c>
      <c r="O6" s="285">
        <v>15</v>
      </c>
      <c r="P6" s="285">
        <v>16</v>
      </c>
      <c r="Q6" s="285">
        <v>17</v>
      </c>
      <c r="R6" s="285">
        <v>18</v>
      </c>
      <c r="S6" s="285">
        <v>19</v>
      </c>
    </row>
    <row r="7" spans="1:19" s="19" customFormat="1" ht="37.9" customHeight="1" x14ac:dyDescent="0.2">
      <c r="A7" s="865">
        <v>1</v>
      </c>
      <c r="B7" s="865" t="s">
        <v>17052</v>
      </c>
      <c r="C7" s="865"/>
      <c r="D7" s="866" t="s">
        <v>17053</v>
      </c>
      <c r="E7" s="191"/>
      <c r="F7" s="867" t="s">
        <v>17054</v>
      </c>
      <c r="G7" s="191" t="s">
        <v>17055</v>
      </c>
      <c r="H7" s="191"/>
      <c r="I7" s="191" t="s">
        <v>2042</v>
      </c>
      <c r="J7" s="191" t="s">
        <v>2207</v>
      </c>
      <c r="K7" s="865" t="s">
        <v>3136</v>
      </c>
      <c r="L7" s="190" t="s">
        <v>17056</v>
      </c>
      <c r="M7" s="865" t="s">
        <v>17057</v>
      </c>
      <c r="N7" s="865">
        <v>4.5999999999999996</v>
      </c>
      <c r="O7" s="868">
        <v>1</v>
      </c>
      <c r="P7" s="869">
        <v>39903</v>
      </c>
      <c r="Q7" s="870">
        <v>2686075.6</v>
      </c>
      <c r="R7" s="870">
        <v>289946.92</v>
      </c>
      <c r="S7" s="870">
        <f t="shared" ref="S7:S69" si="0">Q7-R7</f>
        <v>2396128.6800000002</v>
      </c>
    </row>
    <row r="8" spans="1:19" s="19" customFormat="1" ht="36" customHeight="1" x14ac:dyDescent="0.2">
      <c r="A8" s="133">
        <v>2</v>
      </c>
      <c r="B8" s="133" t="s">
        <v>17058</v>
      </c>
      <c r="C8" s="133"/>
      <c r="D8" s="554" t="s">
        <v>17053</v>
      </c>
      <c r="E8" s="123"/>
      <c r="F8" s="835" t="s">
        <v>17059</v>
      </c>
      <c r="G8" s="123" t="s">
        <v>16124</v>
      </c>
      <c r="H8" s="123"/>
      <c r="I8" s="123" t="s">
        <v>2042</v>
      </c>
      <c r="J8" s="123" t="s">
        <v>2207</v>
      </c>
      <c r="K8" s="133" t="s">
        <v>3136</v>
      </c>
      <c r="L8" s="125" t="s">
        <v>17056</v>
      </c>
      <c r="M8" s="133" t="s">
        <v>17057</v>
      </c>
      <c r="N8" s="133">
        <v>3.4</v>
      </c>
      <c r="O8" s="836">
        <v>1</v>
      </c>
      <c r="P8" s="132">
        <v>39903</v>
      </c>
      <c r="Q8" s="837">
        <v>1985360.23</v>
      </c>
      <c r="R8" s="837">
        <v>214308.59</v>
      </c>
      <c r="S8" s="837">
        <f t="shared" si="0"/>
        <v>1771051.64</v>
      </c>
    </row>
    <row r="9" spans="1:19" s="19" customFormat="1" ht="38.450000000000003" customHeight="1" x14ac:dyDescent="0.2">
      <c r="A9" s="133">
        <v>3</v>
      </c>
      <c r="B9" s="133" t="s">
        <v>17060</v>
      </c>
      <c r="C9" s="133"/>
      <c r="D9" s="554" t="s">
        <v>17053</v>
      </c>
      <c r="E9" s="123"/>
      <c r="F9" s="835" t="s">
        <v>17061</v>
      </c>
      <c r="G9" s="123" t="s">
        <v>17062</v>
      </c>
      <c r="H9" s="123"/>
      <c r="I9" s="123" t="s">
        <v>2042</v>
      </c>
      <c r="J9" s="123" t="s">
        <v>2207</v>
      </c>
      <c r="K9" s="133" t="s">
        <v>3136</v>
      </c>
      <c r="L9" s="125" t="s">
        <v>17056</v>
      </c>
      <c r="M9" s="133" t="s">
        <v>17057</v>
      </c>
      <c r="N9" s="133">
        <v>3.2</v>
      </c>
      <c r="O9" s="836">
        <v>1</v>
      </c>
      <c r="P9" s="132">
        <v>39903</v>
      </c>
      <c r="Q9" s="837">
        <v>1868574.33</v>
      </c>
      <c r="R9" s="837">
        <v>201702.2</v>
      </c>
      <c r="S9" s="837">
        <f>Q9-R9</f>
        <v>1666872.1300000001</v>
      </c>
    </row>
    <row r="10" spans="1:19" s="19" customFormat="1" ht="27.6" customHeight="1" x14ac:dyDescent="0.2">
      <c r="A10" s="133">
        <v>4</v>
      </c>
      <c r="B10" s="133" t="s">
        <v>17063</v>
      </c>
      <c r="C10" s="133"/>
      <c r="D10" s="554" t="s">
        <v>17053</v>
      </c>
      <c r="E10" s="123"/>
      <c r="F10" s="835" t="s">
        <v>17064</v>
      </c>
      <c r="G10" s="123" t="s">
        <v>17065</v>
      </c>
      <c r="H10" s="123"/>
      <c r="I10" s="123" t="s">
        <v>2042</v>
      </c>
      <c r="J10" s="123" t="s">
        <v>2207</v>
      </c>
      <c r="K10" s="133" t="s">
        <v>3136</v>
      </c>
      <c r="L10" s="125" t="s">
        <v>17066</v>
      </c>
      <c r="M10" s="871" t="s">
        <v>17067</v>
      </c>
      <c r="N10" s="133">
        <v>0.9</v>
      </c>
      <c r="O10" s="836">
        <v>1</v>
      </c>
      <c r="P10" s="132">
        <v>39903</v>
      </c>
      <c r="Q10" s="837">
        <v>525536.53</v>
      </c>
      <c r="R10" s="837">
        <v>56728.74</v>
      </c>
      <c r="S10" s="837">
        <f t="shared" si="0"/>
        <v>468807.79000000004</v>
      </c>
    </row>
    <row r="11" spans="1:19" s="19" customFormat="1" ht="27" customHeight="1" x14ac:dyDescent="0.2">
      <c r="A11" s="133">
        <v>5</v>
      </c>
      <c r="B11" s="133" t="s">
        <v>17068</v>
      </c>
      <c r="C11" s="133"/>
      <c r="D11" s="554" t="s">
        <v>17053</v>
      </c>
      <c r="E11" s="123"/>
      <c r="F11" s="835" t="s">
        <v>17069</v>
      </c>
      <c r="G11" s="123" t="s">
        <v>16123</v>
      </c>
      <c r="H11" s="123"/>
      <c r="I11" s="123" t="s">
        <v>2042</v>
      </c>
      <c r="J11" s="123" t="s">
        <v>2207</v>
      </c>
      <c r="K11" s="133" t="s">
        <v>3136</v>
      </c>
      <c r="L11" s="125" t="s">
        <v>17056</v>
      </c>
      <c r="M11" s="133" t="s">
        <v>17057</v>
      </c>
      <c r="N11" s="133">
        <v>1.9</v>
      </c>
      <c r="O11" s="836">
        <v>1</v>
      </c>
      <c r="P11" s="132">
        <v>39903</v>
      </c>
      <c r="Q11" s="837">
        <v>1109466.01</v>
      </c>
      <c r="R11" s="837">
        <v>119760.68</v>
      </c>
      <c r="S11" s="837">
        <f t="shared" si="0"/>
        <v>989705.33000000007</v>
      </c>
    </row>
    <row r="12" spans="1:19" s="19" customFormat="1" ht="26.25" customHeight="1" x14ac:dyDescent="0.2">
      <c r="A12" s="133">
        <v>6</v>
      </c>
      <c r="B12" s="133" t="s">
        <v>17070</v>
      </c>
      <c r="C12" s="133"/>
      <c r="D12" s="554" t="s">
        <v>17053</v>
      </c>
      <c r="E12" s="123"/>
      <c r="F12" s="835" t="s">
        <v>17069</v>
      </c>
      <c r="G12" s="123" t="s">
        <v>16120</v>
      </c>
      <c r="H12" s="123"/>
      <c r="I12" s="123" t="s">
        <v>2042</v>
      </c>
      <c r="J12" s="123" t="s">
        <v>2207</v>
      </c>
      <c r="K12" s="133" t="s">
        <v>3136</v>
      </c>
      <c r="L12" s="125" t="s">
        <v>17056</v>
      </c>
      <c r="M12" s="133" t="s">
        <v>17057</v>
      </c>
      <c r="N12" s="133">
        <v>1.9</v>
      </c>
      <c r="O12" s="836">
        <v>1</v>
      </c>
      <c r="P12" s="132">
        <v>39903</v>
      </c>
      <c r="Q12" s="837">
        <v>1109466.01</v>
      </c>
      <c r="R12" s="837">
        <v>119760.68</v>
      </c>
      <c r="S12" s="837">
        <f t="shared" si="0"/>
        <v>989705.33000000007</v>
      </c>
    </row>
    <row r="13" spans="1:19" s="19" customFormat="1" ht="26.25" customHeight="1" x14ac:dyDescent="0.2">
      <c r="A13" s="133">
        <v>7</v>
      </c>
      <c r="B13" s="133" t="s">
        <v>17071</v>
      </c>
      <c r="C13" s="133"/>
      <c r="D13" s="554" t="s">
        <v>17053</v>
      </c>
      <c r="E13" s="123"/>
      <c r="F13" s="835" t="s">
        <v>17072</v>
      </c>
      <c r="G13" s="123" t="s">
        <v>16119</v>
      </c>
      <c r="H13" s="123"/>
      <c r="I13" s="123" t="s">
        <v>2042</v>
      </c>
      <c r="J13" s="123" t="s">
        <v>2207</v>
      </c>
      <c r="K13" s="133" t="s">
        <v>3136</v>
      </c>
      <c r="L13" s="125" t="s">
        <v>17056</v>
      </c>
      <c r="M13" s="133" t="s">
        <v>17057</v>
      </c>
      <c r="N13" s="133">
        <v>1.8</v>
      </c>
      <c r="O13" s="836">
        <v>1</v>
      </c>
      <c r="P13" s="132">
        <v>39903</v>
      </c>
      <c r="Q13" s="837">
        <v>1051073.06</v>
      </c>
      <c r="R13" s="837">
        <v>113457.49</v>
      </c>
      <c r="S13" s="837">
        <f t="shared" si="0"/>
        <v>937615.57000000007</v>
      </c>
    </row>
    <row r="14" spans="1:19" s="19" customFormat="1" ht="26.25" customHeight="1" x14ac:dyDescent="0.2">
      <c r="A14" s="133">
        <v>8</v>
      </c>
      <c r="B14" s="133" t="s">
        <v>17073</v>
      </c>
      <c r="C14" s="133"/>
      <c r="D14" s="554" t="s">
        <v>17053</v>
      </c>
      <c r="E14" s="123"/>
      <c r="F14" s="835" t="s">
        <v>17064</v>
      </c>
      <c r="G14" s="123" t="s">
        <v>16129</v>
      </c>
      <c r="H14" s="123"/>
      <c r="I14" s="123" t="s">
        <v>2042</v>
      </c>
      <c r="J14" s="123" t="s">
        <v>2207</v>
      </c>
      <c r="K14" s="133" t="s">
        <v>3136</v>
      </c>
      <c r="L14" s="125" t="s">
        <v>17056</v>
      </c>
      <c r="M14" s="133" t="s">
        <v>17057</v>
      </c>
      <c r="N14" s="133">
        <v>0.9</v>
      </c>
      <c r="O14" s="836">
        <v>1</v>
      </c>
      <c r="P14" s="132">
        <v>39903</v>
      </c>
      <c r="Q14" s="837">
        <v>525536.53</v>
      </c>
      <c r="R14" s="837">
        <v>56728.74</v>
      </c>
      <c r="S14" s="837">
        <f t="shared" si="0"/>
        <v>468807.79000000004</v>
      </c>
    </row>
    <row r="15" spans="1:19" s="19" customFormat="1" ht="26.25" customHeight="1" x14ac:dyDescent="0.2">
      <c r="A15" s="133">
        <v>9</v>
      </c>
      <c r="B15" s="133" t="s">
        <v>17074</v>
      </c>
      <c r="C15" s="133"/>
      <c r="D15" s="554" t="s">
        <v>17053</v>
      </c>
      <c r="E15" s="123"/>
      <c r="F15" s="835" t="s">
        <v>17064</v>
      </c>
      <c r="G15" s="123" t="s">
        <v>16130</v>
      </c>
      <c r="H15" s="123"/>
      <c r="I15" s="123" t="s">
        <v>2042</v>
      </c>
      <c r="J15" s="123" t="s">
        <v>2207</v>
      </c>
      <c r="K15" s="133" t="s">
        <v>3136</v>
      </c>
      <c r="L15" s="125" t="s">
        <v>17056</v>
      </c>
      <c r="M15" s="133" t="s">
        <v>17057</v>
      </c>
      <c r="N15" s="133">
        <v>0.9</v>
      </c>
      <c r="O15" s="836">
        <v>1</v>
      </c>
      <c r="P15" s="132">
        <v>39903</v>
      </c>
      <c r="Q15" s="837">
        <v>525536.53</v>
      </c>
      <c r="R15" s="837">
        <v>56728.74</v>
      </c>
      <c r="S15" s="837">
        <f t="shared" si="0"/>
        <v>468807.79000000004</v>
      </c>
    </row>
    <row r="16" spans="1:19" s="19" customFormat="1" ht="26.25" customHeight="1" x14ac:dyDescent="0.2">
      <c r="A16" s="133">
        <v>10</v>
      </c>
      <c r="B16" s="133" t="s">
        <v>17075</v>
      </c>
      <c r="C16" s="133"/>
      <c r="D16" s="554" t="s">
        <v>17053</v>
      </c>
      <c r="E16" s="123"/>
      <c r="F16" s="835" t="s">
        <v>17076</v>
      </c>
      <c r="G16" s="123" t="s">
        <v>16131</v>
      </c>
      <c r="H16" s="123"/>
      <c r="I16" s="123" t="s">
        <v>2042</v>
      </c>
      <c r="J16" s="123" t="s">
        <v>2207</v>
      </c>
      <c r="K16" s="133" t="s">
        <v>3136</v>
      </c>
      <c r="L16" s="125" t="s">
        <v>17056</v>
      </c>
      <c r="M16" s="133" t="s">
        <v>17057</v>
      </c>
      <c r="N16" s="133">
        <v>0.6</v>
      </c>
      <c r="O16" s="836">
        <v>1</v>
      </c>
      <c r="P16" s="132">
        <v>39903</v>
      </c>
      <c r="Q16" s="837">
        <v>350357.68</v>
      </c>
      <c r="R16" s="837">
        <v>37819.160000000003</v>
      </c>
      <c r="S16" s="837">
        <f t="shared" si="0"/>
        <v>312538.52</v>
      </c>
    </row>
    <row r="17" spans="1:19" s="19" customFormat="1" ht="26.25" customHeight="1" x14ac:dyDescent="0.2">
      <c r="A17" s="133">
        <v>11</v>
      </c>
      <c r="B17" s="133" t="s">
        <v>17077</v>
      </c>
      <c r="C17" s="133"/>
      <c r="D17" s="554" t="s">
        <v>17053</v>
      </c>
      <c r="E17" s="123"/>
      <c r="F17" s="835" t="s">
        <v>17064</v>
      </c>
      <c r="G17" s="123" t="s">
        <v>16125</v>
      </c>
      <c r="H17" s="123"/>
      <c r="I17" s="123" t="s">
        <v>2042</v>
      </c>
      <c r="J17" s="123" t="s">
        <v>2207</v>
      </c>
      <c r="K17" s="133" t="s">
        <v>3136</v>
      </c>
      <c r="L17" s="125" t="s">
        <v>17056</v>
      </c>
      <c r="M17" s="133" t="s">
        <v>17057</v>
      </c>
      <c r="N17" s="133">
        <v>0.9</v>
      </c>
      <c r="O17" s="836">
        <v>1</v>
      </c>
      <c r="P17" s="132">
        <v>39903</v>
      </c>
      <c r="Q17" s="837">
        <v>525536.53</v>
      </c>
      <c r="R17" s="837">
        <v>56728.74</v>
      </c>
      <c r="S17" s="837">
        <f t="shared" si="0"/>
        <v>468807.79000000004</v>
      </c>
    </row>
    <row r="18" spans="1:19" s="19" customFormat="1" ht="26.25" customHeight="1" x14ac:dyDescent="0.2">
      <c r="A18" s="133">
        <v>12</v>
      </c>
      <c r="B18" s="133" t="s">
        <v>17078</v>
      </c>
      <c r="C18" s="133"/>
      <c r="D18" s="554" t="s">
        <v>17053</v>
      </c>
      <c r="E18" s="123"/>
      <c r="F18" s="835" t="s">
        <v>17079</v>
      </c>
      <c r="G18" s="123" t="s">
        <v>17080</v>
      </c>
      <c r="H18" s="123"/>
      <c r="I18" s="123" t="s">
        <v>2042</v>
      </c>
      <c r="J18" s="123" t="s">
        <v>2207</v>
      </c>
      <c r="K18" s="133" t="s">
        <v>3136</v>
      </c>
      <c r="L18" s="125" t="s">
        <v>17056</v>
      </c>
      <c r="M18" s="133" t="s">
        <v>17057</v>
      </c>
      <c r="N18" s="133">
        <v>0.2</v>
      </c>
      <c r="O18" s="836">
        <v>1</v>
      </c>
      <c r="P18" s="132">
        <v>39903</v>
      </c>
      <c r="Q18" s="837">
        <v>116785.89</v>
      </c>
      <c r="R18" s="837">
        <v>12606.38</v>
      </c>
      <c r="S18" s="837">
        <f t="shared" si="0"/>
        <v>104179.51</v>
      </c>
    </row>
    <row r="19" spans="1:19" s="19" customFormat="1" ht="26.25" customHeight="1" x14ac:dyDescent="0.2">
      <c r="A19" s="133">
        <v>13</v>
      </c>
      <c r="B19" s="133" t="s">
        <v>17081</v>
      </c>
      <c r="C19" s="133"/>
      <c r="D19" s="554" t="s">
        <v>17053</v>
      </c>
      <c r="E19" s="123"/>
      <c r="F19" s="835" t="s">
        <v>17082</v>
      </c>
      <c r="G19" s="123" t="s">
        <v>16127</v>
      </c>
      <c r="H19" s="123"/>
      <c r="I19" s="123" t="s">
        <v>2042</v>
      </c>
      <c r="J19" s="123" t="s">
        <v>2207</v>
      </c>
      <c r="K19" s="133" t="s">
        <v>3136</v>
      </c>
      <c r="L19" s="125" t="s">
        <v>17056</v>
      </c>
      <c r="M19" s="133" t="s">
        <v>17057</v>
      </c>
      <c r="N19" s="133">
        <v>2.4</v>
      </c>
      <c r="O19" s="836">
        <v>1</v>
      </c>
      <c r="P19" s="132">
        <v>39903</v>
      </c>
      <c r="Q19" s="837">
        <v>1401430.75</v>
      </c>
      <c r="R19" s="837">
        <v>151276.65</v>
      </c>
      <c r="S19" s="837">
        <f t="shared" si="0"/>
        <v>1250154.1000000001</v>
      </c>
    </row>
    <row r="20" spans="1:19" s="19" customFormat="1" ht="26.25" customHeight="1" x14ac:dyDescent="0.2">
      <c r="A20" s="133">
        <v>14</v>
      </c>
      <c r="B20" s="133" t="s">
        <v>17083</v>
      </c>
      <c r="C20" s="133"/>
      <c r="D20" s="554" t="s">
        <v>17053</v>
      </c>
      <c r="E20" s="123"/>
      <c r="F20" s="835" t="s">
        <v>17084</v>
      </c>
      <c r="G20" s="123" t="s">
        <v>17085</v>
      </c>
      <c r="H20" s="123"/>
      <c r="I20" s="123" t="s">
        <v>2042</v>
      </c>
      <c r="J20" s="123" t="s">
        <v>2207</v>
      </c>
      <c r="K20" s="133" t="s">
        <v>3136</v>
      </c>
      <c r="L20" s="125" t="s">
        <v>17056</v>
      </c>
      <c r="M20" s="133" t="s">
        <v>17057</v>
      </c>
      <c r="N20" s="133">
        <v>1.3</v>
      </c>
      <c r="O20" s="836">
        <v>1</v>
      </c>
      <c r="P20" s="132">
        <v>39903</v>
      </c>
      <c r="Q20" s="837">
        <v>759108.32</v>
      </c>
      <c r="R20" s="837">
        <v>81941.52</v>
      </c>
      <c r="S20" s="837">
        <f t="shared" si="0"/>
        <v>677166.79999999993</v>
      </c>
    </row>
    <row r="21" spans="1:19" s="19" customFormat="1" ht="26.25" customHeight="1" x14ac:dyDescent="0.2">
      <c r="A21" s="133">
        <v>15</v>
      </c>
      <c r="B21" s="133" t="s">
        <v>17086</v>
      </c>
      <c r="C21" s="133"/>
      <c r="D21" s="554" t="s">
        <v>17053</v>
      </c>
      <c r="E21" s="123"/>
      <c r="F21" s="835" t="s">
        <v>17087</v>
      </c>
      <c r="G21" s="123" t="s">
        <v>16128</v>
      </c>
      <c r="H21" s="123"/>
      <c r="I21" s="123" t="s">
        <v>2042</v>
      </c>
      <c r="J21" s="123" t="s">
        <v>2207</v>
      </c>
      <c r="K21" s="133" t="s">
        <v>3136</v>
      </c>
      <c r="L21" s="125" t="s">
        <v>17056</v>
      </c>
      <c r="M21" s="133" t="s">
        <v>17057</v>
      </c>
      <c r="N21" s="133">
        <v>1.4</v>
      </c>
      <c r="O21" s="836">
        <v>1</v>
      </c>
      <c r="P21" s="132">
        <v>39903</v>
      </c>
      <c r="Q21" s="837">
        <v>817501.27</v>
      </c>
      <c r="R21" s="837">
        <v>88244.71</v>
      </c>
      <c r="S21" s="837">
        <f t="shared" si="0"/>
        <v>729256.56</v>
      </c>
    </row>
    <row r="22" spans="1:19" s="19" customFormat="1" ht="26.25" customHeight="1" x14ac:dyDescent="0.2">
      <c r="A22" s="133">
        <v>16</v>
      </c>
      <c r="B22" s="133" t="s">
        <v>17088</v>
      </c>
      <c r="C22" s="133"/>
      <c r="D22" s="554" t="s">
        <v>17053</v>
      </c>
      <c r="E22" s="123"/>
      <c r="F22" s="835" t="s">
        <v>17089</v>
      </c>
      <c r="G22" s="123" t="s">
        <v>16118</v>
      </c>
      <c r="H22" s="123"/>
      <c r="I22" s="123" t="s">
        <v>2042</v>
      </c>
      <c r="J22" s="123" t="s">
        <v>2207</v>
      </c>
      <c r="K22" s="133" t="s">
        <v>3136</v>
      </c>
      <c r="L22" s="125" t="s">
        <v>17056</v>
      </c>
      <c r="M22" s="133" t="s">
        <v>17057</v>
      </c>
      <c r="N22" s="133">
        <v>2.6</v>
      </c>
      <c r="O22" s="836">
        <v>1</v>
      </c>
      <c r="P22" s="132">
        <v>39903</v>
      </c>
      <c r="Q22" s="837">
        <v>1518216.64</v>
      </c>
      <c r="R22" s="837">
        <v>163883.04</v>
      </c>
      <c r="S22" s="837">
        <f t="shared" si="0"/>
        <v>1354333.5999999999</v>
      </c>
    </row>
    <row r="23" spans="1:19" s="19" customFormat="1" ht="26.25" customHeight="1" x14ac:dyDescent="0.2">
      <c r="A23" s="133">
        <v>17</v>
      </c>
      <c r="B23" s="133" t="s">
        <v>17090</v>
      </c>
      <c r="C23" s="133"/>
      <c r="D23" s="554" t="s">
        <v>17053</v>
      </c>
      <c r="E23" s="123"/>
      <c r="F23" s="835" t="s">
        <v>17091</v>
      </c>
      <c r="G23" s="123" t="s">
        <v>17092</v>
      </c>
      <c r="H23" s="123"/>
      <c r="I23" s="123" t="s">
        <v>2042</v>
      </c>
      <c r="J23" s="123" t="s">
        <v>2207</v>
      </c>
      <c r="K23" s="133" t="s">
        <v>3136</v>
      </c>
      <c r="L23" s="125" t="s">
        <v>17056</v>
      </c>
      <c r="M23" s="133" t="s">
        <v>17057</v>
      </c>
      <c r="N23" s="838">
        <v>3</v>
      </c>
      <c r="O23" s="836">
        <v>1</v>
      </c>
      <c r="P23" s="132">
        <v>39903</v>
      </c>
      <c r="Q23" s="837">
        <v>1751788.44</v>
      </c>
      <c r="R23" s="837">
        <v>189095.82</v>
      </c>
      <c r="S23" s="837">
        <f t="shared" si="0"/>
        <v>1562692.6199999999</v>
      </c>
    </row>
    <row r="24" spans="1:19" s="19" customFormat="1" ht="37.15" customHeight="1" x14ac:dyDescent="0.2">
      <c r="A24" s="133">
        <v>18</v>
      </c>
      <c r="B24" s="133" t="s">
        <v>17093</v>
      </c>
      <c r="C24" s="133"/>
      <c r="D24" s="554" t="s">
        <v>17053</v>
      </c>
      <c r="E24" s="123"/>
      <c r="F24" s="835" t="s">
        <v>17094</v>
      </c>
      <c r="G24" s="123" t="s">
        <v>17095</v>
      </c>
      <c r="H24" s="123"/>
      <c r="I24" s="123" t="s">
        <v>2042</v>
      </c>
      <c r="J24" s="123" t="s">
        <v>2207</v>
      </c>
      <c r="K24" s="133" t="s">
        <v>3136</v>
      </c>
      <c r="L24" s="125" t="s">
        <v>17056</v>
      </c>
      <c r="M24" s="133" t="s">
        <v>17057</v>
      </c>
      <c r="N24" s="133">
        <v>0.9</v>
      </c>
      <c r="O24" s="836">
        <v>1</v>
      </c>
      <c r="P24" s="132">
        <v>39903</v>
      </c>
      <c r="Q24" s="837">
        <v>525536.53</v>
      </c>
      <c r="R24" s="837">
        <v>56728.74</v>
      </c>
      <c r="S24" s="837">
        <f t="shared" si="0"/>
        <v>468807.79000000004</v>
      </c>
    </row>
    <row r="25" spans="1:19" s="19" customFormat="1" ht="26.25" customHeight="1" x14ac:dyDescent="0.2">
      <c r="A25" s="133">
        <v>19</v>
      </c>
      <c r="B25" s="133" t="s">
        <v>17096</v>
      </c>
      <c r="C25" s="133"/>
      <c r="D25" s="554" t="s">
        <v>17053</v>
      </c>
      <c r="E25" s="123"/>
      <c r="F25" s="835" t="s">
        <v>17097</v>
      </c>
      <c r="G25" s="123" t="s">
        <v>17098</v>
      </c>
      <c r="H25" s="123"/>
      <c r="I25" s="123" t="s">
        <v>2042</v>
      </c>
      <c r="J25" s="123" t="s">
        <v>2207</v>
      </c>
      <c r="K25" s="133" t="s">
        <v>3136</v>
      </c>
      <c r="L25" s="125" t="s">
        <v>17056</v>
      </c>
      <c r="M25" s="133" t="s">
        <v>17057</v>
      </c>
      <c r="N25" s="133">
        <v>0.9</v>
      </c>
      <c r="O25" s="836">
        <v>1</v>
      </c>
      <c r="P25" s="132">
        <v>39903</v>
      </c>
      <c r="Q25" s="837">
        <v>525536.53</v>
      </c>
      <c r="R25" s="837">
        <v>56728.74</v>
      </c>
      <c r="S25" s="837">
        <f t="shared" si="0"/>
        <v>468807.79000000004</v>
      </c>
    </row>
    <row r="26" spans="1:19" s="19" customFormat="1" ht="26.25" customHeight="1" x14ac:dyDescent="0.2">
      <c r="A26" s="133">
        <v>20</v>
      </c>
      <c r="B26" s="133" t="s">
        <v>17099</v>
      </c>
      <c r="C26" s="133"/>
      <c r="D26" s="554" t="s">
        <v>17053</v>
      </c>
      <c r="E26" s="123"/>
      <c r="F26" s="835" t="s">
        <v>17097</v>
      </c>
      <c r="G26" s="123" t="s">
        <v>15309</v>
      </c>
      <c r="H26" s="123"/>
      <c r="I26" s="123" t="s">
        <v>2042</v>
      </c>
      <c r="J26" s="123" t="s">
        <v>2207</v>
      </c>
      <c r="K26" s="133" t="s">
        <v>3136</v>
      </c>
      <c r="L26" s="125" t="s">
        <v>17056</v>
      </c>
      <c r="M26" s="133" t="s">
        <v>17057</v>
      </c>
      <c r="N26" s="133">
        <v>0.9</v>
      </c>
      <c r="O26" s="836">
        <v>1</v>
      </c>
      <c r="P26" s="132">
        <v>39903</v>
      </c>
      <c r="Q26" s="837">
        <v>525536.53</v>
      </c>
      <c r="R26" s="837">
        <v>56728.74</v>
      </c>
      <c r="S26" s="837">
        <f t="shared" si="0"/>
        <v>468807.79000000004</v>
      </c>
    </row>
    <row r="27" spans="1:19" s="19" customFormat="1" ht="26.25" customHeight="1" x14ac:dyDescent="0.2">
      <c r="A27" s="133">
        <v>21</v>
      </c>
      <c r="B27" s="133" t="s">
        <v>17100</v>
      </c>
      <c r="C27" s="133"/>
      <c r="D27" s="554" t="s">
        <v>17053</v>
      </c>
      <c r="E27" s="123"/>
      <c r="F27" s="835" t="s">
        <v>17097</v>
      </c>
      <c r="G27" s="123" t="s">
        <v>17101</v>
      </c>
      <c r="H27" s="123"/>
      <c r="I27" s="123" t="s">
        <v>2042</v>
      </c>
      <c r="J27" s="123" t="s">
        <v>2207</v>
      </c>
      <c r="K27" s="133" t="s">
        <v>3136</v>
      </c>
      <c r="L27" s="125" t="s">
        <v>17056</v>
      </c>
      <c r="M27" s="133" t="s">
        <v>17057</v>
      </c>
      <c r="N27" s="133">
        <v>0.9</v>
      </c>
      <c r="O27" s="836">
        <v>1</v>
      </c>
      <c r="P27" s="132">
        <v>39903</v>
      </c>
      <c r="Q27" s="837">
        <v>525536.53</v>
      </c>
      <c r="R27" s="837">
        <v>56728.74</v>
      </c>
      <c r="S27" s="837">
        <f t="shared" si="0"/>
        <v>468807.79000000004</v>
      </c>
    </row>
    <row r="28" spans="1:19" s="19" customFormat="1" ht="26.25" customHeight="1" x14ac:dyDescent="0.2">
      <c r="A28" s="133">
        <v>22</v>
      </c>
      <c r="B28" s="133" t="s">
        <v>17102</v>
      </c>
      <c r="C28" s="133"/>
      <c r="D28" s="554" t="s">
        <v>17053</v>
      </c>
      <c r="E28" s="123"/>
      <c r="F28" s="835" t="s">
        <v>17097</v>
      </c>
      <c r="G28" s="123" t="s">
        <v>17103</v>
      </c>
      <c r="H28" s="123"/>
      <c r="I28" s="123" t="s">
        <v>2042</v>
      </c>
      <c r="J28" s="123" t="s">
        <v>2207</v>
      </c>
      <c r="K28" s="133" t="s">
        <v>3136</v>
      </c>
      <c r="L28" s="125" t="s">
        <v>17056</v>
      </c>
      <c r="M28" s="133" t="s">
        <v>17057</v>
      </c>
      <c r="N28" s="133">
        <v>0.9</v>
      </c>
      <c r="O28" s="836">
        <v>1</v>
      </c>
      <c r="P28" s="132">
        <v>39903</v>
      </c>
      <c r="Q28" s="837">
        <v>525536.53</v>
      </c>
      <c r="R28" s="837">
        <v>56728.74</v>
      </c>
      <c r="S28" s="837">
        <f t="shared" si="0"/>
        <v>468807.79000000004</v>
      </c>
    </row>
    <row r="29" spans="1:19" s="19" customFormat="1" ht="26.25" customHeight="1" x14ac:dyDescent="0.2">
      <c r="A29" s="133">
        <v>23</v>
      </c>
      <c r="B29" s="133" t="s">
        <v>17104</v>
      </c>
      <c r="C29" s="133"/>
      <c r="D29" s="554" t="s">
        <v>17053</v>
      </c>
      <c r="E29" s="123"/>
      <c r="F29" s="835" t="s">
        <v>17097</v>
      </c>
      <c r="G29" s="123" t="s">
        <v>17105</v>
      </c>
      <c r="H29" s="123"/>
      <c r="I29" s="123" t="s">
        <v>2042</v>
      </c>
      <c r="J29" s="123" t="s">
        <v>2207</v>
      </c>
      <c r="K29" s="133" t="s">
        <v>3136</v>
      </c>
      <c r="L29" s="125" t="s">
        <v>17056</v>
      </c>
      <c r="M29" s="133" t="s">
        <v>17057</v>
      </c>
      <c r="N29" s="133">
        <v>0.9</v>
      </c>
      <c r="O29" s="836">
        <v>1</v>
      </c>
      <c r="P29" s="132">
        <v>39903</v>
      </c>
      <c r="Q29" s="837">
        <v>525536.53</v>
      </c>
      <c r="R29" s="837">
        <v>56728.74</v>
      </c>
      <c r="S29" s="837">
        <f t="shared" si="0"/>
        <v>468807.79000000004</v>
      </c>
    </row>
    <row r="30" spans="1:19" s="19" customFormat="1" ht="26.25" customHeight="1" x14ac:dyDescent="0.2">
      <c r="A30" s="133">
        <v>24</v>
      </c>
      <c r="B30" s="133" t="s">
        <v>17106</v>
      </c>
      <c r="C30" s="133"/>
      <c r="D30" s="554" t="s">
        <v>17053</v>
      </c>
      <c r="E30" s="123"/>
      <c r="F30" s="835" t="s">
        <v>17097</v>
      </c>
      <c r="G30" s="123" t="s">
        <v>17107</v>
      </c>
      <c r="H30" s="123"/>
      <c r="I30" s="123" t="s">
        <v>2042</v>
      </c>
      <c r="J30" s="123" t="s">
        <v>2207</v>
      </c>
      <c r="K30" s="133" t="s">
        <v>3136</v>
      </c>
      <c r="L30" s="125" t="s">
        <v>17056</v>
      </c>
      <c r="M30" s="133" t="s">
        <v>17057</v>
      </c>
      <c r="N30" s="133">
        <v>0.9</v>
      </c>
      <c r="O30" s="836">
        <v>1</v>
      </c>
      <c r="P30" s="132">
        <v>39903</v>
      </c>
      <c r="Q30" s="837">
        <v>525536.53</v>
      </c>
      <c r="R30" s="837">
        <v>56728.74</v>
      </c>
      <c r="S30" s="837">
        <f t="shared" si="0"/>
        <v>468807.79000000004</v>
      </c>
    </row>
    <row r="31" spans="1:19" s="19" customFormat="1" ht="26.25" customHeight="1" x14ac:dyDescent="0.2">
      <c r="A31" s="133">
        <v>25</v>
      </c>
      <c r="B31" s="133" t="s">
        <v>17108</v>
      </c>
      <c r="C31" s="133"/>
      <c r="D31" s="554" t="s">
        <v>17053</v>
      </c>
      <c r="E31" s="123"/>
      <c r="F31" s="835" t="s">
        <v>17064</v>
      </c>
      <c r="G31" s="123" t="s">
        <v>14895</v>
      </c>
      <c r="H31" s="123"/>
      <c r="I31" s="123" t="s">
        <v>2042</v>
      </c>
      <c r="J31" s="123" t="s">
        <v>2207</v>
      </c>
      <c r="K31" s="133" t="s">
        <v>3136</v>
      </c>
      <c r="L31" s="125" t="s">
        <v>17056</v>
      </c>
      <c r="M31" s="133" t="s">
        <v>17057</v>
      </c>
      <c r="N31" s="133">
        <v>0.9</v>
      </c>
      <c r="O31" s="836">
        <v>1</v>
      </c>
      <c r="P31" s="132">
        <v>39903</v>
      </c>
      <c r="Q31" s="837">
        <v>525536.53</v>
      </c>
      <c r="R31" s="837">
        <v>56728.74</v>
      </c>
      <c r="S31" s="837">
        <f t="shared" si="0"/>
        <v>468807.79000000004</v>
      </c>
    </row>
    <row r="32" spans="1:19" s="19" customFormat="1" ht="26.25" customHeight="1" x14ac:dyDescent="0.2">
      <c r="A32" s="133">
        <v>26</v>
      </c>
      <c r="B32" s="133" t="s">
        <v>17109</v>
      </c>
      <c r="C32" s="133"/>
      <c r="D32" s="554" t="s">
        <v>17053</v>
      </c>
      <c r="E32" s="123"/>
      <c r="F32" s="835" t="s">
        <v>17097</v>
      </c>
      <c r="G32" s="123" t="s">
        <v>17110</v>
      </c>
      <c r="H32" s="123"/>
      <c r="I32" s="123" t="s">
        <v>2042</v>
      </c>
      <c r="J32" s="123" t="s">
        <v>2207</v>
      </c>
      <c r="K32" s="133" t="s">
        <v>3136</v>
      </c>
      <c r="L32" s="125" t="s">
        <v>17056</v>
      </c>
      <c r="M32" s="133" t="s">
        <v>17057</v>
      </c>
      <c r="N32" s="133">
        <v>0.9</v>
      </c>
      <c r="O32" s="836">
        <v>1</v>
      </c>
      <c r="P32" s="132">
        <v>39903</v>
      </c>
      <c r="Q32" s="837">
        <v>525536.53</v>
      </c>
      <c r="R32" s="837">
        <v>56728.74</v>
      </c>
      <c r="S32" s="837">
        <f t="shared" si="0"/>
        <v>468807.79000000004</v>
      </c>
    </row>
    <row r="33" spans="1:19" s="19" customFormat="1" ht="26.25" customHeight="1" x14ac:dyDescent="0.2">
      <c r="A33" s="133">
        <v>27</v>
      </c>
      <c r="B33" s="133" t="s">
        <v>17111</v>
      </c>
      <c r="C33" s="133"/>
      <c r="D33" s="554" t="s">
        <v>17053</v>
      </c>
      <c r="E33" s="123"/>
      <c r="F33" s="835" t="s">
        <v>17112</v>
      </c>
      <c r="G33" s="123" t="s">
        <v>17113</v>
      </c>
      <c r="H33" s="123"/>
      <c r="I33" s="123" t="s">
        <v>2042</v>
      </c>
      <c r="J33" s="123" t="s">
        <v>2207</v>
      </c>
      <c r="K33" s="133" t="s">
        <v>3136</v>
      </c>
      <c r="L33" s="125" t="s">
        <v>17056</v>
      </c>
      <c r="M33" s="133" t="s">
        <v>17057</v>
      </c>
      <c r="N33" s="838">
        <v>1</v>
      </c>
      <c r="O33" s="836">
        <v>1</v>
      </c>
      <c r="P33" s="132">
        <v>39903</v>
      </c>
      <c r="Q33" s="837">
        <v>583929.48</v>
      </c>
      <c r="R33" s="837">
        <v>63031.94</v>
      </c>
      <c r="S33" s="837">
        <f t="shared" si="0"/>
        <v>520897.54</v>
      </c>
    </row>
    <row r="34" spans="1:19" s="19" customFormat="1" ht="26.25" customHeight="1" x14ac:dyDescent="0.2">
      <c r="A34" s="133">
        <v>28</v>
      </c>
      <c r="B34" s="133" t="s">
        <v>17114</v>
      </c>
      <c r="C34" s="133"/>
      <c r="D34" s="554" t="s">
        <v>17053</v>
      </c>
      <c r="E34" s="123"/>
      <c r="F34" s="835" t="s">
        <v>17112</v>
      </c>
      <c r="G34" s="123" t="s">
        <v>17115</v>
      </c>
      <c r="H34" s="123"/>
      <c r="I34" s="123" t="s">
        <v>2042</v>
      </c>
      <c r="J34" s="123" t="s">
        <v>2207</v>
      </c>
      <c r="K34" s="133" t="s">
        <v>3136</v>
      </c>
      <c r="L34" s="125" t="s">
        <v>17056</v>
      </c>
      <c r="M34" s="133" t="s">
        <v>17057</v>
      </c>
      <c r="N34" s="838">
        <v>1</v>
      </c>
      <c r="O34" s="836">
        <v>1</v>
      </c>
      <c r="P34" s="132">
        <v>39903</v>
      </c>
      <c r="Q34" s="837">
        <v>583929.48</v>
      </c>
      <c r="R34" s="837">
        <v>63031.94</v>
      </c>
      <c r="S34" s="837">
        <f t="shared" si="0"/>
        <v>520897.54</v>
      </c>
    </row>
    <row r="35" spans="1:19" s="19" customFormat="1" ht="26.25" customHeight="1" x14ac:dyDescent="0.2">
      <c r="A35" s="133">
        <v>29</v>
      </c>
      <c r="B35" s="133" t="s">
        <v>17116</v>
      </c>
      <c r="C35" s="133"/>
      <c r="D35" s="554" t="s">
        <v>17053</v>
      </c>
      <c r="E35" s="123"/>
      <c r="F35" s="835" t="s">
        <v>17112</v>
      </c>
      <c r="G35" s="123" t="s">
        <v>17117</v>
      </c>
      <c r="H35" s="123"/>
      <c r="I35" s="123" t="s">
        <v>2042</v>
      </c>
      <c r="J35" s="123" t="s">
        <v>2207</v>
      </c>
      <c r="K35" s="133" t="s">
        <v>3136</v>
      </c>
      <c r="L35" s="125" t="s">
        <v>17056</v>
      </c>
      <c r="M35" s="133" t="s">
        <v>17057</v>
      </c>
      <c r="N35" s="838">
        <v>1</v>
      </c>
      <c r="O35" s="836">
        <v>1</v>
      </c>
      <c r="P35" s="132">
        <v>39903</v>
      </c>
      <c r="Q35" s="837">
        <v>583929.48</v>
      </c>
      <c r="R35" s="837">
        <v>63031.94</v>
      </c>
      <c r="S35" s="837">
        <f t="shared" si="0"/>
        <v>520897.54</v>
      </c>
    </row>
    <row r="36" spans="1:19" s="19" customFormat="1" ht="26.25" customHeight="1" x14ac:dyDescent="0.2">
      <c r="A36" s="133">
        <v>30</v>
      </c>
      <c r="B36" s="133" t="s">
        <v>17118</v>
      </c>
      <c r="C36" s="133"/>
      <c r="D36" s="554" t="s">
        <v>17053</v>
      </c>
      <c r="E36" s="123"/>
      <c r="F36" s="835" t="s">
        <v>17112</v>
      </c>
      <c r="G36" s="123" t="s">
        <v>17119</v>
      </c>
      <c r="H36" s="123"/>
      <c r="I36" s="123" t="s">
        <v>2042</v>
      </c>
      <c r="J36" s="123" t="s">
        <v>2207</v>
      </c>
      <c r="K36" s="133" t="s">
        <v>3136</v>
      </c>
      <c r="L36" s="125" t="s">
        <v>17056</v>
      </c>
      <c r="M36" s="133" t="s">
        <v>17057</v>
      </c>
      <c r="N36" s="838">
        <v>1</v>
      </c>
      <c r="O36" s="836">
        <v>1</v>
      </c>
      <c r="P36" s="132">
        <v>39903</v>
      </c>
      <c r="Q36" s="837">
        <v>583929.48</v>
      </c>
      <c r="R36" s="837">
        <v>63031.94</v>
      </c>
      <c r="S36" s="837">
        <f t="shared" si="0"/>
        <v>520897.54</v>
      </c>
    </row>
    <row r="37" spans="1:19" s="19" customFormat="1" ht="26.25" customHeight="1" x14ac:dyDescent="0.2">
      <c r="A37" s="133">
        <v>31</v>
      </c>
      <c r="B37" s="133" t="s">
        <v>17120</v>
      </c>
      <c r="C37" s="133"/>
      <c r="D37" s="554" t="s">
        <v>17053</v>
      </c>
      <c r="E37" s="123"/>
      <c r="F37" s="835" t="s">
        <v>17112</v>
      </c>
      <c r="G37" s="123" t="s">
        <v>17121</v>
      </c>
      <c r="H37" s="123"/>
      <c r="I37" s="123" t="s">
        <v>2042</v>
      </c>
      <c r="J37" s="123" t="s">
        <v>2207</v>
      </c>
      <c r="K37" s="133" t="s">
        <v>3136</v>
      </c>
      <c r="L37" s="125" t="s">
        <v>17056</v>
      </c>
      <c r="M37" s="133" t="s">
        <v>17057</v>
      </c>
      <c r="N37" s="838">
        <v>1</v>
      </c>
      <c r="O37" s="836">
        <v>1</v>
      </c>
      <c r="P37" s="132">
        <v>39903</v>
      </c>
      <c r="Q37" s="837">
        <v>583929.48</v>
      </c>
      <c r="R37" s="837">
        <v>63031.94</v>
      </c>
      <c r="S37" s="837">
        <f t="shared" si="0"/>
        <v>520897.54</v>
      </c>
    </row>
    <row r="38" spans="1:19" s="19" customFormat="1" ht="26.25" customHeight="1" x14ac:dyDescent="0.2">
      <c r="A38" s="133">
        <v>32</v>
      </c>
      <c r="B38" s="133" t="s">
        <v>17122</v>
      </c>
      <c r="C38" s="133"/>
      <c r="D38" s="554" t="s">
        <v>17053</v>
      </c>
      <c r="E38" s="123"/>
      <c r="F38" s="835" t="s">
        <v>17112</v>
      </c>
      <c r="G38" s="123" t="s">
        <v>17123</v>
      </c>
      <c r="H38" s="123"/>
      <c r="I38" s="123" t="s">
        <v>2042</v>
      </c>
      <c r="J38" s="123" t="s">
        <v>2207</v>
      </c>
      <c r="K38" s="133" t="s">
        <v>3136</v>
      </c>
      <c r="L38" s="125" t="s">
        <v>17056</v>
      </c>
      <c r="M38" s="133" t="s">
        <v>17057</v>
      </c>
      <c r="N38" s="838">
        <v>1.4</v>
      </c>
      <c r="O38" s="836">
        <v>1</v>
      </c>
      <c r="P38" s="132">
        <v>39903</v>
      </c>
      <c r="Q38" s="837">
        <v>817501.27</v>
      </c>
      <c r="R38" s="837">
        <v>88244.71</v>
      </c>
      <c r="S38" s="837">
        <f t="shared" si="0"/>
        <v>729256.56</v>
      </c>
    </row>
    <row r="39" spans="1:19" s="19" customFormat="1" ht="26.25" customHeight="1" x14ac:dyDescent="0.2">
      <c r="A39" s="133">
        <v>33</v>
      </c>
      <c r="B39" s="133" t="s">
        <v>17124</v>
      </c>
      <c r="C39" s="133"/>
      <c r="D39" s="554" t="s">
        <v>17053</v>
      </c>
      <c r="E39" s="123"/>
      <c r="F39" s="835" t="s">
        <v>17112</v>
      </c>
      <c r="G39" s="123" t="s">
        <v>17125</v>
      </c>
      <c r="H39" s="123"/>
      <c r="I39" s="123" t="s">
        <v>2042</v>
      </c>
      <c r="J39" s="123" t="s">
        <v>2207</v>
      </c>
      <c r="K39" s="133" t="s">
        <v>3136</v>
      </c>
      <c r="L39" s="125" t="s">
        <v>17056</v>
      </c>
      <c r="M39" s="133" t="s">
        <v>17057</v>
      </c>
      <c r="N39" s="133">
        <v>1.4</v>
      </c>
      <c r="O39" s="836">
        <v>1</v>
      </c>
      <c r="P39" s="132">
        <v>39903</v>
      </c>
      <c r="Q39" s="837">
        <v>817501.27</v>
      </c>
      <c r="R39" s="837">
        <v>88244.71</v>
      </c>
      <c r="S39" s="837">
        <f t="shared" si="0"/>
        <v>729256.56</v>
      </c>
    </row>
    <row r="40" spans="1:19" s="19" customFormat="1" ht="26.25" customHeight="1" x14ac:dyDescent="0.2">
      <c r="A40" s="133">
        <v>34</v>
      </c>
      <c r="B40" s="133" t="s">
        <v>17126</v>
      </c>
      <c r="C40" s="133"/>
      <c r="D40" s="554" t="s">
        <v>17053</v>
      </c>
      <c r="E40" s="123"/>
      <c r="F40" s="835" t="s">
        <v>17127</v>
      </c>
      <c r="G40" s="123" t="s">
        <v>17128</v>
      </c>
      <c r="H40" s="123"/>
      <c r="I40" s="123" t="s">
        <v>2042</v>
      </c>
      <c r="J40" s="123" t="s">
        <v>2207</v>
      </c>
      <c r="K40" s="133" t="s">
        <v>3136</v>
      </c>
      <c r="L40" s="125" t="s">
        <v>17056</v>
      </c>
      <c r="M40" s="133" t="s">
        <v>17057</v>
      </c>
      <c r="N40" s="133">
        <v>0.4</v>
      </c>
      <c r="O40" s="836">
        <v>1</v>
      </c>
      <c r="P40" s="132">
        <v>39903</v>
      </c>
      <c r="Q40" s="837">
        <v>233571.79</v>
      </c>
      <c r="R40" s="837">
        <v>25212.27</v>
      </c>
      <c r="S40" s="837">
        <f t="shared" si="0"/>
        <v>208359.52000000002</v>
      </c>
    </row>
    <row r="41" spans="1:19" s="19" customFormat="1" ht="26.25" customHeight="1" x14ac:dyDescent="0.2">
      <c r="A41" s="133">
        <v>35</v>
      </c>
      <c r="B41" s="133" t="s">
        <v>17129</v>
      </c>
      <c r="C41" s="133"/>
      <c r="D41" s="554" t="s">
        <v>17053</v>
      </c>
      <c r="E41" s="123"/>
      <c r="F41" s="835" t="s">
        <v>17127</v>
      </c>
      <c r="G41" s="123" t="s">
        <v>17130</v>
      </c>
      <c r="H41" s="123"/>
      <c r="I41" s="123" t="s">
        <v>2042</v>
      </c>
      <c r="J41" s="123" t="s">
        <v>2207</v>
      </c>
      <c r="K41" s="133" t="s">
        <v>3136</v>
      </c>
      <c r="L41" s="125" t="s">
        <v>17056</v>
      </c>
      <c r="M41" s="133" t="s">
        <v>17057</v>
      </c>
      <c r="N41" s="133">
        <v>0.4</v>
      </c>
      <c r="O41" s="836">
        <v>1</v>
      </c>
      <c r="P41" s="132">
        <v>39903</v>
      </c>
      <c r="Q41" s="837">
        <v>233571.79</v>
      </c>
      <c r="R41" s="837">
        <v>25212.27</v>
      </c>
      <c r="S41" s="837">
        <f t="shared" si="0"/>
        <v>208359.52000000002</v>
      </c>
    </row>
    <row r="42" spans="1:19" s="19" customFormat="1" ht="26.25" customHeight="1" x14ac:dyDescent="0.2">
      <c r="A42" s="133">
        <v>36</v>
      </c>
      <c r="B42" s="133" t="s">
        <v>17131</v>
      </c>
      <c r="C42" s="133"/>
      <c r="D42" s="554" t="s">
        <v>17053</v>
      </c>
      <c r="E42" s="123"/>
      <c r="F42" s="835" t="s">
        <v>17132</v>
      </c>
      <c r="G42" s="123" t="s">
        <v>17133</v>
      </c>
      <c r="H42" s="123"/>
      <c r="I42" s="123" t="s">
        <v>2042</v>
      </c>
      <c r="J42" s="123" t="s">
        <v>2207</v>
      </c>
      <c r="K42" s="133" t="s">
        <v>3136</v>
      </c>
      <c r="L42" s="125" t="s">
        <v>17056</v>
      </c>
      <c r="M42" s="133" t="s">
        <v>17057</v>
      </c>
      <c r="N42" s="133">
        <v>0.2</v>
      </c>
      <c r="O42" s="836">
        <v>1</v>
      </c>
      <c r="P42" s="132">
        <v>39903</v>
      </c>
      <c r="Q42" s="837">
        <v>116785.89</v>
      </c>
      <c r="R42" s="837">
        <v>12606.38</v>
      </c>
      <c r="S42" s="837">
        <f t="shared" si="0"/>
        <v>104179.51</v>
      </c>
    </row>
    <row r="43" spans="1:19" s="19" customFormat="1" ht="26.25" customHeight="1" x14ac:dyDescent="0.2">
      <c r="A43" s="133">
        <v>37</v>
      </c>
      <c r="B43" s="133" t="s">
        <v>17134</v>
      </c>
      <c r="C43" s="133"/>
      <c r="D43" s="554" t="s">
        <v>17053</v>
      </c>
      <c r="E43" s="123"/>
      <c r="F43" s="835" t="s">
        <v>17097</v>
      </c>
      <c r="G43" s="123" t="s">
        <v>17135</v>
      </c>
      <c r="H43" s="123"/>
      <c r="I43" s="123" t="s">
        <v>2042</v>
      </c>
      <c r="J43" s="123" t="s">
        <v>2207</v>
      </c>
      <c r="K43" s="133" t="s">
        <v>3136</v>
      </c>
      <c r="L43" s="125" t="s">
        <v>17056</v>
      </c>
      <c r="M43" s="133" t="s">
        <v>17057</v>
      </c>
      <c r="N43" s="133">
        <v>0.9</v>
      </c>
      <c r="O43" s="836">
        <v>1</v>
      </c>
      <c r="P43" s="132">
        <v>39903</v>
      </c>
      <c r="Q43" s="837">
        <v>525536.53</v>
      </c>
      <c r="R43" s="837">
        <v>56728.74</v>
      </c>
      <c r="S43" s="837">
        <f t="shared" si="0"/>
        <v>468807.79000000004</v>
      </c>
    </row>
    <row r="44" spans="1:19" s="19" customFormat="1" ht="26.25" customHeight="1" x14ac:dyDescent="0.2">
      <c r="A44" s="133">
        <v>38</v>
      </c>
      <c r="B44" s="133" t="s">
        <v>17136</v>
      </c>
      <c r="C44" s="133"/>
      <c r="D44" s="554" t="s">
        <v>17053</v>
      </c>
      <c r="E44" s="123"/>
      <c r="F44" s="835" t="s">
        <v>17137</v>
      </c>
      <c r="G44" s="123" t="s">
        <v>17138</v>
      </c>
      <c r="H44" s="123"/>
      <c r="I44" s="123" t="s">
        <v>2042</v>
      </c>
      <c r="J44" s="123" t="s">
        <v>2207</v>
      </c>
      <c r="K44" s="133" t="s">
        <v>3136</v>
      </c>
      <c r="L44" s="125" t="s">
        <v>17056</v>
      </c>
      <c r="M44" s="133" t="s">
        <v>17057</v>
      </c>
      <c r="N44" s="133">
        <v>0.5</v>
      </c>
      <c r="O44" s="836">
        <v>1</v>
      </c>
      <c r="P44" s="132">
        <v>39903</v>
      </c>
      <c r="Q44" s="837">
        <v>291964.74</v>
      </c>
      <c r="R44" s="837">
        <v>31515.97</v>
      </c>
      <c r="S44" s="837">
        <f t="shared" si="0"/>
        <v>260448.77</v>
      </c>
    </row>
    <row r="45" spans="1:19" s="19" customFormat="1" ht="26.25" customHeight="1" x14ac:dyDescent="0.2">
      <c r="A45" s="133">
        <v>39</v>
      </c>
      <c r="B45" s="133" t="s">
        <v>17139</v>
      </c>
      <c r="C45" s="133"/>
      <c r="D45" s="554" t="s">
        <v>17053</v>
      </c>
      <c r="E45" s="123"/>
      <c r="F45" s="835" t="s">
        <v>17137</v>
      </c>
      <c r="G45" s="123" t="s">
        <v>17140</v>
      </c>
      <c r="H45" s="123"/>
      <c r="I45" s="123" t="s">
        <v>2042</v>
      </c>
      <c r="J45" s="123" t="s">
        <v>2207</v>
      </c>
      <c r="K45" s="133" t="s">
        <v>3136</v>
      </c>
      <c r="L45" s="125" t="s">
        <v>17056</v>
      </c>
      <c r="M45" s="133" t="s">
        <v>17057</v>
      </c>
      <c r="N45" s="133">
        <v>0.5</v>
      </c>
      <c r="O45" s="836">
        <v>1</v>
      </c>
      <c r="P45" s="132">
        <v>39903</v>
      </c>
      <c r="Q45" s="837">
        <v>291964.74</v>
      </c>
      <c r="R45" s="837">
        <v>31515.97</v>
      </c>
      <c r="S45" s="837">
        <f t="shared" si="0"/>
        <v>260448.77</v>
      </c>
    </row>
    <row r="46" spans="1:19" s="19" customFormat="1" ht="26.25" customHeight="1" x14ac:dyDescent="0.2">
      <c r="A46" s="133">
        <v>40</v>
      </c>
      <c r="B46" s="133" t="s">
        <v>17141</v>
      </c>
      <c r="C46" s="133"/>
      <c r="D46" s="554" t="s">
        <v>17053</v>
      </c>
      <c r="E46" s="123"/>
      <c r="F46" s="835" t="s">
        <v>17137</v>
      </c>
      <c r="G46" s="123" t="s">
        <v>17142</v>
      </c>
      <c r="H46" s="123"/>
      <c r="I46" s="123" t="s">
        <v>2042</v>
      </c>
      <c r="J46" s="123" t="s">
        <v>2207</v>
      </c>
      <c r="K46" s="133" t="s">
        <v>3136</v>
      </c>
      <c r="L46" s="125" t="s">
        <v>17056</v>
      </c>
      <c r="M46" s="133" t="s">
        <v>17057</v>
      </c>
      <c r="N46" s="133">
        <v>0.5</v>
      </c>
      <c r="O46" s="836">
        <v>1</v>
      </c>
      <c r="P46" s="132">
        <v>39903</v>
      </c>
      <c r="Q46" s="837">
        <v>291964.74</v>
      </c>
      <c r="R46" s="837">
        <v>31515.97</v>
      </c>
      <c r="S46" s="837">
        <f t="shared" si="0"/>
        <v>260448.77</v>
      </c>
    </row>
    <row r="47" spans="1:19" s="19" customFormat="1" ht="26.25" customHeight="1" x14ac:dyDescent="0.2">
      <c r="A47" s="133">
        <v>41</v>
      </c>
      <c r="B47" s="133" t="s">
        <v>17143</v>
      </c>
      <c r="C47" s="133"/>
      <c r="D47" s="554" t="s">
        <v>17053</v>
      </c>
      <c r="E47" s="123"/>
      <c r="F47" s="835" t="s">
        <v>17076</v>
      </c>
      <c r="G47" s="123" t="s">
        <v>17144</v>
      </c>
      <c r="H47" s="123"/>
      <c r="I47" s="123" t="s">
        <v>2042</v>
      </c>
      <c r="J47" s="123" t="s">
        <v>2207</v>
      </c>
      <c r="K47" s="133" t="s">
        <v>3136</v>
      </c>
      <c r="L47" s="125" t="s">
        <v>17056</v>
      </c>
      <c r="M47" s="133" t="s">
        <v>17057</v>
      </c>
      <c r="N47" s="133">
        <v>0.6</v>
      </c>
      <c r="O47" s="836">
        <v>1</v>
      </c>
      <c r="P47" s="132">
        <v>39903</v>
      </c>
      <c r="Q47" s="837">
        <v>350357.68</v>
      </c>
      <c r="R47" s="837">
        <v>37819.19</v>
      </c>
      <c r="S47" s="837">
        <f t="shared" si="0"/>
        <v>312538.49</v>
      </c>
    </row>
    <row r="48" spans="1:19" s="19" customFormat="1" ht="26.25" customHeight="1" x14ac:dyDescent="0.2">
      <c r="A48" s="133">
        <v>42</v>
      </c>
      <c r="B48" s="133" t="s">
        <v>17145</v>
      </c>
      <c r="C48" s="133"/>
      <c r="D48" s="554" t="s">
        <v>17053</v>
      </c>
      <c r="E48" s="123"/>
      <c r="F48" s="835" t="s">
        <v>17132</v>
      </c>
      <c r="G48" s="123" t="s">
        <v>17146</v>
      </c>
      <c r="H48" s="123"/>
      <c r="I48" s="123" t="s">
        <v>2042</v>
      </c>
      <c r="J48" s="123" t="s">
        <v>2207</v>
      </c>
      <c r="K48" s="133" t="s">
        <v>3136</v>
      </c>
      <c r="L48" s="125" t="s">
        <v>17056</v>
      </c>
      <c r="M48" s="133" t="s">
        <v>17057</v>
      </c>
      <c r="N48" s="133">
        <v>0.2</v>
      </c>
      <c r="O48" s="836">
        <v>1</v>
      </c>
      <c r="P48" s="132">
        <v>39903</v>
      </c>
      <c r="Q48" s="837">
        <v>116785.89</v>
      </c>
      <c r="R48" s="837">
        <v>12606.38</v>
      </c>
      <c r="S48" s="837">
        <f t="shared" si="0"/>
        <v>104179.51</v>
      </c>
    </row>
    <row r="49" spans="1:19" s="19" customFormat="1" ht="26.25" customHeight="1" x14ac:dyDescent="0.2">
      <c r="A49" s="133">
        <v>43</v>
      </c>
      <c r="B49" s="133" t="s">
        <v>17147</v>
      </c>
      <c r="C49" s="133"/>
      <c r="D49" s="554" t="s">
        <v>17053</v>
      </c>
      <c r="E49" s="123"/>
      <c r="F49" s="835" t="s">
        <v>17132</v>
      </c>
      <c r="G49" s="123" t="s">
        <v>17148</v>
      </c>
      <c r="H49" s="123"/>
      <c r="I49" s="123" t="s">
        <v>2042</v>
      </c>
      <c r="J49" s="123" t="s">
        <v>2207</v>
      </c>
      <c r="K49" s="133" t="s">
        <v>3136</v>
      </c>
      <c r="L49" s="125" t="s">
        <v>17056</v>
      </c>
      <c r="M49" s="133" t="s">
        <v>17057</v>
      </c>
      <c r="N49" s="133">
        <v>0.2</v>
      </c>
      <c r="O49" s="836">
        <v>1</v>
      </c>
      <c r="P49" s="132">
        <v>39903</v>
      </c>
      <c r="Q49" s="837">
        <v>116785.89</v>
      </c>
      <c r="R49" s="837">
        <v>12606.38</v>
      </c>
      <c r="S49" s="837">
        <f t="shared" si="0"/>
        <v>104179.51</v>
      </c>
    </row>
    <row r="50" spans="1:19" s="19" customFormat="1" ht="24" customHeight="1" x14ac:dyDescent="0.2">
      <c r="A50" s="133">
        <v>44</v>
      </c>
      <c r="B50" s="133" t="s">
        <v>17149</v>
      </c>
      <c r="C50" s="133"/>
      <c r="D50" s="554" t="s">
        <v>17053</v>
      </c>
      <c r="E50" s="123"/>
      <c r="F50" s="835" t="s">
        <v>17097</v>
      </c>
      <c r="G50" s="123" t="s">
        <v>17150</v>
      </c>
      <c r="H50" s="123"/>
      <c r="I50" s="123" t="s">
        <v>2042</v>
      </c>
      <c r="J50" s="123" t="s">
        <v>2207</v>
      </c>
      <c r="K50" s="133" t="s">
        <v>3136</v>
      </c>
      <c r="L50" s="125" t="s">
        <v>17056</v>
      </c>
      <c r="M50" s="133" t="s">
        <v>17057</v>
      </c>
      <c r="N50" s="133">
        <v>0.9</v>
      </c>
      <c r="O50" s="836">
        <v>1</v>
      </c>
      <c r="P50" s="132">
        <v>39903</v>
      </c>
      <c r="Q50" s="837">
        <v>525536.53</v>
      </c>
      <c r="R50" s="837">
        <v>56728.74</v>
      </c>
      <c r="S50" s="837">
        <f t="shared" si="0"/>
        <v>468807.79000000004</v>
      </c>
    </row>
    <row r="51" spans="1:19" s="19" customFormat="1" ht="48.6" customHeight="1" x14ac:dyDescent="0.2">
      <c r="A51" s="133">
        <v>45</v>
      </c>
      <c r="B51" s="133" t="s">
        <v>17151</v>
      </c>
      <c r="C51" s="133"/>
      <c r="D51" s="554" t="s">
        <v>17053</v>
      </c>
      <c r="E51" s="123"/>
      <c r="F51" s="835" t="s">
        <v>17152</v>
      </c>
      <c r="G51" s="123" t="s">
        <v>17153</v>
      </c>
      <c r="H51" s="123"/>
      <c r="I51" s="123" t="s">
        <v>2042</v>
      </c>
      <c r="J51" s="123" t="s">
        <v>2207</v>
      </c>
      <c r="K51" s="133" t="s">
        <v>3136</v>
      </c>
      <c r="L51" s="125" t="s">
        <v>17056</v>
      </c>
      <c r="M51" s="133" t="s">
        <v>17057</v>
      </c>
      <c r="N51" s="133">
        <v>2.8</v>
      </c>
      <c r="O51" s="836">
        <v>1</v>
      </c>
      <c r="P51" s="132">
        <v>39903</v>
      </c>
      <c r="Q51" s="837">
        <v>1635002.54</v>
      </c>
      <c r="R51" s="837">
        <v>176489.43</v>
      </c>
      <c r="S51" s="837">
        <f t="shared" si="0"/>
        <v>1458513.11</v>
      </c>
    </row>
    <row r="52" spans="1:19" s="19" customFormat="1" ht="26.25" customHeight="1" x14ac:dyDescent="0.2">
      <c r="A52" s="133">
        <v>46</v>
      </c>
      <c r="B52" s="133" t="s">
        <v>17154</v>
      </c>
      <c r="C52" s="133"/>
      <c r="D52" s="554" t="s">
        <v>17053</v>
      </c>
      <c r="E52" s="123"/>
      <c r="F52" s="835" t="s">
        <v>17155</v>
      </c>
      <c r="G52" s="123" t="s">
        <v>17156</v>
      </c>
      <c r="H52" s="123"/>
      <c r="I52" s="123" t="s">
        <v>2042</v>
      </c>
      <c r="J52" s="123" t="s">
        <v>2207</v>
      </c>
      <c r="K52" s="133" t="s">
        <v>3136</v>
      </c>
      <c r="L52" s="125" t="s">
        <v>17056</v>
      </c>
      <c r="M52" s="133" t="s">
        <v>17057</v>
      </c>
      <c r="N52" s="133">
        <v>0.8</v>
      </c>
      <c r="O52" s="836">
        <v>1</v>
      </c>
      <c r="P52" s="132">
        <v>39903</v>
      </c>
      <c r="Q52" s="837">
        <v>467143.58</v>
      </c>
      <c r="R52" s="837">
        <v>50425.55</v>
      </c>
      <c r="S52" s="837">
        <f t="shared" si="0"/>
        <v>416718.03</v>
      </c>
    </row>
    <row r="53" spans="1:19" s="19" customFormat="1" ht="24.75" customHeight="1" x14ac:dyDescent="0.2">
      <c r="A53" s="133">
        <v>47</v>
      </c>
      <c r="B53" s="133" t="s">
        <v>17157</v>
      </c>
      <c r="C53" s="133"/>
      <c r="D53" s="554" t="s">
        <v>17053</v>
      </c>
      <c r="E53" s="123"/>
      <c r="F53" s="835" t="s">
        <v>17158</v>
      </c>
      <c r="G53" s="123" t="s">
        <v>17159</v>
      </c>
      <c r="H53" s="123"/>
      <c r="I53" s="123" t="s">
        <v>2042</v>
      </c>
      <c r="J53" s="123" t="s">
        <v>2207</v>
      </c>
      <c r="K53" s="133" t="s">
        <v>3136</v>
      </c>
      <c r="L53" s="125" t="s">
        <v>17056</v>
      </c>
      <c r="M53" s="133" t="s">
        <v>17057</v>
      </c>
      <c r="N53" s="133">
        <v>3</v>
      </c>
      <c r="O53" s="836">
        <v>1</v>
      </c>
      <c r="P53" s="132">
        <v>39903</v>
      </c>
      <c r="Q53" s="837">
        <v>1751788.44</v>
      </c>
      <c r="R53" s="837">
        <v>189095.82</v>
      </c>
      <c r="S53" s="837">
        <f t="shared" si="0"/>
        <v>1562692.6199999999</v>
      </c>
    </row>
    <row r="54" spans="1:19" s="19" customFormat="1" ht="35.450000000000003" customHeight="1" x14ac:dyDescent="0.2">
      <c r="A54" s="133">
        <v>48</v>
      </c>
      <c r="B54" s="133" t="s">
        <v>17160</v>
      </c>
      <c r="C54" s="133"/>
      <c r="D54" s="554" t="s">
        <v>17053</v>
      </c>
      <c r="E54" s="123"/>
      <c r="F54" s="835" t="s">
        <v>17161</v>
      </c>
      <c r="G54" s="123" t="s">
        <v>17162</v>
      </c>
      <c r="H54" s="123"/>
      <c r="I54" s="123" t="s">
        <v>2042</v>
      </c>
      <c r="J54" s="123" t="s">
        <v>2207</v>
      </c>
      <c r="K54" s="133" t="s">
        <v>3136</v>
      </c>
      <c r="L54" s="125" t="s">
        <v>17056</v>
      </c>
      <c r="M54" s="133" t="s">
        <v>17057</v>
      </c>
      <c r="N54" s="133">
        <v>4.9000000000000004</v>
      </c>
      <c r="O54" s="836">
        <v>1</v>
      </c>
      <c r="P54" s="132">
        <v>39903</v>
      </c>
      <c r="Q54" s="837">
        <v>2861254.45</v>
      </c>
      <c r="R54" s="837">
        <v>308856.5</v>
      </c>
      <c r="S54" s="837">
        <f t="shared" si="0"/>
        <v>2552397.9500000002</v>
      </c>
    </row>
    <row r="55" spans="1:19" s="19" customFormat="1" ht="24.6" customHeight="1" x14ac:dyDescent="0.2">
      <c r="A55" s="133">
        <v>49</v>
      </c>
      <c r="B55" s="133" t="s">
        <v>17163</v>
      </c>
      <c r="C55" s="133"/>
      <c r="D55" s="554" t="s">
        <v>17053</v>
      </c>
      <c r="E55" s="123"/>
      <c r="F55" s="835" t="s">
        <v>17164</v>
      </c>
      <c r="G55" s="123" t="s">
        <v>17165</v>
      </c>
      <c r="H55" s="123"/>
      <c r="I55" s="123" t="s">
        <v>2042</v>
      </c>
      <c r="J55" s="123" t="s">
        <v>2207</v>
      </c>
      <c r="K55" s="133" t="s">
        <v>3136</v>
      </c>
      <c r="L55" s="125" t="s">
        <v>17056</v>
      </c>
      <c r="M55" s="133" t="s">
        <v>17057</v>
      </c>
      <c r="N55" s="133">
        <v>2.5</v>
      </c>
      <c r="O55" s="836">
        <v>1</v>
      </c>
      <c r="P55" s="132">
        <v>39903</v>
      </c>
      <c r="Q55" s="837">
        <v>1459823.7</v>
      </c>
      <c r="R55" s="837">
        <v>157579.85</v>
      </c>
      <c r="S55" s="837">
        <f t="shared" si="0"/>
        <v>1302243.8499999999</v>
      </c>
    </row>
    <row r="56" spans="1:19" s="19" customFormat="1" ht="25.5" customHeight="1" x14ac:dyDescent="0.2">
      <c r="A56" s="133">
        <v>50</v>
      </c>
      <c r="B56" s="133" t="s">
        <v>17166</v>
      </c>
      <c r="C56" s="133"/>
      <c r="D56" s="554" t="s">
        <v>17053</v>
      </c>
      <c r="E56" s="123"/>
      <c r="F56" s="835" t="s">
        <v>17167</v>
      </c>
      <c r="G56" s="123" t="s">
        <v>17168</v>
      </c>
      <c r="H56" s="123"/>
      <c r="I56" s="123" t="s">
        <v>2042</v>
      </c>
      <c r="J56" s="123" t="s">
        <v>2207</v>
      </c>
      <c r="K56" s="133" t="s">
        <v>3136</v>
      </c>
      <c r="L56" s="125" t="s">
        <v>17056</v>
      </c>
      <c r="M56" s="133" t="s">
        <v>17057</v>
      </c>
      <c r="N56" s="133">
        <v>0.5</v>
      </c>
      <c r="O56" s="836">
        <v>1</v>
      </c>
      <c r="P56" s="132">
        <v>39903</v>
      </c>
      <c r="Q56" s="837">
        <v>291964.74</v>
      </c>
      <c r="R56" s="837">
        <v>31515.97</v>
      </c>
      <c r="S56" s="837">
        <f t="shared" si="0"/>
        <v>260448.77</v>
      </c>
    </row>
    <row r="57" spans="1:19" s="19" customFormat="1" ht="36" customHeight="1" x14ac:dyDescent="0.2">
      <c r="A57" s="133">
        <v>51</v>
      </c>
      <c r="B57" s="133" t="s">
        <v>17169</v>
      </c>
      <c r="C57" s="133"/>
      <c r="D57" s="554" t="s">
        <v>17053</v>
      </c>
      <c r="E57" s="123"/>
      <c r="F57" s="835" t="s">
        <v>17170</v>
      </c>
      <c r="G57" s="123" t="s">
        <v>17171</v>
      </c>
      <c r="H57" s="123"/>
      <c r="I57" s="123" t="s">
        <v>2042</v>
      </c>
      <c r="J57" s="123" t="s">
        <v>2207</v>
      </c>
      <c r="K57" s="133" t="s">
        <v>3136</v>
      </c>
      <c r="L57" s="125" t="s">
        <v>17056</v>
      </c>
      <c r="M57" s="133" t="s">
        <v>17057</v>
      </c>
      <c r="N57" s="133">
        <v>0.7</v>
      </c>
      <c r="O57" s="836">
        <v>1</v>
      </c>
      <c r="P57" s="132">
        <v>39903</v>
      </c>
      <c r="Q57" s="837">
        <v>408750.63</v>
      </c>
      <c r="R57" s="837">
        <v>44122.35</v>
      </c>
      <c r="S57" s="837">
        <f t="shared" si="0"/>
        <v>364628.28</v>
      </c>
    </row>
    <row r="58" spans="1:19" s="19" customFormat="1" ht="29.25" customHeight="1" x14ac:dyDescent="0.2">
      <c r="A58" s="133">
        <v>52</v>
      </c>
      <c r="B58" s="133" t="s">
        <v>17172</v>
      </c>
      <c r="C58" s="133"/>
      <c r="D58" s="554" t="s">
        <v>17053</v>
      </c>
      <c r="E58" s="123"/>
      <c r="F58" s="835" t="s">
        <v>17173</v>
      </c>
      <c r="G58" s="123" t="s">
        <v>17174</v>
      </c>
      <c r="H58" s="123"/>
      <c r="I58" s="123" t="s">
        <v>2042</v>
      </c>
      <c r="J58" s="123" t="s">
        <v>2207</v>
      </c>
      <c r="K58" s="133" t="s">
        <v>3136</v>
      </c>
      <c r="L58" s="125" t="s">
        <v>17056</v>
      </c>
      <c r="M58" s="133" t="s">
        <v>17057</v>
      </c>
      <c r="N58" s="133">
        <v>0.3</v>
      </c>
      <c r="O58" s="836">
        <v>1</v>
      </c>
      <c r="P58" s="132">
        <v>39903</v>
      </c>
      <c r="Q58" s="837">
        <v>175178.84</v>
      </c>
      <c r="R58" s="837">
        <v>18909.580000000002</v>
      </c>
      <c r="S58" s="837">
        <f t="shared" si="0"/>
        <v>156269.26</v>
      </c>
    </row>
    <row r="59" spans="1:19" s="19" customFormat="1" ht="24.75" customHeight="1" x14ac:dyDescent="0.2">
      <c r="A59" s="133">
        <v>53</v>
      </c>
      <c r="B59" s="133" t="s">
        <v>17175</v>
      </c>
      <c r="C59" s="133"/>
      <c r="D59" s="554" t="s">
        <v>17053</v>
      </c>
      <c r="E59" s="123"/>
      <c r="F59" s="835" t="s">
        <v>17173</v>
      </c>
      <c r="G59" s="123" t="s">
        <v>17176</v>
      </c>
      <c r="H59" s="123"/>
      <c r="I59" s="123" t="s">
        <v>2042</v>
      </c>
      <c r="J59" s="123" t="s">
        <v>2207</v>
      </c>
      <c r="K59" s="133" t="s">
        <v>3136</v>
      </c>
      <c r="L59" s="125" t="s">
        <v>17056</v>
      </c>
      <c r="M59" s="133" t="s">
        <v>17057</v>
      </c>
      <c r="N59" s="133">
        <v>0.3</v>
      </c>
      <c r="O59" s="836">
        <v>1</v>
      </c>
      <c r="P59" s="132">
        <v>39903</v>
      </c>
      <c r="Q59" s="837">
        <v>175178.84</v>
      </c>
      <c r="R59" s="837">
        <v>18909.580000000002</v>
      </c>
      <c r="S59" s="837">
        <f t="shared" si="0"/>
        <v>156269.26</v>
      </c>
    </row>
    <row r="60" spans="1:19" s="19" customFormat="1" ht="39.75" customHeight="1" x14ac:dyDescent="0.2">
      <c r="A60" s="133">
        <v>54</v>
      </c>
      <c r="B60" s="133" t="s">
        <v>17177</v>
      </c>
      <c r="C60" s="133"/>
      <c r="D60" s="554" t="s">
        <v>17053</v>
      </c>
      <c r="E60" s="123"/>
      <c r="F60" s="835" t="s">
        <v>17178</v>
      </c>
      <c r="G60" s="123" t="s">
        <v>17179</v>
      </c>
      <c r="H60" s="123"/>
      <c r="I60" s="123" t="s">
        <v>2042</v>
      </c>
      <c r="J60" s="123" t="s">
        <v>2207</v>
      </c>
      <c r="K60" s="133" t="s">
        <v>3136</v>
      </c>
      <c r="L60" s="125" t="s">
        <v>17056</v>
      </c>
      <c r="M60" s="133" t="s">
        <v>17057</v>
      </c>
      <c r="N60" s="133">
        <v>3.2</v>
      </c>
      <c r="O60" s="836">
        <v>1</v>
      </c>
      <c r="P60" s="132">
        <v>39903</v>
      </c>
      <c r="Q60" s="837">
        <v>1868574.33</v>
      </c>
      <c r="R60" s="837">
        <v>201702.2</v>
      </c>
      <c r="S60" s="837">
        <f t="shared" si="0"/>
        <v>1666872.1300000001</v>
      </c>
    </row>
    <row r="61" spans="1:19" s="19" customFormat="1" ht="24" customHeight="1" x14ac:dyDescent="0.2">
      <c r="A61" s="133">
        <v>55</v>
      </c>
      <c r="B61" s="133" t="s">
        <v>17180</v>
      </c>
      <c r="C61" s="133"/>
      <c r="D61" s="554" t="s">
        <v>17053</v>
      </c>
      <c r="E61" s="123"/>
      <c r="F61" s="835" t="s">
        <v>17181</v>
      </c>
      <c r="G61" s="123" t="s">
        <v>17182</v>
      </c>
      <c r="H61" s="123"/>
      <c r="I61" s="123" t="s">
        <v>2042</v>
      </c>
      <c r="J61" s="123" t="s">
        <v>2207</v>
      </c>
      <c r="K61" s="133" t="s">
        <v>3136</v>
      </c>
      <c r="L61" s="125" t="s">
        <v>17056</v>
      </c>
      <c r="M61" s="133" t="s">
        <v>17057</v>
      </c>
      <c r="N61" s="133">
        <v>4</v>
      </c>
      <c r="O61" s="836">
        <v>1</v>
      </c>
      <c r="P61" s="132">
        <v>39903</v>
      </c>
      <c r="Q61" s="837">
        <v>2335717.92</v>
      </c>
      <c r="R61" s="837">
        <v>252127.76</v>
      </c>
      <c r="S61" s="837">
        <f t="shared" si="0"/>
        <v>2083590.16</v>
      </c>
    </row>
    <row r="62" spans="1:19" s="19" customFormat="1" ht="35.25" customHeight="1" x14ac:dyDescent="0.2">
      <c r="A62" s="133">
        <v>56</v>
      </c>
      <c r="B62" s="133" t="s">
        <v>17183</v>
      </c>
      <c r="C62" s="133"/>
      <c r="D62" s="554" t="s">
        <v>17053</v>
      </c>
      <c r="E62" s="123"/>
      <c r="F62" s="835" t="s">
        <v>17184</v>
      </c>
      <c r="G62" s="123" t="s">
        <v>17185</v>
      </c>
      <c r="H62" s="123"/>
      <c r="I62" s="123" t="s">
        <v>2042</v>
      </c>
      <c r="J62" s="123" t="s">
        <v>2207</v>
      </c>
      <c r="K62" s="133" t="s">
        <v>3136</v>
      </c>
      <c r="L62" s="125" t="s">
        <v>17056</v>
      </c>
      <c r="M62" s="133" t="s">
        <v>17057</v>
      </c>
      <c r="N62" s="133">
        <v>4.7</v>
      </c>
      <c r="O62" s="836">
        <v>1</v>
      </c>
      <c r="P62" s="132">
        <v>39903</v>
      </c>
      <c r="Q62" s="837">
        <v>2744468.55</v>
      </c>
      <c r="R62" s="837">
        <v>296250.11</v>
      </c>
      <c r="S62" s="837">
        <f t="shared" si="0"/>
        <v>2448218.44</v>
      </c>
    </row>
    <row r="63" spans="1:19" s="19" customFormat="1" ht="28.5" customHeight="1" x14ac:dyDescent="0.2">
      <c r="A63" s="133">
        <v>57</v>
      </c>
      <c r="B63" s="133" t="s">
        <v>17186</v>
      </c>
      <c r="C63" s="133"/>
      <c r="D63" s="554" t="s">
        <v>17053</v>
      </c>
      <c r="E63" s="123"/>
      <c r="F63" s="835" t="s">
        <v>17187</v>
      </c>
      <c r="G63" s="123" t="s">
        <v>17188</v>
      </c>
      <c r="H63" s="123"/>
      <c r="I63" s="123" t="s">
        <v>2042</v>
      </c>
      <c r="J63" s="123" t="s">
        <v>2207</v>
      </c>
      <c r="K63" s="133" t="s">
        <v>3136</v>
      </c>
      <c r="L63" s="125" t="s">
        <v>17056</v>
      </c>
      <c r="M63" s="133" t="s">
        <v>17057</v>
      </c>
      <c r="N63" s="133">
        <v>1.6</v>
      </c>
      <c r="O63" s="836">
        <v>1</v>
      </c>
      <c r="P63" s="132">
        <v>39903</v>
      </c>
      <c r="Q63" s="837">
        <v>934287.16</v>
      </c>
      <c r="R63" s="837">
        <v>100851.1</v>
      </c>
      <c r="S63" s="837">
        <f t="shared" si="0"/>
        <v>833436.06</v>
      </c>
    </row>
    <row r="64" spans="1:19" s="19" customFormat="1" ht="39.75" customHeight="1" x14ac:dyDescent="0.2">
      <c r="A64" s="133">
        <v>58</v>
      </c>
      <c r="B64" s="133" t="s">
        <v>17189</v>
      </c>
      <c r="C64" s="133"/>
      <c r="D64" s="554" t="s">
        <v>17053</v>
      </c>
      <c r="E64" s="123"/>
      <c r="F64" s="835" t="s">
        <v>17112</v>
      </c>
      <c r="G64" s="123" t="s">
        <v>17190</v>
      </c>
      <c r="H64" s="123"/>
      <c r="I64" s="123" t="s">
        <v>2042</v>
      </c>
      <c r="J64" s="123" t="s">
        <v>2207</v>
      </c>
      <c r="K64" s="133" t="s">
        <v>3136</v>
      </c>
      <c r="L64" s="125" t="s">
        <v>17056</v>
      </c>
      <c r="M64" s="133" t="s">
        <v>17057</v>
      </c>
      <c r="N64" s="133">
        <v>1</v>
      </c>
      <c r="O64" s="836">
        <v>1</v>
      </c>
      <c r="P64" s="132">
        <v>39903</v>
      </c>
      <c r="Q64" s="837">
        <v>583929.48</v>
      </c>
      <c r="R64" s="837">
        <v>63031.94</v>
      </c>
      <c r="S64" s="837">
        <f t="shared" si="0"/>
        <v>520897.54</v>
      </c>
    </row>
    <row r="65" spans="1:19" s="19" customFormat="1" ht="37.5" customHeight="1" x14ac:dyDescent="0.2">
      <c r="A65" s="133">
        <v>59</v>
      </c>
      <c r="B65" s="133" t="s">
        <v>17191</v>
      </c>
      <c r="C65" s="133"/>
      <c r="D65" s="554" t="s">
        <v>17053</v>
      </c>
      <c r="E65" s="123"/>
      <c r="F65" s="835" t="s">
        <v>17155</v>
      </c>
      <c r="G65" s="123" t="s">
        <v>17192</v>
      </c>
      <c r="H65" s="123"/>
      <c r="I65" s="123" t="s">
        <v>2042</v>
      </c>
      <c r="J65" s="123" t="s">
        <v>2207</v>
      </c>
      <c r="K65" s="133" t="s">
        <v>3136</v>
      </c>
      <c r="L65" s="125" t="s">
        <v>17056</v>
      </c>
      <c r="M65" s="133" t="s">
        <v>17057</v>
      </c>
      <c r="N65" s="133">
        <v>0.8</v>
      </c>
      <c r="O65" s="836">
        <v>1</v>
      </c>
      <c r="P65" s="132">
        <v>39903</v>
      </c>
      <c r="Q65" s="837">
        <v>467143.58</v>
      </c>
      <c r="R65" s="837">
        <v>50425.55</v>
      </c>
      <c r="S65" s="837">
        <f t="shared" si="0"/>
        <v>416718.03</v>
      </c>
    </row>
    <row r="66" spans="1:19" s="19" customFormat="1" ht="23.25" customHeight="1" x14ac:dyDescent="0.2">
      <c r="A66" s="133">
        <v>60</v>
      </c>
      <c r="B66" s="133" t="s">
        <v>17193</v>
      </c>
      <c r="C66" s="133"/>
      <c r="D66" s="554" t="s">
        <v>17053</v>
      </c>
      <c r="E66" s="123"/>
      <c r="F66" s="835" t="s">
        <v>17194</v>
      </c>
      <c r="G66" s="123" t="s">
        <v>17195</v>
      </c>
      <c r="H66" s="123"/>
      <c r="I66" s="123" t="s">
        <v>2042</v>
      </c>
      <c r="J66" s="123" t="s">
        <v>2207</v>
      </c>
      <c r="K66" s="133" t="s">
        <v>3136</v>
      </c>
      <c r="L66" s="125" t="s">
        <v>17056</v>
      </c>
      <c r="M66" s="133" t="s">
        <v>17057</v>
      </c>
      <c r="N66" s="133">
        <v>6.4</v>
      </c>
      <c r="O66" s="836">
        <v>1</v>
      </c>
      <c r="P66" s="132">
        <v>39903</v>
      </c>
      <c r="Q66" s="837">
        <v>3737148.67</v>
      </c>
      <c r="R66" s="837">
        <v>403404.41</v>
      </c>
      <c r="S66" s="837">
        <f t="shared" si="0"/>
        <v>3333744.26</v>
      </c>
    </row>
    <row r="67" spans="1:19" s="19" customFormat="1" ht="25.5" customHeight="1" x14ac:dyDescent="0.2">
      <c r="A67" s="133">
        <v>61</v>
      </c>
      <c r="B67" s="133" t="s">
        <v>17196</v>
      </c>
      <c r="C67" s="133"/>
      <c r="D67" s="554" t="s">
        <v>17053</v>
      </c>
      <c r="E67" s="123"/>
      <c r="F67" s="835" t="s">
        <v>17197</v>
      </c>
      <c r="G67" s="123" t="s">
        <v>17198</v>
      </c>
      <c r="H67" s="123"/>
      <c r="I67" s="123" t="s">
        <v>2042</v>
      </c>
      <c r="J67" s="123" t="s">
        <v>2207</v>
      </c>
      <c r="K67" s="133" t="s">
        <v>3136</v>
      </c>
      <c r="L67" s="125" t="s">
        <v>17056</v>
      </c>
      <c r="M67" s="133" t="s">
        <v>17057</v>
      </c>
      <c r="N67" s="133">
        <v>3.5</v>
      </c>
      <c r="O67" s="836">
        <v>1</v>
      </c>
      <c r="P67" s="132">
        <v>39903</v>
      </c>
      <c r="Q67" s="837">
        <v>2043753.18</v>
      </c>
      <c r="R67" s="837">
        <v>220611.79</v>
      </c>
      <c r="S67" s="837">
        <f t="shared" si="0"/>
        <v>1823141.39</v>
      </c>
    </row>
    <row r="68" spans="1:19" s="19" customFormat="1" ht="35.25" customHeight="1" x14ac:dyDescent="0.2">
      <c r="A68" s="133">
        <v>62</v>
      </c>
      <c r="B68" s="133" t="s">
        <v>17199</v>
      </c>
      <c r="C68" s="133"/>
      <c r="D68" s="554" t="s">
        <v>17053</v>
      </c>
      <c r="E68" s="123"/>
      <c r="F68" s="835" t="s">
        <v>17200</v>
      </c>
      <c r="G68" s="123" t="s">
        <v>17201</v>
      </c>
      <c r="H68" s="123"/>
      <c r="I68" s="123" t="s">
        <v>2042</v>
      </c>
      <c r="J68" s="123" t="s">
        <v>2207</v>
      </c>
      <c r="K68" s="133" t="s">
        <v>3136</v>
      </c>
      <c r="L68" s="125" t="s">
        <v>17056</v>
      </c>
      <c r="M68" s="133" t="s">
        <v>17057</v>
      </c>
      <c r="N68" s="133">
        <v>8.4</v>
      </c>
      <c r="O68" s="836">
        <v>1</v>
      </c>
      <c r="P68" s="132">
        <v>39903</v>
      </c>
      <c r="Q68" s="837">
        <v>4905008.67</v>
      </c>
      <c r="R68" s="837">
        <v>529469.93999999994</v>
      </c>
      <c r="S68" s="837">
        <f t="shared" si="0"/>
        <v>4375538.7300000004</v>
      </c>
    </row>
    <row r="69" spans="1:19" ht="27" customHeight="1" x14ac:dyDescent="0.2">
      <c r="A69" s="133">
        <v>63</v>
      </c>
      <c r="B69" s="133" t="s">
        <v>17202</v>
      </c>
      <c r="C69" s="839"/>
      <c r="D69" s="554" t="s">
        <v>17053</v>
      </c>
      <c r="E69" s="840"/>
      <c r="F69" s="835" t="s">
        <v>17076</v>
      </c>
      <c r="G69" s="133" t="s">
        <v>17203</v>
      </c>
      <c r="H69" s="841"/>
      <c r="I69" s="123" t="s">
        <v>2042</v>
      </c>
      <c r="J69" s="123" t="s">
        <v>2207</v>
      </c>
      <c r="K69" s="133" t="s">
        <v>3136</v>
      </c>
      <c r="L69" s="125" t="s">
        <v>17056</v>
      </c>
      <c r="M69" s="133" t="s">
        <v>17057</v>
      </c>
      <c r="N69" s="133">
        <v>0.6</v>
      </c>
      <c r="O69" s="836">
        <v>1</v>
      </c>
      <c r="P69" s="132">
        <v>43374</v>
      </c>
      <c r="Q69" s="194">
        <v>1</v>
      </c>
      <c r="R69" s="194">
        <v>0</v>
      </c>
      <c r="S69" s="194">
        <f t="shared" si="0"/>
        <v>1</v>
      </c>
    </row>
    <row r="70" spans="1:19" ht="28.5" customHeight="1" x14ac:dyDescent="0.2">
      <c r="A70" s="133">
        <v>64</v>
      </c>
      <c r="B70" s="133" t="s">
        <v>17204</v>
      </c>
      <c r="C70" s="839"/>
      <c r="D70" s="554" t="s">
        <v>17053</v>
      </c>
      <c r="E70" s="840"/>
      <c r="F70" s="835" t="s">
        <v>17076</v>
      </c>
      <c r="G70" s="133" t="s">
        <v>17205</v>
      </c>
      <c r="H70" s="841"/>
      <c r="I70" s="123" t="s">
        <v>2042</v>
      </c>
      <c r="J70" s="123" t="s">
        <v>2207</v>
      </c>
      <c r="K70" s="133" t="s">
        <v>3136</v>
      </c>
      <c r="L70" s="125" t="s">
        <v>17056</v>
      </c>
      <c r="M70" s="133" t="s">
        <v>17057</v>
      </c>
      <c r="N70" s="133">
        <v>0.6</v>
      </c>
      <c r="O70" s="836">
        <v>1</v>
      </c>
      <c r="P70" s="133"/>
      <c r="Q70" s="194">
        <v>1</v>
      </c>
      <c r="R70" s="194">
        <v>0</v>
      </c>
      <c r="S70" s="194">
        <f>Q70-R70</f>
        <v>1</v>
      </c>
    </row>
    <row r="71" spans="1:19" ht="29.25" customHeight="1" x14ac:dyDescent="0.2">
      <c r="A71" s="133">
        <v>65</v>
      </c>
      <c r="B71" s="133" t="s">
        <v>17206</v>
      </c>
      <c r="C71" s="839"/>
      <c r="D71" s="554" t="s">
        <v>17053</v>
      </c>
      <c r="E71" s="840"/>
      <c r="F71" s="835" t="s">
        <v>17132</v>
      </c>
      <c r="G71" s="133" t="s">
        <v>17207</v>
      </c>
      <c r="H71" s="841"/>
      <c r="I71" s="123" t="s">
        <v>2042</v>
      </c>
      <c r="J71" s="123" t="s">
        <v>2207</v>
      </c>
      <c r="K71" s="133" t="s">
        <v>3136</v>
      </c>
      <c r="L71" s="125" t="s">
        <v>17056</v>
      </c>
      <c r="M71" s="133" t="s">
        <v>17057</v>
      </c>
      <c r="N71" s="133">
        <v>0.2</v>
      </c>
      <c r="O71" s="836">
        <v>1</v>
      </c>
      <c r="P71" s="133"/>
      <c r="Q71" s="194">
        <v>1</v>
      </c>
      <c r="R71" s="194">
        <v>0</v>
      </c>
      <c r="S71" s="194">
        <f>Q71-R71</f>
        <v>1</v>
      </c>
    </row>
    <row r="72" spans="1:19" s="19" customFormat="1" ht="27" customHeight="1" x14ac:dyDescent="0.2">
      <c r="A72" s="133">
        <v>66</v>
      </c>
      <c r="B72" s="133" t="s">
        <v>17208</v>
      </c>
      <c r="C72" s="133"/>
      <c r="D72" s="554" t="s">
        <v>17053</v>
      </c>
      <c r="E72" s="133" t="s">
        <v>17209</v>
      </c>
      <c r="F72" s="835" t="s">
        <v>17069</v>
      </c>
      <c r="G72" s="554" t="s">
        <v>17210</v>
      </c>
      <c r="H72" s="133"/>
      <c r="I72" s="123" t="s">
        <v>2042</v>
      </c>
      <c r="J72" s="123" t="s">
        <v>2207</v>
      </c>
      <c r="K72" s="133" t="s">
        <v>3136</v>
      </c>
      <c r="L72" s="125" t="s">
        <v>17056</v>
      </c>
      <c r="M72" s="133" t="s">
        <v>17057</v>
      </c>
      <c r="N72" s="133">
        <v>1.9</v>
      </c>
      <c r="O72" s="836">
        <v>1</v>
      </c>
      <c r="P72" s="132" t="s">
        <v>17211</v>
      </c>
      <c r="Q72" s="194">
        <v>50118.83</v>
      </c>
      <c r="R72" s="194">
        <f>Q72-S72</f>
        <v>50118.83</v>
      </c>
      <c r="S72" s="194">
        <v>0</v>
      </c>
    </row>
    <row r="73" spans="1:19" s="19" customFormat="1" ht="27" customHeight="1" x14ac:dyDescent="0.2">
      <c r="A73" s="133">
        <v>67</v>
      </c>
      <c r="B73" s="133" t="s">
        <v>17212</v>
      </c>
      <c r="C73" s="133"/>
      <c r="D73" s="554" t="s">
        <v>17053</v>
      </c>
      <c r="E73" s="133" t="s">
        <v>14139</v>
      </c>
      <c r="F73" s="835" t="s">
        <v>17069</v>
      </c>
      <c r="G73" s="554" t="s">
        <v>17213</v>
      </c>
      <c r="H73" s="133"/>
      <c r="I73" s="123" t="s">
        <v>2042</v>
      </c>
      <c r="J73" s="123" t="s">
        <v>2207</v>
      </c>
      <c r="K73" s="133" t="s">
        <v>3136</v>
      </c>
      <c r="L73" s="125" t="s">
        <v>17056</v>
      </c>
      <c r="M73" s="133" t="s">
        <v>17057</v>
      </c>
      <c r="N73" s="133">
        <v>1.9</v>
      </c>
      <c r="O73" s="836">
        <v>1</v>
      </c>
      <c r="P73" s="132" t="s">
        <v>14151</v>
      </c>
      <c r="Q73" s="194">
        <v>69641.81</v>
      </c>
      <c r="R73" s="194">
        <f>Q73-S73</f>
        <v>59313.99</v>
      </c>
      <c r="S73" s="194">
        <v>10327.82</v>
      </c>
    </row>
    <row r="74" spans="1:19" s="19" customFormat="1" ht="25.5" customHeight="1" x14ac:dyDescent="0.2">
      <c r="A74" s="133">
        <v>68</v>
      </c>
      <c r="B74" s="133" t="s">
        <v>17214</v>
      </c>
      <c r="C74" s="133"/>
      <c r="D74" s="554" t="s">
        <v>17053</v>
      </c>
      <c r="E74" s="123"/>
      <c r="F74" s="835" t="s">
        <v>17215</v>
      </c>
      <c r="G74" s="554" t="s">
        <v>17216</v>
      </c>
      <c r="H74" s="123"/>
      <c r="I74" s="123" t="s">
        <v>2042</v>
      </c>
      <c r="J74" s="123" t="s">
        <v>2207</v>
      </c>
      <c r="K74" s="133" t="s">
        <v>3136</v>
      </c>
      <c r="L74" s="125" t="s">
        <v>17056</v>
      </c>
      <c r="M74" s="133" t="s">
        <v>17057</v>
      </c>
      <c r="N74" s="133">
        <v>5.8</v>
      </c>
      <c r="O74" s="836">
        <v>1</v>
      </c>
      <c r="P74" s="132">
        <v>40360</v>
      </c>
      <c r="Q74" s="837">
        <f>45418.37+82333.92+60499.51+245590.44+49500.66+115132.2+41825.96+114735.6+176168.22+242487.9+113091.04+111446.46+49535.65+262506.28+138436.22+95332.31</f>
        <v>1944040.7399999998</v>
      </c>
      <c r="R74" s="837">
        <f>45418.37+82333.92+60499.51+245590.44+49500.66+89180.18+41825.96+109058.26+176168.22+215617.68+113091.04+111446.46+49535.65+262506.28+138436.22+2033.76</f>
        <v>1792242.6099999999</v>
      </c>
      <c r="S74" s="837">
        <f>Q74-R74</f>
        <v>151798.12999999989</v>
      </c>
    </row>
    <row r="75" spans="1:19" s="19" customFormat="1" ht="26.25" customHeight="1" x14ac:dyDescent="0.2">
      <c r="A75" s="133">
        <v>69</v>
      </c>
      <c r="B75" s="133" t="s">
        <v>17217</v>
      </c>
      <c r="C75" s="133"/>
      <c r="D75" s="554" t="s">
        <v>17053</v>
      </c>
      <c r="E75" s="123"/>
      <c r="F75" s="835" t="s">
        <v>17072</v>
      </c>
      <c r="G75" s="554" t="s">
        <v>17218</v>
      </c>
      <c r="H75" s="123"/>
      <c r="I75" s="123" t="s">
        <v>2042</v>
      </c>
      <c r="J75" s="123" t="s">
        <v>2207</v>
      </c>
      <c r="K75" s="133" t="s">
        <v>3136</v>
      </c>
      <c r="L75" s="125" t="s">
        <v>17056</v>
      </c>
      <c r="M75" s="133" t="s">
        <v>17057</v>
      </c>
      <c r="N75" s="133">
        <v>1.8</v>
      </c>
      <c r="O75" s="836">
        <v>1</v>
      </c>
      <c r="P75" s="132">
        <v>41000</v>
      </c>
      <c r="Q75" s="837">
        <f>114607.32+58737.8+58737.8+58737.8</f>
        <v>290820.71999999997</v>
      </c>
      <c r="R75" s="837">
        <f>114607.32+30696.58+19575.85+19575.85</f>
        <v>184455.60000000003</v>
      </c>
      <c r="S75" s="837">
        <f>Q75-R75</f>
        <v>106365.11999999994</v>
      </c>
    </row>
    <row r="76" spans="1:19" s="19" customFormat="1" ht="26.25" customHeight="1" x14ac:dyDescent="0.2">
      <c r="A76" s="133">
        <v>70</v>
      </c>
      <c r="B76" s="133" t="s">
        <v>17219</v>
      </c>
      <c r="C76" s="133"/>
      <c r="D76" s="554" t="s">
        <v>17053</v>
      </c>
      <c r="E76" s="123"/>
      <c r="F76" s="835" t="s">
        <v>17220</v>
      </c>
      <c r="G76" s="554" t="s">
        <v>17221</v>
      </c>
      <c r="H76" s="123"/>
      <c r="I76" s="123" t="s">
        <v>2042</v>
      </c>
      <c r="J76" s="123" t="s">
        <v>2207</v>
      </c>
      <c r="K76" s="133" t="s">
        <v>3136</v>
      </c>
      <c r="L76" s="125" t="s">
        <v>17056</v>
      </c>
      <c r="M76" s="133" t="s">
        <v>17057</v>
      </c>
      <c r="N76" s="133">
        <v>4.5</v>
      </c>
      <c r="O76" s="836">
        <v>1</v>
      </c>
      <c r="P76" s="132">
        <v>38718</v>
      </c>
      <c r="Q76" s="837">
        <f>67318.84+55997.3+296420.95+546608.27+122660.46+249604.59+117010.04+48870.82</f>
        <v>1504491.2700000003</v>
      </c>
      <c r="R76" s="837">
        <f>38645.84+49496.07+205039.95+382754.68+64076.25+148070.69+114661.43+46325.95</f>
        <v>1049070.8599999999</v>
      </c>
      <c r="S76" s="837">
        <f>Q76-R76</f>
        <v>455420.41000000038</v>
      </c>
    </row>
    <row r="77" spans="1:19" s="19" customFormat="1" ht="25.5" customHeight="1" x14ac:dyDescent="0.2">
      <c r="A77" s="133">
        <v>71</v>
      </c>
      <c r="B77" s="133" t="s">
        <v>17222</v>
      </c>
      <c r="C77" s="133"/>
      <c r="D77" s="554" t="s">
        <v>17053</v>
      </c>
      <c r="E77" s="123"/>
      <c r="F77" s="835" t="s">
        <v>17089</v>
      </c>
      <c r="G77" s="554" t="s">
        <v>17223</v>
      </c>
      <c r="H77" s="123"/>
      <c r="I77" s="123" t="s">
        <v>2042</v>
      </c>
      <c r="J77" s="123" t="s">
        <v>2207</v>
      </c>
      <c r="K77" s="133" t="s">
        <v>3136</v>
      </c>
      <c r="L77" s="125" t="s">
        <v>17056</v>
      </c>
      <c r="M77" s="133" t="s">
        <v>17057</v>
      </c>
      <c r="N77" s="133">
        <v>2.6</v>
      </c>
      <c r="O77" s="836">
        <v>1</v>
      </c>
      <c r="P77" s="132">
        <v>41000</v>
      </c>
      <c r="Q77" s="837">
        <f>282666.76+136700.01+74942.7+36947.06</f>
        <v>531256.53</v>
      </c>
      <c r="R77" s="837">
        <f>124726.38+43300.1+24776.64+19309.72</f>
        <v>212112.84</v>
      </c>
      <c r="S77" s="837">
        <f>Q77-R77</f>
        <v>319143.69000000006</v>
      </c>
    </row>
    <row r="78" spans="1:19" ht="19.5" customHeight="1" x14ac:dyDescent="0.2">
      <c r="N78" s="520">
        <f>SUM(N7:N77)</f>
        <v>122.39999999999998</v>
      </c>
      <c r="O78" s="6"/>
      <c r="P78" s="6"/>
      <c r="Q78" s="521">
        <f>SUM(Q7:Q77)</f>
        <v>64243145.470000021</v>
      </c>
      <c r="R78" s="521"/>
      <c r="S78" s="521"/>
    </row>
  </sheetData>
  <mergeCells count="16">
    <mergeCell ref="N4:N5"/>
    <mergeCell ref="O4:O5"/>
    <mergeCell ref="P4:P5"/>
    <mergeCell ref="Q4:S4"/>
    <mergeCell ref="F4:F5"/>
    <mergeCell ref="G4:G5"/>
    <mergeCell ref="H4:H5"/>
    <mergeCell ref="I4:I5"/>
    <mergeCell ref="J4:J5"/>
    <mergeCell ref="K4:M4"/>
    <mergeCell ref="A1:C1"/>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
  <sheetViews>
    <sheetView workbookViewId="0">
      <selection activeCell="O11" sqref="O11"/>
    </sheetView>
  </sheetViews>
  <sheetFormatPr defaultColWidth="9.140625" defaultRowHeight="12.75" x14ac:dyDescent="0.2"/>
  <cols>
    <col min="1" max="2" width="9.140625" style="217"/>
    <col min="3" max="3" width="11.7109375" style="217" customWidth="1"/>
    <col min="4" max="4" width="23" style="217" customWidth="1"/>
    <col min="5" max="5" width="9.140625" style="217"/>
    <col min="6" max="6" width="18.28515625" style="217" customWidth="1"/>
    <col min="7" max="7" width="9.140625" style="217"/>
    <col min="8" max="10" width="9.140625" style="217" customWidth="1"/>
    <col min="11" max="11" width="13.28515625" style="217" customWidth="1"/>
    <col min="12" max="12" width="13.85546875" style="217" customWidth="1"/>
    <col min="13" max="13" width="12.7109375" style="217" customWidth="1"/>
    <col min="14" max="14" width="9.140625" style="217"/>
    <col min="15" max="15" width="12.7109375" style="217" customWidth="1"/>
    <col min="16" max="18" width="9.140625" style="217"/>
    <col min="19" max="19" width="10.85546875" style="217" bestFit="1" customWidth="1"/>
    <col min="20" max="20" width="11.42578125" style="217" customWidth="1"/>
    <col min="21" max="21" width="12.7109375" style="217" customWidth="1"/>
    <col min="22" max="24" width="9.140625" style="217"/>
    <col min="25" max="25" width="13.28515625" style="217" customWidth="1"/>
    <col min="26" max="30" width="9.140625" style="217" customWidth="1"/>
    <col min="31" max="16384" width="9.140625" style="217"/>
  </cols>
  <sheetData>
    <row r="1" spans="1:31" s="845" customFormat="1" ht="15.75" x14ac:dyDescent="0.25">
      <c r="A1" s="842" t="s">
        <v>12980</v>
      </c>
      <c r="B1" s="842"/>
      <c r="C1" s="842"/>
      <c r="D1" s="842"/>
      <c r="E1" s="843"/>
      <c r="F1" s="844"/>
      <c r="G1" s="844"/>
      <c r="H1" s="844"/>
      <c r="I1" s="844"/>
      <c r="J1" s="844"/>
      <c r="K1" s="844"/>
      <c r="L1" s="844"/>
      <c r="M1" s="844"/>
      <c r="N1" s="844"/>
      <c r="O1" s="844"/>
      <c r="P1" s="844"/>
      <c r="Q1" s="844"/>
      <c r="R1" s="844"/>
      <c r="S1" s="844"/>
      <c r="T1" s="844"/>
      <c r="U1" s="844"/>
      <c r="V1" s="844"/>
      <c r="W1" s="844"/>
      <c r="X1" s="844"/>
      <c r="Y1" s="844"/>
      <c r="Z1" s="844"/>
      <c r="AA1" s="844"/>
      <c r="AB1" s="844"/>
    </row>
    <row r="2" spans="1:31" s="845" customFormat="1" ht="15.75" x14ac:dyDescent="0.25">
      <c r="A2" s="846" t="s">
        <v>17224</v>
      </c>
      <c r="B2" s="846"/>
      <c r="C2" s="846"/>
      <c r="D2" s="846"/>
      <c r="E2" s="847"/>
      <c r="F2" s="848"/>
      <c r="G2" s="848"/>
      <c r="H2" s="848"/>
      <c r="I2" s="848"/>
      <c r="AD2" s="849"/>
      <c r="AE2" s="849"/>
    </row>
    <row r="3" spans="1:31" s="845" customFormat="1" x14ac:dyDescent="0.2">
      <c r="A3" s="847"/>
      <c r="B3" s="847"/>
      <c r="C3" s="847"/>
      <c r="D3" s="847"/>
      <c r="E3" s="847"/>
      <c r="F3" s="848"/>
      <c r="G3" s="848"/>
      <c r="H3" s="848"/>
      <c r="I3" s="848"/>
      <c r="AD3" s="849"/>
      <c r="AE3" s="849"/>
    </row>
    <row r="4" spans="1:31" s="845" customFormat="1" x14ac:dyDescent="0.2">
      <c r="A4" s="847"/>
      <c r="B4" s="847"/>
      <c r="C4" s="847"/>
      <c r="D4" s="847"/>
      <c r="E4" s="847"/>
      <c r="F4" s="848"/>
      <c r="G4" s="848"/>
      <c r="H4" s="848"/>
      <c r="I4" s="848"/>
      <c r="AD4" s="849"/>
      <c r="AE4" s="849"/>
    </row>
    <row r="5" spans="1:31" s="850" customFormat="1" ht="12" x14ac:dyDescent="0.2">
      <c r="A5" s="872" t="s">
        <v>3972</v>
      </c>
      <c r="B5" s="872" t="s">
        <v>6165</v>
      </c>
      <c r="C5" s="872" t="s">
        <v>12408</v>
      </c>
      <c r="D5" s="872" t="s">
        <v>1995</v>
      </c>
      <c r="E5" s="872" t="s">
        <v>17225</v>
      </c>
      <c r="F5" s="872" t="s">
        <v>17226</v>
      </c>
      <c r="G5" s="872" t="s">
        <v>17227</v>
      </c>
      <c r="H5" s="872" t="s">
        <v>17228</v>
      </c>
      <c r="I5" s="872"/>
      <c r="J5" s="872"/>
      <c r="K5" s="872" t="s">
        <v>17229</v>
      </c>
      <c r="L5" s="872" t="s">
        <v>2417</v>
      </c>
      <c r="M5" s="872" t="s">
        <v>5331</v>
      </c>
      <c r="N5" s="872" t="s">
        <v>12419</v>
      </c>
      <c r="O5" s="872" t="s">
        <v>17230</v>
      </c>
      <c r="P5" s="872"/>
      <c r="Q5" s="872"/>
      <c r="R5" s="872" t="s">
        <v>5405</v>
      </c>
      <c r="S5" s="872" t="s">
        <v>17231</v>
      </c>
      <c r="T5" s="872" t="s">
        <v>5794</v>
      </c>
      <c r="U5" s="872" t="s">
        <v>17232</v>
      </c>
      <c r="V5" s="872" t="s">
        <v>17233</v>
      </c>
      <c r="W5" s="872" t="s">
        <v>17234</v>
      </c>
      <c r="X5" s="872"/>
      <c r="Y5" s="872"/>
      <c r="Z5" s="872" t="s">
        <v>17235</v>
      </c>
      <c r="AA5" s="872"/>
      <c r="AB5" s="872"/>
      <c r="AC5" s="872" t="s">
        <v>3638</v>
      </c>
      <c r="AD5" s="872"/>
    </row>
    <row r="6" spans="1:31" s="850" customFormat="1" ht="48" x14ac:dyDescent="0.2">
      <c r="A6" s="872"/>
      <c r="B6" s="872"/>
      <c r="C6" s="872"/>
      <c r="D6" s="872"/>
      <c r="E6" s="872"/>
      <c r="F6" s="872"/>
      <c r="G6" s="872"/>
      <c r="H6" s="873" t="s">
        <v>3771</v>
      </c>
      <c r="I6" s="873" t="s">
        <v>1598</v>
      </c>
      <c r="J6" s="873" t="s">
        <v>3131</v>
      </c>
      <c r="K6" s="872"/>
      <c r="L6" s="872"/>
      <c r="M6" s="872"/>
      <c r="N6" s="872"/>
      <c r="O6" s="873" t="s">
        <v>3771</v>
      </c>
      <c r="P6" s="873" t="s">
        <v>1598</v>
      </c>
      <c r="Q6" s="873" t="s">
        <v>3131</v>
      </c>
      <c r="R6" s="872"/>
      <c r="S6" s="872"/>
      <c r="T6" s="872"/>
      <c r="U6" s="872"/>
      <c r="V6" s="872"/>
      <c r="W6" s="873" t="s">
        <v>3771</v>
      </c>
      <c r="X6" s="873" t="s">
        <v>1598</v>
      </c>
      <c r="Y6" s="873" t="s">
        <v>3131</v>
      </c>
      <c r="Z6" s="873" t="s">
        <v>3771</v>
      </c>
      <c r="AA6" s="873" t="s">
        <v>1598</v>
      </c>
      <c r="AB6" s="873" t="s">
        <v>3131</v>
      </c>
      <c r="AC6" s="873" t="s">
        <v>5101</v>
      </c>
      <c r="AD6" s="873" t="s">
        <v>5102</v>
      </c>
    </row>
    <row r="7" spans="1:31" s="851" customFormat="1" ht="12" x14ac:dyDescent="0.2">
      <c r="A7" s="874">
        <v>1</v>
      </c>
      <c r="B7" s="874">
        <v>2</v>
      </c>
      <c r="C7" s="874">
        <v>3</v>
      </c>
      <c r="D7" s="874">
        <v>4</v>
      </c>
      <c r="E7" s="874">
        <v>5</v>
      </c>
      <c r="F7" s="874">
        <v>6</v>
      </c>
      <c r="G7" s="874">
        <v>7</v>
      </c>
      <c r="H7" s="874">
        <v>8</v>
      </c>
      <c r="I7" s="874">
        <v>9</v>
      </c>
      <c r="J7" s="874">
        <v>10</v>
      </c>
      <c r="K7" s="874">
        <v>11</v>
      </c>
      <c r="L7" s="874">
        <v>12</v>
      </c>
      <c r="M7" s="874">
        <v>13</v>
      </c>
      <c r="N7" s="874">
        <v>14</v>
      </c>
      <c r="O7" s="874">
        <v>15</v>
      </c>
      <c r="P7" s="874">
        <v>16</v>
      </c>
      <c r="Q7" s="874">
        <v>17</v>
      </c>
      <c r="R7" s="874">
        <v>18</v>
      </c>
      <c r="S7" s="874">
        <v>19</v>
      </c>
      <c r="T7" s="874">
        <v>20</v>
      </c>
      <c r="U7" s="874">
        <v>21</v>
      </c>
      <c r="V7" s="874">
        <v>22</v>
      </c>
      <c r="W7" s="874">
        <v>23</v>
      </c>
      <c r="X7" s="874">
        <v>24</v>
      </c>
      <c r="Y7" s="874">
        <v>25</v>
      </c>
      <c r="Z7" s="874">
        <v>26</v>
      </c>
      <c r="AA7" s="874">
        <v>27</v>
      </c>
      <c r="AB7" s="874">
        <v>28</v>
      </c>
      <c r="AC7" s="874">
        <v>29</v>
      </c>
      <c r="AD7" s="874">
        <v>30</v>
      </c>
    </row>
    <row r="8" spans="1:31" s="858" customFormat="1" ht="120" x14ac:dyDescent="0.2">
      <c r="A8" s="175">
        <v>1</v>
      </c>
      <c r="B8" s="175" t="s">
        <v>17236</v>
      </c>
      <c r="C8" s="852"/>
      <c r="D8" s="852" t="s">
        <v>17237</v>
      </c>
      <c r="E8" s="853"/>
      <c r="F8" s="852" t="s">
        <v>17237</v>
      </c>
      <c r="G8" s="852" t="s">
        <v>17238</v>
      </c>
      <c r="H8" s="853"/>
      <c r="I8" s="853"/>
      <c r="J8" s="853"/>
      <c r="K8" s="10"/>
      <c r="L8" s="852" t="s">
        <v>4296</v>
      </c>
      <c r="M8" s="10" t="s">
        <v>3793</v>
      </c>
      <c r="N8" s="175"/>
      <c r="O8" s="852" t="s">
        <v>3136</v>
      </c>
      <c r="P8" s="15">
        <v>44187</v>
      </c>
      <c r="Q8" s="289">
        <v>1095</v>
      </c>
      <c r="R8" s="854">
        <v>40840</v>
      </c>
      <c r="S8" s="855">
        <v>2907020</v>
      </c>
      <c r="T8" s="11">
        <v>0</v>
      </c>
      <c r="U8" s="11">
        <f>S8-T8</f>
        <v>2907020</v>
      </c>
      <c r="V8" s="856"/>
      <c r="W8" s="852" t="s">
        <v>11222</v>
      </c>
      <c r="X8" s="857">
        <v>40840</v>
      </c>
      <c r="Y8" s="10" t="s">
        <v>17239</v>
      </c>
      <c r="Z8" s="853"/>
      <c r="AA8" s="853"/>
      <c r="AB8" s="853"/>
      <c r="AC8" s="853"/>
      <c r="AD8" s="853"/>
    </row>
    <row r="9" spans="1:31" s="858" customFormat="1" ht="84" x14ac:dyDescent="0.2">
      <c r="A9" s="175">
        <v>2</v>
      </c>
      <c r="B9" s="175" t="s">
        <v>17240</v>
      </c>
      <c r="C9" s="852"/>
      <c r="D9" s="852" t="s">
        <v>17241</v>
      </c>
      <c r="E9" s="853"/>
      <c r="F9" s="852" t="s">
        <v>17242</v>
      </c>
      <c r="G9" s="852"/>
      <c r="H9" s="853"/>
      <c r="I9" s="853"/>
      <c r="J9" s="853"/>
      <c r="K9" s="10"/>
      <c r="L9" s="852" t="s">
        <v>2042</v>
      </c>
      <c r="M9" s="10" t="s">
        <v>10784</v>
      </c>
      <c r="N9" s="175"/>
      <c r="O9" s="852" t="s">
        <v>3136</v>
      </c>
      <c r="P9" s="14">
        <v>44433</v>
      </c>
      <c r="Q9" s="289">
        <v>614</v>
      </c>
      <c r="R9" s="854"/>
      <c r="S9" s="855">
        <v>15357124</v>
      </c>
      <c r="T9" s="11">
        <v>0</v>
      </c>
      <c r="U9" s="11">
        <f>S9-T9</f>
        <v>15357124</v>
      </c>
      <c r="V9" s="856"/>
      <c r="W9" s="852" t="s">
        <v>11222</v>
      </c>
      <c r="X9" s="857" t="s">
        <v>17243</v>
      </c>
      <c r="Y9" s="10" t="s">
        <v>17244</v>
      </c>
      <c r="Z9" s="853"/>
      <c r="AA9" s="853"/>
      <c r="AB9" s="853"/>
      <c r="AC9" s="853"/>
      <c r="AD9" s="853"/>
    </row>
    <row r="10" spans="1:31" s="858" customFormat="1" ht="96" x14ac:dyDescent="0.2">
      <c r="A10" s="175">
        <v>3</v>
      </c>
      <c r="B10" s="175" t="s">
        <v>17245</v>
      </c>
      <c r="C10" s="852" t="s">
        <v>17246</v>
      </c>
      <c r="D10" s="852" t="s">
        <v>17247</v>
      </c>
      <c r="E10" s="853"/>
      <c r="F10" s="852" t="s">
        <v>17248</v>
      </c>
      <c r="G10" s="852"/>
      <c r="H10" s="853"/>
      <c r="I10" s="853"/>
      <c r="J10" s="853"/>
      <c r="K10" s="10"/>
      <c r="L10" s="852" t="s">
        <v>2042</v>
      </c>
      <c r="M10" s="10" t="s">
        <v>10784</v>
      </c>
      <c r="N10" s="175"/>
      <c r="O10" s="852" t="s">
        <v>17249</v>
      </c>
      <c r="P10" s="14" t="s">
        <v>17250</v>
      </c>
      <c r="Q10" s="289" t="s">
        <v>17251</v>
      </c>
      <c r="R10" s="854"/>
      <c r="S10" s="855">
        <v>5739003.0199999996</v>
      </c>
      <c r="T10" s="11">
        <v>0</v>
      </c>
      <c r="U10" s="11">
        <f>S10-T10</f>
        <v>5739003.0199999996</v>
      </c>
      <c r="V10" s="856"/>
      <c r="W10" s="852" t="s">
        <v>11222</v>
      </c>
      <c r="X10" s="857" t="s">
        <v>17252</v>
      </c>
      <c r="Y10" s="10" t="s">
        <v>17253</v>
      </c>
      <c r="Z10" s="853"/>
      <c r="AA10" s="853"/>
      <c r="AB10" s="853"/>
      <c r="AC10" s="853"/>
      <c r="AD10" s="853"/>
    </row>
    <row r="11" spans="1:31" s="859" customFormat="1" ht="11.25" x14ac:dyDescent="0.2">
      <c r="S11" s="875">
        <f>SUM(S8:S10)</f>
        <v>24003147.02</v>
      </c>
    </row>
    <row r="12" spans="1:31" s="859" customFormat="1" ht="11.25" x14ac:dyDescent="0.2"/>
    <row r="13" spans="1:31" s="859" customFormat="1" ht="11.25" x14ac:dyDescent="0.2"/>
    <row r="14" spans="1:31" s="859" customFormat="1" ht="11.25" x14ac:dyDescent="0.2"/>
    <row r="15" spans="1:31" s="859" customFormat="1" ht="11.25" x14ac:dyDescent="0.2"/>
    <row r="16" spans="1:31" s="859" customFormat="1" ht="11.25" x14ac:dyDescent="0.2"/>
    <row r="17" spans="5:5" s="859" customFormat="1" ht="11.25" x14ac:dyDescent="0.2"/>
    <row r="18" spans="5:5" s="859" customFormat="1" ht="11.25" x14ac:dyDescent="0.2"/>
    <row r="19" spans="5:5" x14ac:dyDescent="0.2">
      <c r="E19" s="219"/>
    </row>
  </sheetData>
  <mergeCells count="21">
    <mergeCell ref="W5:Y5"/>
    <mergeCell ref="Z5:AB5"/>
    <mergeCell ref="AC5:AD5"/>
    <mergeCell ref="O5:Q5"/>
    <mergeCell ref="R5:R6"/>
    <mergeCell ref="S5:S6"/>
    <mergeCell ref="T5:T6"/>
    <mergeCell ref="U5:U6"/>
    <mergeCell ref="V5:V6"/>
    <mergeCell ref="G5:G6"/>
    <mergeCell ref="H5:J5"/>
    <mergeCell ref="K5:K6"/>
    <mergeCell ref="L5:L6"/>
    <mergeCell ref="M5:M6"/>
    <mergeCell ref="N5:N6"/>
    <mergeCell ref="A5:A6"/>
    <mergeCell ref="B5:B6"/>
    <mergeCell ref="C5:C6"/>
    <mergeCell ref="D5:D6"/>
    <mergeCell ref="E5:E6"/>
    <mergeCell ref="F5:F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V403"/>
  <sheetViews>
    <sheetView topLeftCell="D1" zoomScale="110" zoomScaleNormal="110" workbookViewId="0">
      <pane ySplit="7" topLeftCell="A8" activePane="bottomLeft" state="frozen"/>
      <selection pane="bottomLeft" activeCell="W5" sqref="A5:XFD7"/>
    </sheetView>
  </sheetViews>
  <sheetFormatPr defaultColWidth="9.140625" defaultRowHeight="12.75" x14ac:dyDescent="0.2"/>
  <cols>
    <col min="1" max="1" width="3.7109375" style="90" customWidth="1"/>
    <col min="2" max="2" width="7.7109375" style="90" customWidth="1"/>
    <col min="3" max="3" width="10.85546875" style="90" customWidth="1"/>
    <col min="4" max="4" width="22.140625" style="6" customWidth="1"/>
    <col min="5" max="5" width="17.140625" style="146" customWidth="1"/>
    <col min="6" max="6" width="11.7109375" style="6" customWidth="1"/>
    <col min="7" max="7" width="9.140625" style="6" customWidth="1"/>
    <col min="8" max="8" width="13.140625" style="6" customWidth="1"/>
    <col min="9" max="9" width="11.5703125" style="90" customWidth="1"/>
    <col min="10" max="10" width="10.28515625" style="6" customWidth="1"/>
    <col min="11" max="11" width="12.140625" style="90" customWidth="1"/>
    <col min="12" max="12" width="12.42578125" style="90" customWidth="1"/>
    <col min="13" max="13" width="11.5703125" style="90" customWidth="1"/>
    <col min="14" max="14" width="13" style="90" customWidth="1"/>
    <col min="15" max="15" width="12.140625" style="90" customWidth="1"/>
    <col min="16" max="16" width="10" style="90" customWidth="1"/>
    <col min="17" max="17" width="12.42578125" style="90" customWidth="1"/>
    <col min="18" max="18" width="9.28515625" style="90" customWidth="1"/>
    <col min="19" max="19" width="5.5703125" style="90" customWidth="1"/>
    <col min="20" max="20" width="12.28515625" style="90" customWidth="1"/>
    <col min="21" max="21" width="9.7109375" style="90" customWidth="1"/>
    <col min="22" max="22" width="9.5703125" style="7" customWidth="1"/>
    <col min="23" max="16384" width="9.140625" style="6"/>
  </cols>
  <sheetData>
    <row r="1" spans="1:22" ht="11.25" customHeight="1" x14ac:dyDescent="0.25">
      <c r="A1" s="293"/>
      <c r="B1" s="293"/>
      <c r="C1" s="293"/>
      <c r="D1" s="89"/>
      <c r="T1" s="288"/>
      <c r="U1" s="288"/>
      <c r="V1" s="5"/>
    </row>
    <row r="2" spans="1:22" ht="19.5" customHeight="1" x14ac:dyDescent="0.25">
      <c r="A2" s="293" t="s">
        <v>1775</v>
      </c>
      <c r="B2" s="293"/>
      <c r="C2" s="283"/>
      <c r="D2" s="89"/>
      <c r="P2" s="292"/>
      <c r="Q2" s="292"/>
      <c r="R2" s="292"/>
      <c r="S2" s="292"/>
      <c r="T2" s="292"/>
      <c r="U2" s="288"/>
      <c r="V2" s="5"/>
    </row>
    <row r="3" spans="1:22" ht="18.75" x14ac:dyDescent="0.2">
      <c r="A3" s="91" t="s">
        <v>6353</v>
      </c>
      <c r="B3" s="91"/>
      <c r="C3" s="287"/>
      <c r="D3" s="92"/>
      <c r="P3" s="199"/>
      <c r="Q3" s="199"/>
      <c r="R3" s="199"/>
      <c r="S3" s="199"/>
      <c r="T3" s="199"/>
      <c r="V3" s="5"/>
    </row>
    <row r="4" spans="1:22" ht="10.5" customHeight="1" x14ac:dyDescent="0.2">
      <c r="B4" s="90" t="s">
        <v>3211</v>
      </c>
    </row>
    <row r="5" spans="1:22" s="18" customFormat="1" ht="42" customHeight="1" x14ac:dyDescent="0.2">
      <c r="A5" s="316" t="s">
        <v>3972</v>
      </c>
      <c r="B5" s="316" t="s">
        <v>6165</v>
      </c>
      <c r="C5" s="316" t="s">
        <v>4298</v>
      </c>
      <c r="D5" s="316" t="s">
        <v>4100</v>
      </c>
      <c r="E5" s="316" t="s">
        <v>1119</v>
      </c>
      <c r="F5" s="316" t="s">
        <v>5638</v>
      </c>
      <c r="G5" s="316" t="s">
        <v>36</v>
      </c>
      <c r="H5" s="316" t="s">
        <v>37</v>
      </c>
      <c r="I5" s="316" t="s">
        <v>5722</v>
      </c>
      <c r="J5" s="316" t="s">
        <v>5405</v>
      </c>
      <c r="K5" s="317" t="s">
        <v>1184</v>
      </c>
      <c r="L5" s="317"/>
      <c r="M5" s="317"/>
      <c r="N5" s="316" t="s">
        <v>2417</v>
      </c>
      <c r="O5" s="316" t="s">
        <v>5331</v>
      </c>
      <c r="P5" s="316" t="s">
        <v>2418</v>
      </c>
      <c r="Q5" s="316" t="s">
        <v>3130</v>
      </c>
      <c r="R5" s="316"/>
      <c r="S5" s="316"/>
      <c r="T5" s="316" t="s">
        <v>6338</v>
      </c>
      <c r="U5" s="316"/>
      <c r="V5" s="316"/>
    </row>
    <row r="6" spans="1:22" s="18" customFormat="1" ht="36" customHeight="1" x14ac:dyDescent="0.2">
      <c r="A6" s="316"/>
      <c r="B6" s="316"/>
      <c r="C6" s="316"/>
      <c r="D6" s="316"/>
      <c r="E6" s="316"/>
      <c r="F6" s="316"/>
      <c r="G6" s="316"/>
      <c r="H6" s="316"/>
      <c r="I6" s="316"/>
      <c r="J6" s="316"/>
      <c r="K6" s="285" t="s">
        <v>38</v>
      </c>
      <c r="L6" s="285" t="s">
        <v>5794</v>
      </c>
      <c r="M6" s="285" t="s">
        <v>2252</v>
      </c>
      <c r="N6" s="316"/>
      <c r="O6" s="316"/>
      <c r="P6" s="316"/>
      <c r="Q6" s="285" t="s">
        <v>3771</v>
      </c>
      <c r="R6" s="285" t="s">
        <v>1598</v>
      </c>
      <c r="S6" s="285" t="s">
        <v>3131</v>
      </c>
      <c r="T6" s="289" t="s">
        <v>3771</v>
      </c>
      <c r="U6" s="289" t="s">
        <v>1598</v>
      </c>
      <c r="V6" s="289" t="s">
        <v>3131</v>
      </c>
    </row>
    <row r="7" spans="1:22" s="18" customFormat="1" ht="12" x14ac:dyDescent="0.2">
      <c r="A7" s="285">
        <v>1</v>
      </c>
      <c r="B7" s="289">
        <v>2</v>
      </c>
      <c r="C7" s="289">
        <v>3</v>
      </c>
      <c r="D7" s="289">
        <v>4</v>
      </c>
      <c r="E7" s="285">
        <v>5</v>
      </c>
      <c r="F7" s="289">
        <v>6</v>
      </c>
      <c r="G7" s="289">
        <v>7</v>
      </c>
      <c r="H7" s="289">
        <v>8</v>
      </c>
      <c r="I7" s="289">
        <v>9</v>
      </c>
      <c r="J7" s="289">
        <v>10</v>
      </c>
      <c r="K7" s="289">
        <v>11</v>
      </c>
      <c r="L7" s="289">
        <v>12</v>
      </c>
      <c r="M7" s="289">
        <v>13</v>
      </c>
      <c r="N7" s="289">
        <v>14</v>
      </c>
      <c r="O7" s="289">
        <v>15</v>
      </c>
      <c r="P7" s="289">
        <v>16</v>
      </c>
      <c r="Q7" s="289">
        <v>17</v>
      </c>
      <c r="R7" s="289">
        <v>18</v>
      </c>
      <c r="S7" s="289">
        <v>19</v>
      </c>
      <c r="T7" s="289">
        <v>20</v>
      </c>
      <c r="U7" s="289">
        <v>21</v>
      </c>
      <c r="V7" s="289">
        <v>22</v>
      </c>
    </row>
    <row r="8" spans="1:22" s="19" customFormat="1" ht="48" customHeight="1" x14ac:dyDescent="0.2">
      <c r="A8" s="20">
        <v>1</v>
      </c>
      <c r="B8" s="60" t="s">
        <v>7919</v>
      </c>
      <c r="C8" s="60"/>
      <c r="D8" s="54" t="s">
        <v>12060</v>
      </c>
      <c r="E8" s="37" t="s">
        <v>12061</v>
      </c>
      <c r="F8" s="86" t="s">
        <v>5708</v>
      </c>
      <c r="G8" s="20" t="s">
        <v>847</v>
      </c>
      <c r="H8" s="87" t="s">
        <v>3625</v>
      </c>
      <c r="I8" s="20">
        <v>2001</v>
      </c>
      <c r="J8" s="57">
        <v>39814</v>
      </c>
      <c r="K8" s="62">
        <v>209622</v>
      </c>
      <c r="L8" s="62">
        <f t="shared" ref="L8:L16" si="0">K8-M8</f>
        <v>209622</v>
      </c>
      <c r="M8" s="62">
        <v>0</v>
      </c>
      <c r="N8" s="37" t="s">
        <v>4877</v>
      </c>
      <c r="O8" s="71" t="s">
        <v>3793</v>
      </c>
      <c r="P8" s="37"/>
      <c r="Q8" s="37" t="s">
        <v>3136</v>
      </c>
      <c r="R8" s="32">
        <v>43095</v>
      </c>
      <c r="S8" s="65" t="s">
        <v>7962</v>
      </c>
      <c r="T8" s="68" t="s">
        <v>4354</v>
      </c>
      <c r="U8" s="88">
        <v>37158</v>
      </c>
      <c r="V8" s="39"/>
    </row>
    <row r="9" spans="1:22" s="19" customFormat="1" ht="60" customHeight="1" x14ac:dyDescent="0.2">
      <c r="A9" s="20">
        <v>2</v>
      </c>
      <c r="B9" s="12" t="s">
        <v>1776</v>
      </c>
      <c r="C9" s="12"/>
      <c r="D9" s="9" t="s">
        <v>8675</v>
      </c>
      <c r="E9" s="289" t="s">
        <v>8711</v>
      </c>
      <c r="F9" s="9" t="s">
        <v>8712</v>
      </c>
      <c r="G9" s="80">
        <v>1581138</v>
      </c>
      <c r="H9" s="80" t="s">
        <v>8713</v>
      </c>
      <c r="I9" s="289">
        <v>1993</v>
      </c>
      <c r="J9" s="57">
        <v>39814</v>
      </c>
      <c r="K9" s="40">
        <v>150358.37</v>
      </c>
      <c r="L9" s="40">
        <f t="shared" si="0"/>
        <v>150358.37</v>
      </c>
      <c r="M9" s="40">
        <v>0</v>
      </c>
      <c r="N9" s="285" t="s">
        <v>6266</v>
      </c>
      <c r="O9" s="22" t="s">
        <v>5127</v>
      </c>
      <c r="P9" s="22"/>
      <c r="Q9" s="37" t="s">
        <v>3136</v>
      </c>
      <c r="R9" s="22" t="s">
        <v>4470</v>
      </c>
      <c r="S9" s="22" t="s">
        <v>4471</v>
      </c>
      <c r="T9" s="285" t="s">
        <v>4677</v>
      </c>
      <c r="U9" s="22" t="s">
        <v>6339</v>
      </c>
      <c r="V9" s="285"/>
    </row>
    <row r="10" spans="1:22" s="19" customFormat="1" ht="44.25" customHeight="1" x14ac:dyDescent="0.2">
      <c r="A10" s="20">
        <v>3</v>
      </c>
      <c r="B10" s="12" t="s">
        <v>1777</v>
      </c>
      <c r="C10" s="12"/>
      <c r="D10" s="9" t="s">
        <v>8996</v>
      </c>
      <c r="E10" s="285" t="s">
        <v>12062</v>
      </c>
      <c r="F10" s="80">
        <v>1445397</v>
      </c>
      <c r="G10" s="80">
        <v>674874</v>
      </c>
      <c r="H10" s="80"/>
      <c r="I10" s="289">
        <v>1994</v>
      </c>
      <c r="J10" s="15">
        <v>39814</v>
      </c>
      <c r="K10" s="40">
        <v>159642.56</v>
      </c>
      <c r="L10" s="40">
        <f t="shared" si="0"/>
        <v>159642.56</v>
      </c>
      <c r="M10" s="40">
        <v>0</v>
      </c>
      <c r="N10" s="285" t="s">
        <v>4877</v>
      </c>
      <c r="O10" s="285" t="s">
        <v>3793</v>
      </c>
      <c r="P10" s="285"/>
      <c r="Q10" s="37" t="s">
        <v>3136</v>
      </c>
      <c r="R10" s="14">
        <v>43642</v>
      </c>
      <c r="S10" s="285">
        <v>531</v>
      </c>
      <c r="T10" s="285" t="s">
        <v>6340</v>
      </c>
      <c r="U10" s="15">
        <v>34454</v>
      </c>
      <c r="V10" s="39">
        <v>1989</v>
      </c>
    </row>
    <row r="11" spans="1:22" s="19" customFormat="1" ht="60.75" customHeight="1" x14ac:dyDescent="0.2">
      <c r="A11" s="20">
        <v>4</v>
      </c>
      <c r="B11" s="12" t="s">
        <v>1778</v>
      </c>
      <c r="C11" s="60"/>
      <c r="D11" s="54" t="s">
        <v>1779</v>
      </c>
      <c r="E11" s="285" t="s">
        <v>7430</v>
      </c>
      <c r="F11" s="81" t="s">
        <v>8715</v>
      </c>
      <c r="G11" s="81" t="s">
        <v>4328</v>
      </c>
      <c r="H11" s="84">
        <v>32210010043942</v>
      </c>
      <c r="I11" s="289">
        <v>2001</v>
      </c>
      <c r="J11" s="57">
        <v>39814</v>
      </c>
      <c r="K11" s="40">
        <v>260548.8</v>
      </c>
      <c r="L11" s="40">
        <f t="shared" si="0"/>
        <v>260548.8</v>
      </c>
      <c r="M11" s="40">
        <v>0</v>
      </c>
      <c r="N11" s="285" t="s">
        <v>6266</v>
      </c>
      <c r="O11" s="285" t="s">
        <v>5127</v>
      </c>
      <c r="P11" s="289"/>
      <c r="Q11" s="285" t="s">
        <v>3686</v>
      </c>
      <c r="R11" s="14">
        <v>41817</v>
      </c>
      <c r="S11" s="22" t="s">
        <v>4469</v>
      </c>
      <c r="T11" s="29" t="s">
        <v>4504</v>
      </c>
      <c r="U11" s="14" t="s">
        <v>1720</v>
      </c>
      <c r="V11" s="39" t="s">
        <v>6341</v>
      </c>
    </row>
    <row r="12" spans="1:22" s="19" customFormat="1" ht="42" customHeight="1" x14ac:dyDescent="0.2">
      <c r="A12" s="20">
        <v>5</v>
      </c>
      <c r="B12" s="12" t="s">
        <v>8466</v>
      </c>
      <c r="C12" s="12"/>
      <c r="D12" s="9" t="s">
        <v>8676</v>
      </c>
      <c r="E12" s="285" t="s">
        <v>12063</v>
      </c>
      <c r="F12" s="80">
        <v>242954</v>
      </c>
      <c r="G12" s="80">
        <v>9477</v>
      </c>
      <c r="H12" s="80" t="s">
        <v>1029</v>
      </c>
      <c r="I12" s="289">
        <v>1994</v>
      </c>
      <c r="J12" s="57">
        <v>39814</v>
      </c>
      <c r="K12" s="40">
        <v>105859.98</v>
      </c>
      <c r="L12" s="40">
        <f t="shared" si="0"/>
        <v>105859.98</v>
      </c>
      <c r="M12" s="40">
        <v>0</v>
      </c>
      <c r="N12" s="285" t="s">
        <v>4877</v>
      </c>
      <c r="O12" s="285" t="s">
        <v>3793</v>
      </c>
      <c r="P12" s="285"/>
      <c r="Q12" s="285" t="s">
        <v>3136</v>
      </c>
      <c r="R12" s="14">
        <v>43423</v>
      </c>
      <c r="S12" s="285">
        <v>1103</v>
      </c>
      <c r="T12" s="285" t="s">
        <v>5071</v>
      </c>
      <c r="U12" s="22" t="s">
        <v>4548</v>
      </c>
      <c r="V12" s="285"/>
    </row>
    <row r="13" spans="1:22" s="19" customFormat="1" ht="45.75" customHeight="1" x14ac:dyDescent="0.2">
      <c r="A13" s="20">
        <v>6</v>
      </c>
      <c r="B13" s="12" t="s">
        <v>8467</v>
      </c>
      <c r="C13" s="12"/>
      <c r="D13" s="9" t="s">
        <v>8777</v>
      </c>
      <c r="E13" s="285" t="s">
        <v>12064</v>
      </c>
      <c r="F13" s="80">
        <v>100588</v>
      </c>
      <c r="G13" s="80">
        <v>233135</v>
      </c>
      <c r="H13" s="80"/>
      <c r="I13" s="289">
        <v>1988</v>
      </c>
      <c r="J13" s="57">
        <v>40087</v>
      </c>
      <c r="K13" s="40">
        <v>43560</v>
      </c>
      <c r="L13" s="40">
        <f t="shared" si="0"/>
        <v>43560</v>
      </c>
      <c r="M13" s="40">
        <v>0</v>
      </c>
      <c r="N13" s="285" t="s">
        <v>4877</v>
      </c>
      <c r="O13" s="285" t="s">
        <v>3793</v>
      </c>
      <c r="P13" s="285"/>
      <c r="Q13" s="285" t="s">
        <v>3136</v>
      </c>
      <c r="R13" s="14">
        <v>43423</v>
      </c>
      <c r="S13" s="285">
        <v>1103</v>
      </c>
      <c r="T13" s="289" t="s">
        <v>3253</v>
      </c>
      <c r="U13" s="12" t="s">
        <v>4549</v>
      </c>
      <c r="V13" s="285">
        <v>24</v>
      </c>
    </row>
    <row r="14" spans="1:22" s="19" customFormat="1" ht="49.5" customHeight="1" x14ac:dyDescent="0.2">
      <c r="A14" s="20">
        <v>7</v>
      </c>
      <c r="B14" s="12" t="s">
        <v>8468</v>
      </c>
      <c r="C14" s="12"/>
      <c r="D14" s="9" t="s">
        <v>8677</v>
      </c>
      <c r="E14" s="285" t="s">
        <v>12065</v>
      </c>
      <c r="F14" s="80">
        <v>1776771</v>
      </c>
      <c r="G14" s="80">
        <v>1909</v>
      </c>
      <c r="H14" s="80"/>
      <c r="I14" s="289">
        <v>1983</v>
      </c>
      <c r="J14" s="57">
        <v>39722</v>
      </c>
      <c r="K14" s="40">
        <v>55165.97</v>
      </c>
      <c r="L14" s="40">
        <f t="shared" si="0"/>
        <v>55165.97</v>
      </c>
      <c r="M14" s="40">
        <v>0</v>
      </c>
      <c r="N14" s="285" t="s">
        <v>4877</v>
      </c>
      <c r="O14" s="285" t="s">
        <v>3793</v>
      </c>
      <c r="P14" s="285"/>
      <c r="Q14" s="285" t="s">
        <v>3136</v>
      </c>
      <c r="R14" s="14">
        <v>43423</v>
      </c>
      <c r="S14" s="285">
        <v>1103</v>
      </c>
      <c r="T14" s="285" t="s">
        <v>3136</v>
      </c>
      <c r="U14" s="15">
        <v>34449</v>
      </c>
      <c r="V14" s="39">
        <v>285</v>
      </c>
    </row>
    <row r="15" spans="1:22" s="19" customFormat="1" ht="31.5" customHeight="1" x14ac:dyDescent="0.2">
      <c r="A15" s="20">
        <v>8</v>
      </c>
      <c r="B15" s="12" t="s">
        <v>8469</v>
      </c>
      <c r="C15" s="12"/>
      <c r="D15" s="9" t="s">
        <v>8678</v>
      </c>
      <c r="E15" s="285" t="s">
        <v>12066</v>
      </c>
      <c r="F15" s="80">
        <v>2981602</v>
      </c>
      <c r="G15" s="66" t="s">
        <v>5090</v>
      </c>
      <c r="H15" s="80"/>
      <c r="I15" s="289">
        <v>1993</v>
      </c>
      <c r="J15" s="57">
        <v>39722</v>
      </c>
      <c r="K15" s="40">
        <v>25208.82</v>
      </c>
      <c r="L15" s="40">
        <f t="shared" si="0"/>
        <v>25208.82</v>
      </c>
      <c r="M15" s="40">
        <v>0</v>
      </c>
      <c r="N15" s="285" t="s">
        <v>4877</v>
      </c>
      <c r="O15" s="285" t="s">
        <v>3793</v>
      </c>
      <c r="P15" s="285"/>
      <c r="Q15" s="285" t="s">
        <v>3136</v>
      </c>
      <c r="R15" s="14">
        <v>43423</v>
      </c>
      <c r="S15" s="285">
        <v>1103</v>
      </c>
      <c r="T15" s="285" t="s">
        <v>5071</v>
      </c>
      <c r="U15" s="22" t="s">
        <v>5394</v>
      </c>
      <c r="V15" s="285"/>
    </row>
    <row r="16" spans="1:22" s="19" customFormat="1" ht="41.25" customHeight="1" x14ac:dyDescent="0.2">
      <c r="A16" s="20">
        <v>9</v>
      </c>
      <c r="B16" s="12" t="s">
        <v>8470</v>
      </c>
      <c r="C16" s="12"/>
      <c r="D16" s="9" t="s">
        <v>8778</v>
      </c>
      <c r="E16" s="285" t="s">
        <v>12067</v>
      </c>
      <c r="F16" s="80">
        <v>173946</v>
      </c>
      <c r="G16" s="80" t="s">
        <v>3152</v>
      </c>
      <c r="H16" s="80" t="s">
        <v>1029</v>
      </c>
      <c r="I16" s="289">
        <v>1994</v>
      </c>
      <c r="J16" s="57">
        <v>39722</v>
      </c>
      <c r="K16" s="40">
        <v>90726.58</v>
      </c>
      <c r="L16" s="40">
        <f t="shared" si="0"/>
        <v>90726.58</v>
      </c>
      <c r="M16" s="40">
        <v>0</v>
      </c>
      <c r="N16" s="285" t="s">
        <v>4877</v>
      </c>
      <c r="O16" s="285" t="s">
        <v>3793</v>
      </c>
      <c r="P16" s="285"/>
      <c r="Q16" s="285" t="s">
        <v>3136</v>
      </c>
      <c r="R16" s="14">
        <v>43423</v>
      </c>
      <c r="S16" s="285">
        <v>1103</v>
      </c>
      <c r="T16" s="285" t="s">
        <v>5071</v>
      </c>
      <c r="U16" s="22" t="s">
        <v>5394</v>
      </c>
      <c r="V16" s="285"/>
    </row>
    <row r="17" spans="1:22" s="19" customFormat="1" ht="43.5" customHeight="1" x14ac:dyDescent="0.2">
      <c r="A17" s="20">
        <v>10</v>
      </c>
      <c r="B17" s="12" t="s">
        <v>8471</v>
      </c>
      <c r="C17" s="12"/>
      <c r="D17" s="9" t="s">
        <v>8779</v>
      </c>
      <c r="E17" s="285" t="s">
        <v>12068</v>
      </c>
      <c r="F17" s="80">
        <v>178133</v>
      </c>
      <c r="G17" s="80">
        <v>3389537</v>
      </c>
      <c r="H17" s="80">
        <v>2049</v>
      </c>
      <c r="I17" s="289">
        <v>1994</v>
      </c>
      <c r="J17" s="57">
        <v>40179</v>
      </c>
      <c r="K17" s="40">
        <v>63371.62</v>
      </c>
      <c r="L17" s="40">
        <v>63371.62</v>
      </c>
      <c r="M17" s="40">
        <f>K17-L17</f>
        <v>0</v>
      </c>
      <c r="N17" s="285" t="s">
        <v>4877</v>
      </c>
      <c r="O17" s="285" t="s">
        <v>3793</v>
      </c>
      <c r="P17" s="285"/>
      <c r="Q17" s="285" t="s">
        <v>3136</v>
      </c>
      <c r="R17" s="14">
        <v>43423</v>
      </c>
      <c r="S17" s="285">
        <v>1103</v>
      </c>
      <c r="T17" s="285" t="s">
        <v>5071</v>
      </c>
      <c r="U17" s="22" t="s">
        <v>5394</v>
      </c>
      <c r="V17" s="285"/>
    </row>
    <row r="18" spans="1:22" s="19" customFormat="1" ht="30" customHeight="1" x14ac:dyDescent="0.2">
      <c r="A18" s="20">
        <v>11</v>
      </c>
      <c r="B18" s="12" t="s">
        <v>8472</v>
      </c>
      <c r="C18" s="12"/>
      <c r="D18" s="9" t="s">
        <v>8780</v>
      </c>
      <c r="E18" s="285" t="s">
        <v>12069</v>
      </c>
      <c r="F18" s="80">
        <v>96606</v>
      </c>
      <c r="G18" s="80">
        <v>110278</v>
      </c>
      <c r="H18" s="80" t="s">
        <v>1029</v>
      </c>
      <c r="I18" s="289">
        <v>1988</v>
      </c>
      <c r="J18" s="57">
        <v>39722</v>
      </c>
      <c r="K18" s="40">
        <v>20684.87</v>
      </c>
      <c r="L18" s="40">
        <f t="shared" ref="L18:L27" si="1">K18-M18</f>
        <v>20684.87</v>
      </c>
      <c r="M18" s="40">
        <v>0</v>
      </c>
      <c r="N18" s="285" t="s">
        <v>4877</v>
      </c>
      <c r="O18" s="285" t="s">
        <v>3793</v>
      </c>
      <c r="P18" s="285"/>
      <c r="Q18" s="285" t="s">
        <v>3136</v>
      </c>
      <c r="R18" s="14">
        <v>43423</v>
      </c>
      <c r="S18" s="285">
        <v>1103</v>
      </c>
      <c r="T18" s="285" t="s">
        <v>4126</v>
      </c>
      <c r="U18" s="14">
        <v>37144</v>
      </c>
      <c r="V18" s="289">
        <v>1112</v>
      </c>
    </row>
    <row r="19" spans="1:22" s="19" customFormat="1" ht="39.75" customHeight="1" x14ac:dyDescent="0.2">
      <c r="A19" s="20">
        <v>12</v>
      </c>
      <c r="B19" s="12" t="s">
        <v>8473</v>
      </c>
      <c r="C19" s="12"/>
      <c r="D19" s="9" t="s">
        <v>8781</v>
      </c>
      <c r="E19" s="285" t="s">
        <v>12070</v>
      </c>
      <c r="F19" s="80" t="s">
        <v>8491</v>
      </c>
      <c r="G19" s="80">
        <v>1927157</v>
      </c>
      <c r="H19" s="80" t="s">
        <v>3315</v>
      </c>
      <c r="I19" s="289">
        <v>1981</v>
      </c>
      <c r="J19" s="57">
        <v>39722</v>
      </c>
      <c r="K19" s="40">
        <v>18516.79</v>
      </c>
      <c r="L19" s="40">
        <f t="shared" si="1"/>
        <v>18516.79</v>
      </c>
      <c r="M19" s="40">
        <v>0</v>
      </c>
      <c r="N19" s="285" t="s">
        <v>4877</v>
      </c>
      <c r="O19" s="285" t="s">
        <v>3793</v>
      </c>
      <c r="P19" s="285"/>
      <c r="Q19" s="285" t="s">
        <v>3136</v>
      </c>
      <c r="R19" s="14">
        <v>43423</v>
      </c>
      <c r="S19" s="285">
        <v>1103</v>
      </c>
      <c r="T19" s="285" t="s">
        <v>4127</v>
      </c>
      <c r="U19" s="15">
        <v>34513</v>
      </c>
      <c r="V19" s="39">
        <v>194</v>
      </c>
    </row>
    <row r="20" spans="1:22" s="19" customFormat="1" ht="31.5" customHeight="1" x14ac:dyDescent="0.2">
      <c r="A20" s="20">
        <v>13</v>
      </c>
      <c r="B20" s="12" t="s">
        <v>8474</v>
      </c>
      <c r="C20" s="12"/>
      <c r="D20" s="9" t="s">
        <v>8679</v>
      </c>
      <c r="E20" s="285" t="s">
        <v>12071</v>
      </c>
      <c r="F20" s="80">
        <v>222700</v>
      </c>
      <c r="G20" s="285" t="s">
        <v>1373</v>
      </c>
      <c r="H20" s="80"/>
      <c r="I20" s="285">
        <v>1994</v>
      </c>
      <c r="J20" s="57">
        <v>39722</v>
      </c>
      <c r="K20" s="40">
        <v>63257.64</v>
      </c>
      <c r="L20" s="40">
        <f t="shared" si="1"/>
        <v>63257.64</v>
      </c>
      <c r="M20" s="40">
        <v>0</v>
      </c>
      <c r="N20" s="285" t="s">
        <v>4877</v>
      </c>
      <c r="O20" s="285" t="s">
        <v>3793</v>
      </c>
      <c r="P20" s="285"/>
      <c r="Q20" s="285" t="s">
        <v>3136</v>
      </c>
      <c r="R20" s="14">
        <v>43423</v>
      </c>
      <c r="S20" s="285">
        <v>1103</v>
      </c>
      <c r="T20" s="285" t="s">
        <v>2829</v>
      </c>
      <c r="U20" s="289" t="s">
        <v>57</v>
      </c>
      <c r="V20" s="289">
        <v>41</v>
      </c>
    </row>
    <row r="21" spans="1:22" s="19" customFormat="1" ht="28.5" customHeight="1" x14ac:dyDescent="0.2">
      <c r="A21" s="20">
        <v>14</v>
      </c>
      <c r="B21" s="12" t="s">
        <v>8475</v>
      </c>
      <c r="C21" s="12"/>
      <c r="D21" s="9" t="s">
        <v>8680</v>
      </c>
      <c r="E21" s="285" t="s">
        <v>12072</v>
      </c>
      <c r="F21" s="80">
        <v>230342</v>
      </c>
      <c r="G21" s="80">
        <v>543984</v>
      </c>
      <c r="H21" s="80"/>
      <c r="I21" s="289">
        <v>1987</v>
      </c>
      <c r="J21" s="57">
        <v>39722</v>
      </c>
      <c r="K21" s="40">
        <v>46563.23</v>
      </c>
      <c r="L21" s="40">
        <f t="shared" si="1"/>
        <v>46563.23</v>
      </c>
      <c r="M21" s="40">
        <v>0</v>
      </c>
      <c r="N21" s="285" t="s">
        <v>4877</v>
      </c>
      <c r="O21" s="285" t="s">
        <v>3793</v>
      </c>
      <c r="P21" s="285"/>
      <c r="Q21" s="285" t="s">
        <v>3136</v>
      </c>
      <c r="R21" s="14">
        <v>43423</v>
      </c>
      <c r="S21" s="285">
        <v>1103</v>
      </c>
      <c r="T21" s="285" t="s">
        <v>2829</v>
      </c>
      <c r="U21" s="289" t="s">
        <v>57</v>
      </c>
      <c r="V21" s="289">
        <v>41</v>
      </c>
    </row>
    <row r="22" spans="1:22" s="19" customFormat="1" ht="33" customHeight="1" x14ac:dyDescent="0.2">
      <c r="A22" s="20">
        <v>15</v>
      </c>
      <c r="B22" s="12" t="s">
        <v>8476</v>
      </c>
      <c r="C22" s="12"/>
      <c r="D22" s="9" t="s">
        <v>8681</v>
      </c>
      <c r="E22" s="285" t="s">
        <v>12073</v>
      </c>
      <c r="F22" s="81" t="s">
        <v>8716</v>
      </c>
      <c r="G22" s="9"/>
      <c r="H22" s="80"/>
      <c r="I22" s="285">
        <v>1988</v>
      </c>
      <c r="J22" s="57">
        <v>39722</v>
      </c>
      <c r="K22" s="40">
        <v>186995.57</v>
      </c>
      <c r="L22" s="40">
        <f t="shared" si="1"/>
        <v>186995.57</v>
      </c>
      <c r="M22" s="40">
        <v>0</v>
      </c>
      <c r="N22" s="285" t="s">
        <v>4877</v>
      </c>
      <c r="O22" s="285" t="s">
        <v>3793</v>
      </c>
      <c r="P22" s="285"/>
      <c r="Q22" s="285" t="s">
        <v>3136</v>
      </c>
      <c r="R22" s="14">
        <v>43423</v>
      </c>
      <c r="S22" s="285">
        <v>1103</v>
      </c>
      <c r="T22" s="285" t="s">
        <v>2829</v>
      </c>
      <c r="U22" s="289" t="s">
        <v>57</v>
      </c>
      <c r="V22" s="289">
        <v>41</v>
      </c>
    </row>
    <row r="23" spans="1:22" s="19" customFormat="1" ht="34.5" customHeight="1" x14ac:dyDescent="0.2">
      <c r="A23" s="20">
        <v>16</v>
      </c>
      <c r="B23" s="12" t="s">
        <v>3217</v>
      </c>
      <c r="C23" s="12"/>
      <c r="D23" s="9" t="s">
        <v>8782</v>
      </c>
      <c r="E23" s="289" t="s">
        <v>5403</v>
      </c>
      <c r="F23" s="13">
        <v>2655090</v>
      </c>
      <c r="G23" s="80">
        <v>461431</v>
      </c>
      <c r="H23" s="80"/>
      <c r="I23" s="285">
        <v>1989</v>
      </c>
      <c r="J23" s="15">
        <v>38718</v>
      </c>
      <c r="K23" s="40">
        <v>75911.98</v>
      </c>
      <c r="L23" s="40">
        <f t="shared" si="1"/>
        <v>75911.98</v>
      </c>
      <c r="M23" s="40">
        <v>0</v>
      </c>
      <c r="N23" s="285" t="s">
        <v>4296</v>
      </c>
      <c r="O23" s="285" t="s">
        <v>3793</v>
      </c>
      <c r="P23" s="289"/>
      <c r="Q23" s="285" t="s">
        <v>3136</v>
      </c>
      <c r="R23" s="14">
        <v>41079</v>
      </c>
      <c r="S23" s="285">
        <v>591</v>
      </c>
      <c r="T23" s="285" t="s">
        <v>2829</v>
      </c>
      <c r="U23" s="289" t="s">
        <v>57</v>
      </c>
      <c r="V23" s="289">
        <v>41</v>
      </c>
    </row>
    <row r="24" spans="1:22" s="19" customFormat="1" ht="33" customHeight="1" x14ac:dyDescent="0.2">
      <c r="A24" s="20">
        <v>17</v>
      </c>
      <c r="B24" s="12" t="s">
        <v>8477</v>
      </c>
      <c r="C24" s="12"/>
      <c r="D24" s="9" t="s">
        <v>12075</v>
      </c>
      <c r="E24" s="285" t="s">
        <v>12074</v>
      </c>
      <c r="F24" s="13">
        <v>2485144</v>
      </c>
      <c r="G24" s="80">
        <v>308165</v>
      </c>
      <c r="H24" s="80"/>
      <c r="I24" s="289" t="s">
        <v>2139</v>
      </c>
      <c r="J24" s="57">
        <v>39722</v>
      </c>
      <c r="K24" s="40">
        <v>37500.46</v>
      </c>
      <c r="L24" s="40">
        <f t="shared" si="1"/>
        <v>37500.46</v>
      </c>
      <c r="M24" s="40">
        <v>0</v>
      </c>
      <c r="N24" s="285" t="s">
        <v>4877</v>
      </c>
      <c r="O24" s="285" t="s">
        <v>3793</v>
      </c>
      <c r="P24" s="285"/>
      <c r="Q24" s="285" t="s">
        <v>3136</v>
      </c>
      <c r="R24" s="14">
        <v>43423</v>
      </c>
      <c r="S24" s="285">
        <v>1103</v>
      </c>
      <c r="T24" s="285" t="s">
        <v>2829</v>
      </c>
      <c r="U24" s="289" t="s">
        <v>57</v>
      </c>
      <c r="V24" s="289">
        <v>41</v>
      </c>
    </row>
    <row r="25" spans="1:22" s="19" customFormat="1" ht="33" customHeight="1" x14ac:dyDescent="0.2">
      <c r="A25" s="20">
        <v>18</v>
      </c>
      <c r="B25" s="12" t="s">
        <v>8478</v>
      </c>
      <c r="C25" s="12"/>
      <c r="D25" s="27" t="s">
        <v>8682</v>
      </c>
      <c r="E25" s="22" t="s">
        <v>12076</v>
      </c>
      <c r="F25" s="23" t="s">
        <v>12077</v>
      </c>
      <c r="G25" s="23" t="s">
        <v>3324</v>
      </c>
      <c r="H25" s="23"/>
      <c r="I25" s="22" t="s">
        <v>1823</v>
      </c>
      <c r="J25" s="57">
        <v>39722</v>
      </c>
      <c r="K25" s="17">
        <v>46509.47</v>
      </c>
      <c r="L25" s="40">
        <f t="shared" si="1"/>
        <v>46509.47</v>
      </c>
      <c r="M25" s="40">
        <v>0</v>
      </c>
      <c r="N25" s="285" t="s">
        <v>4877</v>
      </c>
      <c r="O25" s="285" t="s">
        <v>3793</v>
      </c>
      <c r="P25" s="285"/>
      <c r="Q25" s="285" t="s">
        <v>3136</v>
      </c>
      <c r="R25" s="14">
        <v>43423</v>
      </c>
      <c r="S25" s="285">
        <v>1103</v>
      </c>
      <c r="T25" s="285" t="s">
        <v>2829</v>
      </c>
      <c r="U25" s="289" t="s">
        <v>57</v>
      </c>
      <c r="V25" s="289">
        <v>41</v>
      </c>
    </row>
    <row r="26" spans="1:22" s="19" customFormat="1" ht="60.75" customHeight="1" x14ac:dyDescent="0.2">
      <c r="A26" s="20">
        <v>19</v>
      </c>
      <c r="B26" s="12" t="s">
        <v>5380</v>
      </c>
      <c r="C26" s="12"/>
      <c r="D26" s="27" t="s">
        <v>8683</v>
      </c>
      <c r="E26" s="22" t="s">
        <v>8717</v>
      </c>
      <c r="F26" s="23" t="s">
        <v>5728</v>
      </c>
      <c r="G26" s="23" t="s">
        <v>1037</v>
      </c>
      <c r="H26" s="23" t="s">
        <v>1029</v>
      </c>
      <c r="I26" s="22" t="s">
        <v>2091</v>
      </c>
      <c r="J26" s="57">
        <v>39722</v>
      </c>
      <c r="K26" s="17">
        <v>78230.52</v>
      </c>
      <c r="L26" s="40">
        <f t="shared" si="1"/>
        <v>78230.52</v>
      </c>
      <c r="M26" s="17">
        <v>0</v>
      </c>
      <c r="N26" s="285" t="s">
        <v>4296</v>
      </c>
      <c r="O26" s="285" t="s">
        <v>3793</v>
      </c>
      <c r="P26" s="285"/>
      <c r="Q26" s="285" t="s">
        <v>3136</v>
      </c>
      <c r="R26" s="14">
        <v>42086</v>
      </c>
      <c r="S26" s="285">
        <v>281</v>
      </c>
      <c r="T26" s="285" t="s">
        <v>2829</v>
      </c>
      <c r="U26" s="289" t="s">
        <v>57</v>
      </c>
      <c r="V26" s="289">
        <v>41</v>
      </c>
    </row>
    <row r="27" spans="1:22" s="19" customFormat="1" ht="83.25" customHeight="1" x14ac:dyDescent="0.2">
      <c r="A27" s="20">
        <v>20</v>
      </c>
      <c r="B27" s="12" t="s">
        <v>8418</v>
      </c>
      <c r="C27" s="12"/>
      <c r="D27" s="27" t="s">
        <v>8684</v>
      </c>
      <c r="E27" s="22" t="s">
        <v>8718</v>
      </c>
      <c r="F27" s="23" t="s">
        <v>8719</v>
      </c>
      <c r="G27" s="23" t="s">
        <v>8720</v>
      </c>
      <c r="H27" s="23" t="s">
        <v>6152</v>
      </c>
      <c r="I27" s="22" t="s">
        <v>5027</v>
      </c>
      <c r="J27" s="57">
        <v>39722</v>
      </c>
      <c r="K27" s="17">
        <v>11296.34</v>
      </c>
      <c r="L27" s="40">
        <f t="shared" si="1"/>
        <v>11296.34</v>
      </c>
      <c r="M27" s="17">
        <v>0</v>
      </c>
      <c r="N27" s="285" t="s">
        <v>4296</v>
      </c>
      <c r="O27" s="285" t="s">
        <v>3793</v>
      </c>
      <c r="P27" s="285"/>
      <c r="Q27" s="285" t="s">
        <v>3136</v>
      </c>
      <c r="R27" s="14">
        <v>43397</v>
      </c>
      <c r="S27" s="285">
        <v>1033</v>
      </c>
      <c r="T27" s="285" t="s">
        <v>2829</v>
      </c>
      <c r="U27" s="289" t="s">
        <v>57</v>
      </c>
      <c r="V27" s="289">
        <v>41</v>
      </c>
    </row>
    <row r="28" spans="1:22" s="19" customFormat="1" ht="50.25" customHeight="1" x14ac:dyDescent="0.2">
      <c r="A28" s="20">
        <v>21</v>
      </c>
      <c r="B28" s="12" t="s">
        <v>8479</v>
      </c>
      <c r="C28" s="27"/>
      <c r="D28" s="27" t="s">
        <v>8783</v>
      </c>
      <c r="E28" s="22" t="s">
        <v>12078</v>
      </c>
      <c r="F28" s="23" t="s">
        <v>1347</v>
      </c>
      <c r="G28" s="23" t="s">
        <v>1348</v>
      </c>
      <c r="H28" s="23" t="s">
        <v>1029</v>
      </c>
      <c r="I28" s="22" t="s">
        <v>1346</v>
      </c>
      <c r="J28" s="57">
        <v>39722</v>
      </c>
      <c r="K28" s="17">
        <v>171044.03</v>
      </c>
      <c r="L28" s="40">
        <f>K28-M28</f>
        <v>171044.03</v>
      </c>
      <c r="M28" s="17">
        <v>0</v>
      </c>
      <c r="N28" s="285" t="s">
        <v>4877</v>
      </c>
      <c r="O28" s="285" t="s">
        <v>3793</v>
      </c>
      <c r="P28" s="14"/>
      <c r="Q28" s="285" t="s">
        <v>3136</v>
      </c>
      <c r="R28" s="14">
        <v>43423</v>
      </c>
      <c r="S28" s="285">
        <v>1103</v>
      </c>
      <c r="T28" s="285" t="s">
        <v>2829</v>
      </c>
      <c r="U28" s="289" t="s">
        <v>57</v>
      </c>
      <c r="V28" s="289">
        <v>41</v>
      </c>
    </row>
    <row r="29" spans="1:22" s="19" customFormat="1" ht="39.75" customHeight="1" x14ac:dyDescent="0.2">
      <c r="A29" s="20">
        <v>22</v>
      </c>
      <c r="B29" s="12" t="s">
        <v>8480</v>
      </c>
      <c r="C29" s="12"/>
      <c r="D29" s="27" t="s">
        <v>4994</v>
      </c>
      <c r="E29" s="22" t="s">
        <v>12079</v>
      </c>
      <c r="F29" s="23" t="s">
        <v>3878</v>
      </c>
      <c r="G29" s="23" t="s">
        <v>4130</v>
      </c>
      <c r="H29" s="23" t="s">
        <v>5018</v>
      </c>
      <c r="I29" s="22" t="s">
        <v>6286</v>
      </c>
      <c r="J29" s="57">
        <v>39722</v>
      </c>
      <c r="K29" s="17">
        <v>73192.320000000007</v>
      </c>
      <c r="L29" s="40">
        <f>K29-M29</f>
        <v>73192.320000000007</v>
      </c>
      <c r="M29" s="17">
        <v>0</v>
      </c>
      <c r="N29" s="285" t="s">
        <v>4877</v>
      </c>
      <c r="O29" s="285" t="s">
        <v>3793</v>
      </c>
      <c r="P29" s="285"/>
      <c r="Q29" s="285" t="s">
        <v>3136</v>
      </c>
      <c r="R29" s="14">
        <v>43423</v>
      </c>
      <c r="S29" s="285">
        <v>1103</v>
      </c>
      <c r="T29" s="285" t="s">
        <v>2829</v>
      </c>
      <c r="U29" s="289" t="s">
        <v>57</v>
      </c>
      <c r="V29" s="289">
        <v>41</v>
      </c>
    </row>
    <row r="30" spans="1:22" s="19" customFormat="1" ht="60.75" customHeight="1" x14ac:dyDescent="0.2">
      <c r="A30" s="20">
        <v>23</v>
      </c>
      <c r="B30" s="12" t="s">
        <v>1046</v>
      </c>
      <c r="C30" s="12"/>
      <c r="D30" s="27" t="s">
        <v>4995</v>
      </c>
      <c r="E30" s="22" t="s">
        <v>2852</v>
      </c>
      <c r="F30" s="23" t="s">
        <v>8673</v>
      </c>
      <c r="G30" s="23" t="s">
        <v>3311</v>
      </c>
      <c r="H30" s="23" t="s">
        <v>1029</v>
      </c>
      <c r="I30" s="22" t="s">
        <v>8748</v>
      </c>
      <c r="J30" s="15">
        <v>38718</v>
      </c>
      <c r="K30" s="17">
        <v>67605.119999999995</v>
      </c>
      <c r="L30" s="40">
        <v>65735.03</v>
      </c>
      <c r="M30" s="17">
        <f>K30-L30</f>
        <v>1870.0899999999965</v>
      </c>
      <c r="N30" s="285" t="s">
        <v>4296</v>
      </c>
      <c r="O30" s="285" t="s">
        <v>3793</v>
      </c>
      <c r="P30" s="289"/>
      <c r="Q30" s="285" t="s">
        <v>3136</v>
      </c>
      <c r="R30" s="14">
        <v>41079</v>
      </c>
      <c r="S30" s="285">
        <v>591</v>
      </c>
      <c r="T30" s="285" t="s">
        <v>2829</v>
      </c>
      <c r="U30" s="289" t="s">
        <v>57</v>
      </c>
      <c r="V30" s="289">
        <v>41</v>
      </c>
    </row>
    <row r="31" spans="1:22" s="19" customFormat="1" ht="60.75" customHeight="1" x14ac:dyDescent="0.2">
      <c r="A31" s="20">
        <v>24</v>
      </c>
      <c r="B31" s="12" t="s">
        <v>8419</v>
      </c>
      <c r="C31" s="12"/>
      <c r="D31" s="27" t="s">
        <v>8685</v>
      </c>
      <c r="E31" s="22" t="s">
        <v>8721</v>
      </c>
      <c r="F31" s="23" t="s">
        <v>2764</v>
      </c>
      <c r="G31" s="23" t="s">
        <v>2248</v>
      </c>
      <c r="H31" s="23" t="s">
        <v>1029</v>
      </c>
      <c r="I31" s="22" t="s">
        <v>2422</v>
      </c>
      <c r="J31" s="57">
        <v>39722</v>
      </c>
      <c r="K31" s="17">
        <v>119583.26</v>
      </c>
      <c r="L31" s="40">
        <f t="shared" ref="L31:L40" si="2">K31-M31</f>
        <v>119583.26</v>
      </c>
      <c r="M31" s="17">
        <v>0</v>
      </c>
      <c r="N31" s="285" t="s">
        <v>4296</v>
      </c>
      <c r="O31" s="285" t="s">
        <v>3793</v>
      </c>
      <c r="P31" s="285"/>
      <c r="Q31" s="285" t="s">
        <v>3136</v>
      </c>
      <c r="R31" s="14">
        <v>43397</v>
      </c>
      <c r="S31" s="285">
        <v>1033</v>
      </c>
      <c r="T31" s="285" t="s">
        <v>2829</v>
      </c>
      <c r="U31" s="289" t="s">
        <v>57</v>
      </c>
      <c r="V31" s="289">
        <v>41</v>
      </c>
    </row>
    <row r="32" spans="1:22" s="19" customFormat="1" ht="40.5" customHeight="1" x14ac:dyDescent="0.2">
      <c r="A32" s="20">
        <v>25</v>
      </c>
      <c r="B32" s="12" t="s">
        <v>8481</v>
      </c>
      <c r="C32" s="12"/>
      <c r="D32" s="27" t="s">
        <v>8784</v>
      </c>
      <c r="E32" s="22" t="s">
        <v>12080</v>
      </c>
      <c r="F32" s="23" t="s">
        <v>535</v>
      </c>
      <c r="G32" s="23" t="s">
        <v>1402</v>
      </c>
      <c r="H32" s="23" t="s">
        <v>1029</v>
      </c>
      <c r="I32" s="22" t="s">
        <v>2138</v>
      </c>
      <c r="J32" s="57">
        <v>39722</v>
      </c>
      <c r="K32" s="17">
        <v>199547.71</v>
      </c>
      <c r="L32" s="40">
        <f t="shared" si="2"/>
        <v>199547.71</v>
      </c>
      <c r="M32" s="17">
        <v>0</v>
      </c>
      <c r="N32" s="285" t="s">
        <v>4877</v>
      </c>
      <c r="O32" s="285" t="s">
        <v>3793</v>
      </c>
      <c r="P32" s="285"/>
      <c r="Q32" s="285" t="s">
        <v>3136</v>
      </c>
      <c r="R32" s="14">
        <v>43423</v>
      </c>
      <c r="S32" s="285">
        <v>1103</v>
      </c>
      <c r="T32" s="285" t="s">
        <v>2829</v>
      </c>
      <c r="U32" s="289" t="s">
        <v>57</v>
      </c>
      <c r="V32" s="289">
        <v>41</v>
      </c>
    </row>
    <row r="33" spans="1:22" s="19" customFormat="1" ht="60.75" customHeight="1" x14ac:dyDescent="0.2">
      <c r="A33" s="20">
        <v>26</v>
      </c>
      <c r="B33" s="12" t="s">
        <v>5381</v>
      </c>
      <c r="C33" s="12"/>
      <c r="D33" s="27" t="s">
        <v>8686</v>
      </c>
      <c r="E33" s="22" t="s">
        <v>8722</v>
      </c>
      <c r="F33" s="23" t="s">
        <v>312</v>
      </c>
      <c r="G33" s="23" t="s">
        <v>1029</v>
      </c>
      <c r="H33" s="23" t="s">
        <v>1029</v>
      </c>
      <c r="I33" s="22" t="s">
        <v>3274</v>
      </c>
      <c r="J33" s="57">
        <v>39722</v>
      </c>
      <c r="K33" s="17">
        <v>43736.33</v>
      </c>
      <c r="L33" s="40">
        <f t="shared" si="2"/>
        <v>43736.33</v>
      </c>
      <c r="M33" s="17">
        <v>0</v>
      </c>
      <c r="N33" s="285" t="s">
        <v>4296</v>
      </c>
      <c r="O33" s="285" t="s">
        <v>3793</v>
      </c>
      <c r="P33" s="285"/>
      <c r="Q33" s="285" t="s">
        <v>3136</v>
      </c>
      <c r="R33" s="14">
        <v>42086</v>
      </c>
      <c r="S33" s="285">
        <v>281</v>
      </c>
      <c r="T33" s="285" t="s">
        <v>6142</v>
      </c>
      <c r="U33" s="285"/>
      <c r="V33" s="289" t="s">
        <v>6147</v>
      </c>
    </row>
    <row r="34" spans="1:22" s="19" customFormat="1" ht="42.75" customHeight="1" x14ac:dyDescent="0.2">
      <c r="A34" s="20">
        <v>27</v>
      </c>
      <c r="B34" s="12" t="s">
        <v>8482</v>
      </c>
      <c r="C34" s="12"/>
      <c r="D34" s="27" t="s">
        <v>8785</v>
      </c>
      <c r="E34" s="22" t="s">
        <v>12081</v>
      </c>
      <c r="F34" s="23" t="s">
        <v>2455</v>
      </c>
      <c r="G34" s="23" t="s">
        <v>5402</v>
      </c>
      <c r="H34" s="23" t="s">
        <v>1029</v>
      </c>
      <c r="I34" s="22" t="s">
        <v>6286</v>
      </c>
      <c r="J34" s="57">
        <v>39722</v>
      </c>
      <c r="K34" s="17">
        <v>80839.81</v>
      </c>
      <c r="L34" s="40">
        <f t="shared" si="2"/>
        <v>80839.81</v>
      </c>
      <c r="M34" s="17">
        <v>0</v>
      </c>
      <c r="N34" s="285" t="s">
        <v>4877</v>
      </c>
      <c r="O34" s="285" t="s">
        <v>3793</v>
      </c>
      <c r="P34" s="285"/>
      <c r="Q34" s="285" t="s">
        <v>3136</v>
      </c>
      <c r="R34" s="14">
        <v>43423</v>
      </c>
      <c r="S34" s="285">
        <v>1103</v>
      </c>
      <c r="T34" s="285" t="s">
        <v>2829</v>
      </c>
      <c r="U34" s="289" t="s">
        <v>57</v>
      </c>
      <c r="V34" s="289">
        <v>41</v>
      </c>
    </row>
    <row r="35" spans="1:22" s="19" customFormat="1" ht="38.25" customHeight="1" x14ac:dyDescent="0.2">
      <c r="A35" s="20">
        <v>28</v>
      </c>
      <c r="B35" s="12" t="s">
        <v>8483</v>
      </c>
      <c r="C35" s="12"/>
      <c r="D35" s="27" t="s">
        <v>8436</v>
      </c>
      <c r="E35" s="22" t="s">
        <v>12082</v>
      </c>
      <c r="F35" s="23" t="s">
        <v>1029</v>
      </c>
      <c r="G35" s="23" t="s">
        <v>812</v>
      </c>
      <c r="H35" s="23"/>
      <c r="I35" s="22" t="s">
        <v>4776</v>
      </c>
      <c r="J35" s="57">
        <v>39722</v>
      </c>
      <c r="K35" s="17">
        <v>44022.37</v>
      </c>
      <c r="L35" s="40">
        <f t="shared" si="2"/>
        <v>44022.37</v>
      </c>
      <c r="M35" s="17">
        <v>0</v>
      </c>
      <c r="N35" s="285" t="s">
        <v>4877</v>
      </c>
      <c r="O35" s="285" t="s">
        <v>3793</v>
      </c>
      <c r="P35" s="285"/>
      <c r="Q35" s="285" t="s">
        <v>3136</v>
      </c>
      <c r="R35" s="14">
        <v>43423</v>
      </c>
      <c r="S35" s="285">
        <v>1103</v>
      </c>
      <c r="T35" s="285" t="s">
        <v>2829</v>
      </c>
      <c r="U35" s="289" t="s">
        <v>57</v>
      </c>
      <c r="V35" s="289">
        <v>41</v>
      </c>
    </row>
    <row r="36" spans="1:22" s="19" customFormat="1" ht="36.75" customHeight="1" x14ac:dyDescent="0.2">
      <c r="A36" s="20">
        <v>29</v>
      </c>
      <c r="B36" s="12" t="s">
        <v>8484</v>
      </c>
      <c r="C36" s="12"/>
      <c r="D36" s="27" t="s">
        <v>8687</v>
      </c>
      <c r="E36" s="22" t="s">
        <v>12083</v>
      </c>
      <c r="F36" s="23" t="s">
        <v>5384</v>
      </c>
      <c r="G36" s="23" t="s">
        <v>2736</v>
      </c>
      <c r="H36" s="23"/>
      <c r="I36" s="22" t="s">
        <v>8723</v>
      </c>
      <c r="J36" s="57">
        <v>39722</v>
      </c>
      <c r="K36" s="17">
        <v>45144.89</v>
      </c>
      <c r="L36" s="40">
        <f t="shared" si="2"/>
        <v>45144.89</v>
      </c>
      <c r="M36" s="17">
        <v>0</v>
      </c>
      <c r="N36" s="285" t="s">
        <v>4877</v>
      </c>
      <c r="O36" s="285" t="s">
        <v>3793</v>
      </c>
      <c r="P36" s="285"/>
      <c r="Q36" s="285" t="s">
        <v>3136</v>
      </c>
      <c r="R36" s="14">
        <v>43423</v>
      </c>
      <c r="S36" s="285">
        <v>1103</v>
      </c>
      <c r="T36" s="285" t="s">
        <v>2829</v>
      </c>
      <c r="U36" s="289" t="s">
        <v>57</v>
      </c>
      <c r="V36" s="289">
        <v>41</v>
      </c>
    </row>
    <row r="37" spans="1:22" s="19" customFormat="1" ht="60.75" customHeight="1" x14ac:dyDescent="0.2">
      <c r="A37" s="20">
        <v>30</v>
      </c>
      <c r="B37" s="12" t="s">
        <v>1290</v>
      </c>
      <c r="C37" s="12"/>
      <c r="D37" s="27" t="s">
        <v>8786</v>
      </c>
      <c r="E37" s="22" t="s">
        <v>3671</v>
      </c>
      <c r="F37" s="23" t="s">
        <v>1029</v>
      </c>
      <c r="G37" s="13" t="s">
        <v>8750</v>
      </c>
      <c r="H37" s="23" t="s">
        <v>1029</v>
      </c>
      <c r="I37" s="22" t="s">
        <v>8749</v>
      </c>
      <c r="J37" s="15">
        <v>38718</v>
      </c>
      <c r="K37" s="17">
        <v>14495.17</v>
      </c>
      <c r="L37" s="40">
        <f t="shared" si="2"/>
        <v>14495.17</v>
      </c>
      <c r="M37" s="17">
        <v>0</v>
      </c>
      <c r="N37" s="285" t="s">
        <v>4296</v>
      </c>
      <c r="O37" s="285" t="s">
        <v>3793</v>
      </c>
      <c r="P37" s="289"/>
      <c r="Q37" s="285" t="s">
        <v>3136</v>
      </c>
      <c r="R37" s="14">
        <v>41079</v>
      </c>
      <c r="S37" s="285">
        <v>591</v>
      </c>
      <c r="T37" s="285" t="s">
        <v>2829</v>
      </c>
      <c r="U37" s="289" t="s">
        <v>57</v>
      </c>
      <c r="V37" s="289">
        <v>41</v>
      </c>
    </row>
    <row r="38" spans="1:22" s="19" customFormat="1" ht="39.75" customHeight="1" x14ac:dyDescent="0.2">
      <c r="A38" s="20">
        <v>31</v>
      </c>
      <c r="B38" s="12" t="s">
        <v>8485</v>
      </c>
      <c r="C38" s="12"/>
      <c r="D38" s="27" t="s">
        <v>8688</v>
      </c>
      <c r="E38" s="22" t="s">
        <v>12084</v>
      </c>
      <c r="F38" s="23"/>
      <c r="G38" s="23" t="s">
        <v>5386</v>
      </c>
      <c r="H38" s="23"/>
      <c r="I38" s="22" t="s">
        <v>1823</v>
      </c>
      <c r="J38" s="57">
        <v>39722</v>
      </c>
      <c r="K38" s="17">
        <v>5000</v>
      </c>
      <c r="L38" s="40">
        <f t="shared" si="2"/>
        <v>5000</v>
      </c>
      <c r="M38" s="17">
        <v>0</v>
      </c>
      <c r="N38" s="285" t="s">
        <v>4877</v>
      </c>
      <c r="O38" s="285" t="s">
        <v>3793</v>
      </c>
      <c r="P38" s="285"/>
      <c r="Q38" s="285" t="s">
        <v>3136</v>
      </c>
      <c r="R38" s="14">
        <v>43423</v>
      </c>
      <c r="S38" s="285">
        <v>1103</v>
      </c>
      <c r="T38" s="285" t="s">
        <v>2829</v>
      </c>
      <c r="U38" s="289" t="s">
        <v>57</v>
      </c>
      <c r="V38" s="289">
        <v>41</v>
      </c>
    </row>
    <row r="39" spans="1:22" s="19" customFormat="1" ht="31.5" customHeight="1" x14ac:dyDescent="0.2">
      <c r="A39" s="20">
        <v>32</v>
      </c>
      <c r="B39" s="12" t="s">
        <v>1218</v>
      </c>
      <c r="C39" s="12"/>
      <c r="D39" s="27" t="s">
        <v>12085</v>
      </c>
      <c r="E39" s="285" t="s">
        <v>12086</v>
      </c>
      <c r="F39" s="23" t="s">
        <v>4059</v>
      </c>
      <c r="G39" s="23" t="s">
        <v>847</v>
      </c>
      <c r="H39" s="27" t="s">
        <v>1094</v>
      </c>
      <c r="I39" s="22" t="s">
        <v>1409</v>
      </c>
      <c r="J39" s="57">
        <v>41000</v>
      </c>
      <c r="K39" s="17">
        <v>192796.61</v>
      </c>
      <c r="L39" s="40">
        <f t="shared" si="2"/>
        <v>192796.61</v>
      </c>
      <c r="M39" s="17">
        <v>0</v>
      </c>
      <c r="N39" s="285" t="s">
        <v>4877</v>
      </c>
      <c r="O39" s="285" t="s">
        <v>3793</v>
      </c>
      <c r="P39" s="289"/>
      <c r="Q39" s="285" t="s">
        <v>3136</v>
      </c>
      <c r="R39" s="14">
        <v>39419</v>
      </c>
      <c r="S39" s="285">
        <v>857</v>
      </c>
      <c r="T39" s="22" t="s">
        <v>4386</v>
      </c>
      <c r="U39" s="22" t="s">
        <v>4118</v>
      </c>
      <c r="V39" s="289"/>
    </row>
    <row r="40" spans="1:22" s="19" customFormat="1" ht="32.25" customHeight="1" x14ac:dyDescent="0.2">
      <c r="A40" s="20">
        <v>33</v>
      </c>
      <c r="B40" s="12" t="s">
        <v>2177</v>
      </c>
      <c r="C40" s="12" t="s">
        <v>5274</v>
      </c>
      <c r="D40" s="27" t="s">
        <v>8787</v>
      </c>
      <c r="E40" s="65" t="s">
        <v>12087</v>
      </c>
      <c r="F40" s="23" t="s">
        <v>7457</v>
      </c>
      <c r="G40" s="23" t="s">
        <v>4150</v>
      </c>
      <c r="H40" s="27" t="s">
        <v>4151</v>
      </c>
      <c r="I40" s="22" t="s">
        <v>1680</v>
      </c>
      <c r="J40" s="15">
        <v>39722</v>
      </c>
      <c r="K40" s="17">
        <v>55000</v>
      </c>
      <c r="L40" s="40">
        <f t="shared" si="2"/>
        <v>55000</v>
      </c>
      <c r="M40" s="17">
        <v>0</v>
      </c>
      <c r="N40" s="285" t="s">
        <v>4877</v>
      </c>
      <c r="O40" s="285" t="s">
        <v>3793</v>
      </c>
      <c r="P40" s="289"/>
      <c r="Q40" s="285" t="s">
        <v>3136</v>
      </c>
      <c r="R40" s="14">
        <v>42822</v>
      </c>
      <c r="S40" s="285">
        <v>278</v>
      </c>
      <c r="T40" s="285" t="s">
        <v>6143</v>
      </c>
      <c r="U40" s="22" t="s">
        <v>2821</v>
      </c>
      <c r="V40" s="289" t="s">
        <v>6144</v>
      </c>
    </row>
    <row r="41" spans="1:22" s="19" customFormat="1" ht="81.75" customHeight="1" x14ac:dyDescent="0.2">
      <c r="A41" s="20">
        <v>34</v>
      </c>
      <c r="B41" s="12" t="s">
        <v>2178</v>
      </c>
      <c r="C41" s="60"/>
      <c r="D41" s="95" t="s">
        <v>12050</v>
      </c>
      <c r="E41" s="37" t="s">
        <v>12088</v>
      </c>
      <c r="F41" s="65" t="s">
        <v>8724</v>
      </c>
      <c r="G41" s="69" t="s">
        <v>8713</v>
      </c>
      <c r="H41" s="23" t="s">
        <v>928</v>
      </c>
      <c r="I41" s="20">
        <v>2008</v>
      </c>
      <c r="J41" s="15">
        <v>41198</v>
      </c>
      <c r="K41" s="96">
        <v>720000</v>
      </c>
      <c r="L41" s="40">
        <v>720000</v>
      </c>
      <c r="M41" s="17">
        <v>0</v>
      </c>
      <c r="N41" s="285" t="s">
        <v>4877</v>
      </c>
      <c r="O41" s="22" t="s">
        <v>3793</v>
      </c>
      <c r="P41" s="289"/>
      <c r="Q41" s="285" t="s">
        <v>3136</v>
      </c>
      <c r="R41" s="22" t="s">
        <v>10885</v>
      </c>
      <c r="S41" s="22" t="s">
        <v>10886</v>
      </c>
      <c r="T41" s="37" t="s">
        <v>929</v>
      </c>
      <c r="U41" s="32">
        <v>39580</v>
      </c>
      <c r="V41" s="289"/>
    </row>
    <row r="42" spans="1:22" s="19" customFormat="1" ht="60.75" customHeight="1" x14ac:dyDescent="0.2">
      <c r="A42" s="20">
        <v>35</v>
      </c>
      <c r="B42" s="12" t="s">
        <v>8299</v>
      </c>
      <c r="C42" s="12" t="s">
        <v>5274</v>
      </c>
      <c r="D42" s="27" t="s">
        <v>787</v>
      </c>
      <c r="E42" s="22" t="s">
        <v>2120</v>
      </c>
      <c r="F42" s="37">
        <v>6339891</v>
      </c>
      <c r="G42" s="69" t="s">
        <v>847</v>
      </c>
      <c r="H42" s="23" t="s">
        <v>4598</v>
      </c>
      <c r="I42" s="20">
        <v>2000</v>
      </c>
      <c r="J42" s="15">
        <v>39630</v>
      </c>
      <c r="K42" s="62">
        <v>163680</v>
      </c>
      <c r="L42" s="40">
        <f>K42-M42</f>
        <v>163680</v>
      </c>
      <c r="M42" s="62">
        <v>0</v>
      </c>
      <c r="N42" s="22" t="s">
        <v>4585</v>
      </c>
      <c r="O42" s="285" t="s">
        <v>5127</v>
      </c>
      <c r="P42" s="285"/>
      <c r="Q42" s="285" t="s">
        <v>3136</v>
      </c>
      <c r="R42" s="14">
        <v>43320</v>
      </c>
      <c r="S42" s="22" t="s">
        <v>8343</v>
      </c>
      <c r="T42" s="37" t="s">
        <v>309</v>
      </c>
      <c r="U42" s="32">
        <v>39597</v>
      </c>
      <c r="V42" s="289" t="s">
        <v>308</v>
      </c>
    </row>
    <row r="43" spans="1:22" s="19" customFormat="1" ht="60.75" customHeight="1" x14ac:dyDescent="0.2">
      <c r="A43" s="20">
        <v>37</v>
      </c>
      <c r="B43" s="12" t="s">
        <v>2664</v>
      </c>
      <c r="C43" s="12"/>
      <c r="D43" s="27" t="s">
        <v>8689</v>
      </c>
      <c r="E43" s="22" t="s">
        <v>2548</v>
      </c>
      <c r="F43" s="37" t="s">
        <v>1057</v>
      </c>
      <c r="G43" s="82" t="s">
        <v>8713</v>
      </c>
      <c r="H43" s="23" t="s">
        <v>6206</v>
      </c>
      <c r="I43" s="20">
        <v>2009</v>
      </c>
      <c r="J43" s="57">
        <v>39872</v>
      </c>
      <c r="K43" s="62">
        <v>435921.25</v>
      </c>
      <c r="L43" s="40">
        <v>435921.25</v>
      </c>
      <c r="M43" s="62">
        <f t="shared" ref="M43:M67" si="3">K43-L43</f>
        <v>0</v>
      </c>
      <c r="N43" s="285" t="s">
        <v>6266</v>
      </c>
      <c r="O43" s="285" t="s">
        <v>5127</v>
      </c>
      <c r="P43" s="289"/>
      <c r="Q43" s="285" t="s">
        <v>3136</v>
      </c>
      <c r="R43" s="14">
        <v>43087</v>
      </c>
      <c r="S43" s="22" t="s">
        <v>7918</v>
      </c>
      <c r="T43" s="22" t="s">
        <v>3359</v>
      </c>
      <c r="U43" s="22" t="s">
        <v>1396</v>
      </c>
      <c r="V43" s="22" t="s">
        <v>1397</v>
      </c>
    </row>
    <row r="44" spans="1:22" s="19" customFormat="1" ht="60.75" customHeight="1" x14ac:dyDescent="0.2">
      <c r="A44" s="20">
        <v>38</v>
      </c>
      <c r="B44" s="12" t="s">
        <v>2665</v>
      </c>
      <c r="C44" s="12"/>
      <c r="D44" s="27" t="s">
        <v>8788</v>
      </c>
      <c r="E44" s="22" t="s">
        <v>694</v>
      </c>
      <c r="F44" s="37">
        <v>2028430</v>
      </c>
      <c r="G44" s="69" t="s">
        <v>847</v>
      </c>
      <c r="H44" s="23" t="s">
        <v>933</v>
      </c>
      <c r="I44" s="37">
        <v>2007</v>
      </c>
      <c r="J44" s="57">
        <v>39897</v>
      </c>
      <c r="K44" s="62">
        <v>278500</v>
      </c>
      <c r="L44" s="40">
        <v>278500</v>
      </c>
      <c r="M44" s="62">
        <f t="shared" si="3"/>
        <v>0</v>
      </c>
      <c r="N44" s="22" t="s">
        <v>7983</v>
      </c>
      <c r="O44" s="285" t="s">
        <v>5127</v>
      </c>
      <c r="P44" s="289"/>
      <c r="Q44" s="285" t="s">
        <v>3133</v>
      </c>
      <c r="R44" s="14" t="s">
        <v>3134</v>
      </c>
      <c r="S44" s="22" t="s">
        <v>3135</v>
      </c>
      <c r="T44" s="22"/>
      <c r="U44" s="22"/>
      <c r="V44" s="22"/>
    </row>
    <row r="45" spans="1:22" s="19" customFormat="1" ht="60.75" customHeight="1" x14ac:dyDescent="0.2">
      <c r="A45" s="20">
        <v>39</v>
      </c>
      <c r="B45" s="12" t="s">
        <v>7626</v>
      </c>
      <c r="C45" s="12"/>
      <c r="D45" s="27" t="s">
        <v>1736</v>
      </c>
      <c r="E45" s="22" t="s">
        <v>1364</v>
      </c>
      <c r="F45" s="37" t="s">
        <v>5781</v>
      </c>
      <c r="G45" s="69" t="s">
        <v>8713</v>
      </c>
      <c r="H45" s="23" t="s">
        <v>5782</v>
      </c>
      <c r="I45" s="37">
        <v>2009</v>
      </c>
      <c r="J45" s="57">
        <v>40087</v>
      </c>
      <c r="K45" s="62">
        <v>1323000</v>
      </c>
      <c r="L45" s="40">
        <v>1323000</v>
      </c>
      <c r="M45" s="62">
        <f t="shared" si="3"/>
        <v>0</v>
      </c>
      <c r="N45" s="37" t="s">
        <v>7463</v>
      </c>
      <c r="O45" s="22" t="s">
        <v>5127</v>
      </c>
      <c r="P45" s="285"/>
      <c r="Q45" s="285" t="s">
        <v>3136</v>
      </c>
      <c r="R45" s="14">
        <v>42892</v>
      </c>
      <c r="S45" s="22" t="s">
        <v>7625</v>
      </c>
      <c r="T45" s="22" t="s">
        <v>3132</v>
      </c>
      <c r="U45" s="22" t="s">
        <v>7624</v>
      </c>
      <c r="V45" s="39">
        <v>530</v>
      </c>
    </row>
    <row r="46" spans="1:22" s="19" customFormat="1" ht="60.75" customHeight="1" x14ac:dyDescent="0.2">
      <c r="A46" s="20">
        <v>40</v>
      </c>
      <c r="B46" s="12" t="s">
        <v>8985</v>
      </c>
      <c r="C46" s="12"/>
      <c r="D46" s="27" t="s">
        <v>8986</v>
      </c>
      <c r="E46" s="22" t="s">
        <v>1364</v>
      </c>
      <c r="F46" s="37" t="s">
        <v>1365</v>
      </c>
      <c r="G46" s="69" t="s">
        <v>8713</v>
      </c>
      <c r="H46" s="23" t="s">
        <v>1936</v>
      </c>
      <c r="I46" s="37">
        <v>2009</v>
      </c>
      <c r="J46" s="57">
        <v>40087</v>
      </c>
      <c r="K46" s="62">
        <v>1323000</v>
      </c>
      <c r="L46" s="40">
        <v>950872.86</v>
      </c>
      <c r="M46" s="62">
        <f t="shared" si="3"/>
        <v>372127.14</v>
      </c>
      <c r="N46" s="285" t="s">
        <v>4296</v>
      </c>
      <c r="O46" s="285" t="s">
        <v>3793</v>
      </c>
      <c r="P46" s="289"/>
      <c r="Q46" s="285" t="s">
        <v>3136</v>
      </c>
      <c r="R46" s="14">
        <v>43627</v>
      </c>
      <c r="S46" s="22" t="s">
        <v>8987</v>
      </c>
      <c r="T46" s="22" t="s">
        <v>6240</v>
      </c>
      <c r="U46" s="22" t="s">
        <v>3470</v>
      </c>
      <c r="V46" s="22" t="s">
        <v>4698</v>
      </c>
    </row>
    <row r="47" spans="1:22" s="19" customFormat="1" ht="36.75" customHeight="1" x14ac:dyDescent="0.2">
      <c r="A47" s="20">
        <v>41</v>
      </c>
      <c r="B47" s="12" t="s">
        <v>8486</v>
      </c>
      <c r="C47" s="12"/>
      <c r="D47" s="27" t="s">
        <v>12090</v>
      </c>
      <c r="E47" s="22" t="s">
        <v>12089</v>
      </c>
      <c r="F47" s="37">
        <v>339716</v>
      </c>
      <c r="G47" s="69"/>
      <c r="H47" s="23"/>
      <c r="I47" s="37">
        <v>2009</v>
      </c>
      <c r="J47" s="57">
        <v>40106</v>
      </c>
      <c r="K47" s="62">
        <v>2654950</v>
      </c>
      <c r="L47" s="40">
        <v>1517114.38</v>
      </c>
      <c r="M47" s="62">
        <f t="shared" si="3"/>
        <v>1137835.6200000001</v>
      </c>
      <c r="N47" s="22" t="s">
        <v>4877</v>
      </c>
      <c r="O47" s="285" t="s">
        <v>3793</v>
      </c>
      <c r="P47" s="285"/>
      <c r="Q47" s="285" t="s">
        <v>3136</v>
      </c>
      <c r="R47" s="14">
        <v>43423</v>
      </c>
      <c r="S47" s="285">
        <v>1103</v>
      </c>
      <c r="T47" s="22" t="s">
        <v>541</v>
      </c>
      <c r="U47" s="22" t="s">
        <v>568</v>
      </c>
      <c r="V47" s="22" t="s">
        <v>1696</v>
      </c>
    </row>
    <row r="48" spans="1:22" s="19" customFormat="1" ht="54" customHeight="1" x14ac:dyDescent="0.2">
      <c r="A48" s="20">
        <v>42</v>
      </c>
      <c r="B48" s="12" t="s">
        <v>8487</v>
      </c>
      <c r="C48" s="12"/>
      <c r="D48" s="27" t="s">
        <v>12091</v>
      </c>
      <c r="E48" s="22" t="s">
        <v>12092</v>
      </c>
      <c r="F48" s="37" t="s">
        <v>1124</v>
      </c>
      <c r="G48" s="82" t="s">
        <v>4133</v>
      </c>
      <c r="H48" s="23" t="s">
        <v>5654</v>
      </c>
      <c r="I48" s="37">
        <v>2009</v>
      </c>
      <c r="J48" s="57">
        <v>40151</v>
      </c>
      <c r="K48" s="62">
        <v>3477460</v>
      </c>
      <c r="L48" s="40">
        <v>1333026.21</v>
      </c>
      <c r="M48" s="62">
        <f t="shared" si="3"/>
        <v>2144433.79</v>
      </c>
      <c r="N48" s="22" t="s">
        <v>4877</v>
      </c>
      <c r="O48" s="285" t="s">
        <v>3793</v>
      </c>
      <c r="P48" s="285"/>
      <c r="Q48" s="285" t="s">
        <v>3136</v>
      </c>
      <c r="R48" s="14">
        <v>43423</v>
      </c>
      <c r="S48" s="285">
        <v>1103</v>
      </c>
      <c r="T48" s="22" t="s">
        <v>541</v>
      </c>
      <c r="U48" s="22" t="s">
        <v>539</v>
      </c>
      <c r="V48" s="284" t="s">
        <v>540</v>
      </c>
    </row>
    <row r="49" spans="1:22" s="19" customFormat="1" ht="37.5" customHeight="1" x14ac:dyDescent="0.2">
      <c r="A49" s="20">
        <v>43</v>
      </c>
      <c r="B49" s="12" t="s">
        <v>8488</v>
      </c>
      <c r="C49" s="12"/>
      <c r="D49" s="27" t="s">
        <v>3393</v>
      </c>
      <c r="E49" s="22" t="s">
        <v>12093</v>
      </c>
      <c r="F49" s="37" t="s">
        <v>8492</v>
      </c>
      <c r="G49" s="69" t="s">
        <v>8713</v>
      </c>
      <c r="H49" s="23" t="s">
        <v>5166</v>
      </c>
      <c r="I49" s="37">
        <v>2010</v>
      </c>
      <c r="J49" s="57">
        <v>40435</v>
      </c>
      <c r="K49" s="62">
        <v>1025000</v>
      </c>
      <c r="L49" s="40">
        <v>785833.3</v>
      </c>
      <c r="M49" s="62">
        <f t="shared" si="3"/>
        <v>239166.69999999995</v>
      </c>
      <c r="N49" s="22" t="s">
        <v>4877</v>
      </c>
      <c r="O49" s="285" t="s">
        <v>3793</v>
      </c>
      <c r="P49" s="285"/>
      <c r="Q49" s="285" t="s">
        <v>3136</v>
      </c>
      <c r="R49" s="14">
        <v>43423</v>
      </c>
      <c r="S49" s="285">
        <v>1103</v>
      </c>
      <c r="T49" s="22" t="s">
        <v>1971</v>
      </c>
      <c r="U49" s="22" t="s">
        <v>2814</v>
      </c>
      <c r="V49" s="22" t="s">
        <v>2815</v>
      </c>
    </row>
    <row r="50" spans="1:22" s="19" customFormat="1" ht="63.75" customHeight="1" x14ac:dyDescent="0.2">
      <c r="A50" s="20">
        <v>44</v>
      </c>
      <c r="B50" s="12" t="s">
        <v>8489</v>
      </c>
      <c r="C50" s="12"/>
      <c r="D50" s="27" t="s">
        <v>12094</v>
      </c>
      <c r="E50" s="22" t="s">
        <v>12095</v>
      </c>
      <c r="F50" s="37" t="s">
        <v>5628</v>
      </c>
      <c r="G50" s="82" t="s">
        <v>876</v>
      </c>
      <c r="H50" s="23" t="s">
        <v>877</v>
      </c>
      <c r="I50" s="37">
        <v>2010</v>
      </c>
      <c r="J50" s="57">
        <v>40494</v>
      </c>
      <c r="K50" s="62">
        <v>818300</v>
      </c>
      <c r="L50" s="40">
        <v>448116.73</v>
      </c>
      <c r="M50" s="62">
        <f t="shared" si="3"/>
        <v>370183.27</v>
      </c>
      <c r="N50" s="22" t="s">
        <v>4877</v>
      </c>
      <c r="O50" s="285" t="s">
        <v>3793</v>
      </c>
      <c r="P50" s="285"/>
      <c r="Q50" s="285" t="s">
        <v>3136</v>
      </c>
      <c r="R50" s="14">
        <v>43423</v>
      </c>
      <c r="S50" s="285">
        <v>1103</v>
      </c>
      <c r="T50" s="22" t="s">
        <v>3100</v>
      </c>
      <c r="U50" s="22" t="s">
        <v>1972</v>
      </c>
      <c r="V50" s="22" t="s">
        <v>3099</v>
      </c>
    </row>
    <row r="51" spans="1:22" s="19" customFormat="1" ht="60.75" customHeight="1" x14ac:dyDescent="0.2">
      <c r="A51" s="20">
        <v>45</v>
      </c>
      <c r="B51" s="12" t="s">
        <v>2666</v>
      </c>
      <c r="C51" s="12"/>
      <c r="D51" s="27" t="s">
        <v>8789</v>
      </c>
      <c r="E51" s="22" t="s">
        <v>8725</v>
      </c>
      <c r="F51" s="37" t="s">
        <v>744</v>
      </c>
      <c r="G51" s="82" t="s">
        <v>847</v>
      </c>
      <c r="H51" s="23" t="s">
        <v>681</v>
      </c>
      <c r="I51" s="37">
        <v>2010</v>
      </c>
      <c r="J51" s="57">
        <v>40595</v>
      </c>
      <c r="K51" s="62">
        <v>969000</v>
      </c>
      <c r="L51" s="1">
        <v>969000</v>
      </c>
      <c r="M51" s="62">
        <f t="shared" si="3"/>
        <v>0</v>
      </c>
      <c r="N51" s="22" t="s">
        <v>7983</v>
      </c>
      <c r="O51" s="37" t="s">
        <v>5127</v>
      </c>
      <c r="P51" s="285"/>
      <c r="Q51" s="285"/>
      <c r="R51" s="285"/>
      <c r="S51" s="22"/>
      <c r="T51" s="22" t="s">
        <v>5071</v>
      </c>
      <c r="U51" s="22" t="s">
        <v>1350</v>
      </c>
      <c r="V51" s="284" t="s">
        <v>791</v>
      </c>
    </row>
    <row r="52" spans="1:22" s="19" customFormat="1" ht="54" customHeight="1" x14ac:dyDescent="0.2">
      <c r="A52" s="20">
        <v>46</v>
      </c>
      <c r="B52" s="12" t="s">
        <v>2667</v>
      </c>
      <c r="C52" s="12"/>
      <c r="D52" s="27" t="s">
        <v>8690</v>
      </c>
      <c r="E52" s="22" t="s">
        <v>8726</v>
      </c>
      <c r="F52" s="65" t="s">
        <v>8727</v>
      </c>
      <c r="G52" s="69" t="s">
        <v>8713</v>
      </c>
      <c r="H52" s="23" t="s">
        <v>3468</v>
      </c>
      <c r="I52" s="37">
        <v>2011</v>
      </c>
      <c r="J52" s="97">
        <v>41198</v>
      </c>
      <c r="K52" s="62">
        <v>348500</v>
      </c>
      <c r="L52" s="40">
        <v>348500</v>
      </c>
      <c r="M52" s="62">
        <f t="shared" si="3"/>
        <v>0</v>
      </c>
      <c r="N52" s="37" t="s">
        <v>7463</v>
      </c>
      <c r="O52" s="285" t="s">
        <v>5127</v>
      </c>
      <c r="P52" s="285"/>
      <c r="Q52" s="285" t="s">
        <v>9437</v>
      </c>
      <c r="R52" s="285">
        <v>2011</v>
      </c>
      <c r="S52" s="22" t="s">
        <v>1029</v>
      </c>
      <c r="T52" s="109" t="s">
        <v>538</v>
      </c>
      <c r="U52" s="22" t="s">
        <v>3469</v>
      </c>
      <c r="V52" s="22"/>
    </row>
    <row r="53" spans="1:22" s="19" customFormat="1" ht="60.75" customHeight="1" x14ac:dyDescent="0.2">
      <c r="A53" s="20">
        <v>47</v>
      </c>
      <c r="B53" s="12" t="s">
        <v>2668</v>
      </c>
      <c r="C53" s="12"/>
      <c r="D53" s="27" t="s">
        <v>8691</v>
      </c>
      <c r="E53" s="22" t="s">
        <v>8728</v>
      </c>
      <c r="F53" s="37">
        <v>2441811</v>
      </c>
      <c r="G53" s="82">
        <v>298741</v>
      </c>
      <c r="H53" s="23"/>
      <c r="I53" s="37">
        <v>1987</v>
      </c>
      <c r="J53" s="15">
        <v>41091</v>
      </c>
      <c r="K53" s="62">
        <v>1521.62</v>
      </c>
      <c r="L53" s="62">
        <v>1521.62</v>
      </c>
      <c r="M53" s="17">
        <f t="shared" si="3"/>
        <v>0</v>
      </c>
      <c r="N53" s="285" t="s">
        <v>4296</v>
      </c>
      <c r="O53" s="285" t="s">
        <v>3793</v>
      </c>
      <c r="P53" s="285"/>
      <c r="Q53" s="285" t="s">
        <v>3136</v>
      </c>
      <c r="R53" s="14">
        <v>41079</v>
      </c>
      <c r="S53" s="22" t="s">
        <v>3414</v>
      </c>
      <c r="T53" s="285" t="s">
        <v>790</v>
      </c>
      <c r="U53" s="14" t="s">
        <v>5098</v>
      </c>
      <c r="V53" s="14" t="s">
        <v>2420</v>
      </c>
    </row>
    <row r="54" spans="1:22" s="19" customFormat="1" ht="60.75" customHeight="1" x14ac:dyDescent="0.2">
      <c r="A54" s="20">
        <v>48</v>
      </c>
      <c r="B54" s="12" t="s">
        <v>2669</v>
      </c>
      <c r="C54" s="12"/>
      <c r="D54" s="27" t="s">
        <v>8692</v>
      </c>
      <c r="E54" s="22" t="s">
        <v>2268</v>
      </c>
      <c r="F54" s="37">
        <v>2114675</v>
      </c>
      <c r="G54" s="82">
        <v>284569</v>
      </c>
      <c r="H54" s="23"/>
      <c r="I54" s="37">
        <v>1979</v>
      </c>
      <c r="J54" s="15">
        <v>41091</v>
      </c>
      <c r="K54" s="62">
        <v>2435.4</v>
      </c>
      <c r="L54" s="62">
        <v>2435.4</v>
      </c>
      <c r="M54" s="17">
        <f t="shared" si="3"/>
        <v>0</v>
      </c>
      <c r="N54" s="285" t="s">
        <v>4296</v>
      </c>
      <c r="O54" s="285" t="s">
        <v>3793</v>
      </c>
      <c r="P54" s="285"/>
      <c r="Q54" s="285" t="s">
        <v>3136</v>
      </c>
      <c r="R54" s="14">
        <v>41079</v>
      </c>
      <c r="S54" s="22" t="s">
        <v>3414</v>
      </c>
      <c r="T54" s="285" t="s">
        <v>790</v>
      </c>
      <c r="U54" s="14" t="s">
        <v>5098</v>
      </c>
      <c r="V54" s="14" t="s">
        <v>2420</v>
      </c>
    </row>
    <row r="55" spans="1:22" s="19" customFormat="1" ht="60.75" customHeight="1" x14ac:dyDescent="0.2">
      <c r="A55" s="20">
        <v>49</v>
      </c>
      <c r="B55" s="12" t="s">
        <v>4108</v>
      </c>
      <c r="C55" s="12"/>
      <c r="D55" s="27" t="s">
        <v>8693</v>
      </c>
      <c r="E55" s="12" t="s">
        <v>8729</v>
      </c>
      <c r="F55" s="27" t="s">
        <v>3351</v>
      </c>
      <c r="G55" s="82" t="s">
        <v>8713</v>
      </c>
      <c r="H55" s="23" t="s">
        <v>8730</v>
      </c>
      <c r="I55" s="37">
        <v>2011</v>
      </c>
      <c r="J55" s="15">
        <v>41409</v>
      </c>
      <c r="K55" s="62">
        <v>190000</v>
      </c>
      <c r="L55" s="40">
        <v>190000</v>
      </c>
      <c r="M55" s="62">
        <f t="shared" si="3"/>
        <v>0</v>
      </c>
      <c r="N55" s="285" t="s">
        <v>6266</v>
      </c>
      <c r="O55" s="285" t="s">
        <v>5127</v>
      </c>
      <c r="P55" s="285"/>
      <c r="Q55" s="285" t="s">
        <v>3136</v>
      </c>
      <c r="R55" s="14">
        <v>41928</v>
      </c>
      <c r="S55" s="22" t="s">
        <v>3206</v>
      </c>
      <c r="T55" s="285" t="s">
        <v>4383</v>
      </c>
      <c r="U55" s="14">
        <v>41409</v>
      </c>
      <c r="V55" s="285">
        <v>220131007</v>
      </c>
    </row>
    <row r="56" spans="1:22" s="19" customFormat="1" ht="37.5" customHeight="1" x14ac:dyDescent="0.2">
      <c r="A56" s="20">
        <v>50</v>
      </c>
      <c r="B56" s="12" t="s">
        <v>4109</v>
      </c>
      <c r="C56" s="42"/>
      <c r="D56" s="98" t="s">
        <v>12096</v>
      </c>
      <c r="E56" s="22" t="s">
        <v>12097</v>
      </c>
      <c r="F56" s="27" t="s">
        <v>2133</v>
      </c>
      <c r="G56" s="81">
        <v>638911</v>
      </c>
      <c r="H56" s="23" t="s">
        <v>2134</v>
      </c>
      <c r="I56" s="285">
        <v>1998</v>
      </c>
      <c r="J56" s="15">
        <v>41859</v>
      </c>
      <c r="K56" s="40">
        <v>50000</v>
      </c>
      <c r="L56" s="40">
        <v>50000</v>
      </c>
      <c r="M56" s="40">
        <f t="shared" si="3"/>
        <v>0</v>
      </c>
      <c r="N56" s="285" t="s">
        <v>4877</v>
      </c>
      <c r="O56" s="285" t="s">
        <v>3793</v>
      </c>
      <c r="P56" s="285"/>
      <c r="Q56" s="285" t="s">
        <v>3136</v>
      </c>
      <c r="R56" s="14">
        <v>41873</v>
      </c>
      <c r="S56" s="22" t="s">
        <v>3415</v>
      </c>
      <c r="T56" s="285" t="s">
        <v>4067</v>
      </c>
      <c r="U56" s="14">
        <v>41514</v>
      </c>
      <c r="V56" s="14">
        <v>41514</v>
      </c>
    </row>
    <row r="57" spans="1:22" s="19" customFormat="1" ht="60.75" customHeight="1" x14ac:dyDescent="0.2">
      <c r="A57" s="20">
        <v>51</v>
      </c>
      <c r="B57" s="12" t="s">
        <v>853</v>
      </c>
      <c r="C57" s="12"/>
      <c r="D57" s="9" t="s">
        <v>8694</v>
      </c>
      <c r="E57" s="12" t="s">
        <v>8714</v>
      </c>
      <c r="F57" s="27" t="s">
        <v>3141</v>
      </c>
      <c r="G57" s="81">
        <v>763749</v>
      </c>
      <c r="H57" s="81">
        <v>185573</v>
      </c>
      <c r="I57" s="285">
        <v>1999</v>
      </c>
      <c r="J57" s="15">
        <v>41821</v>
      </c>
      <c r="K57" s="40">
        <v>17372.88</v>
      </c>
      <c r="L57" s="40">
        <v>17372.88</v>
      </c>
      <c r="M57" s="17">
        <f t="shared" si="3"/>
        <v>0</v>
      </c>
      <c r="N57" s="285" t="s">
        <v>4296</v>
      </c>
      <c r="O57" s="285" t="s">
        <v>3793</v>
      </c>
      <c r="P57" s="285"/>
      <c r="Q57" s="285" t="s">
        <v>3136</v>
      </c>
      <c r="R57" s="14">
        <v>41894</v>
      </c>
      <c r="S57" s="285">
        <v>812</v>
      </c>
      <c r="T57" s="49" t="s">
        <v>5071</v>
      </c>
      <c r="U57" s="14">
        <v>41480</v>
      </c>
      <c r="V57" s="285">
        <v>32</v>
      </c>
    </row>
    <row r="58" spans="1:22" s="19" customFormat="1" ht="60.75" customHeight="1" x14ac:dyDescent="0.2">
      <c r="A58" s="20">
        <v>52</v>
      </c>
      <c r="B58" s="12" t="s">
        <v>854</v>
      </c>
      <c r="C58" s="12"/>
      <c r="D58" s="9" t="s">
        <v>8695</v>
      </c>
      <c r="E58" s="12" t="s">
        <v>8731</v>
      </c>
      <c r="F58" s="27" t="s">
        <v>6158</v>
      </c>
      <c r="G58" s="81" t="s">
        <v>720</v>
      </c>
      <c r="H58" s="81" t="s">
        <v>2020</v>
      </c>
      <c r="I58" s="285">
        <v>2002</v>
      </c>
      <c r="J58" s="15">
        <v>41821</v>
      </c>
      <c r="K58" s="40">
        <v>33898.31</v>
      </c>
      <c r="L58" s="40">
        <v>33898.31</v>
      </c>
      <c r="M58" s="17">
        <f t="shared" si="3"/>
        <v>0</v>
      </c>
      <c r="N58" s="285" t="s">
        <v>4296</v>
      </c>
      <c r="O58" s="285" t="s">
        <v>3793</v>
      </c>
      <c r="P58" s="285"/>
      <c r="Q58" s="285" t="s">
        <v>3136</v>
      </c>
      <c r="R58" s="14">
        <v>41894</v>
      </c>
      <c r="S58" s="285">
        <v>812</v>
      </c>
      <c r="T58" s="49" t="s">
        <v>5071</v>
      </c>
      <c r="U58" s="14">
        <v>41480</v>
      </c>
      <c r="V58" s="285">
        <v>30</v>
      </c>
    </row>
    <row r="59" spans="1:22" s="19" customFormat="1" ht="60.75" customHeight="1" x14ac:dyDescent="0.2">
      <c r="A59" s="20">
        <v>53</v>
      </c>
      <c r="B59" s="12" t="s">
        <v>855</v>
      </c>
      <c r="C59" s="12"/>
      <c r="D59" s="9" t="s">
        <v>8696</v>
      </c>
      <c r="E59" s="12" t="s">
        <v>8732</v>
      </c>
      <c r="F59" s="27" t="s">
        <v>3434</v>
      </c>
      <c r="G59" s="81"/>
      <c r="H59" s="81">
        <v>1376986</v>
      </c>
      <c r="I59" s="285">
        <v>1998</v>
      </c>
      <c r="J59" s="15">
        <v>41821</v>
      </c>
      <c r="K59" s="40">
        <v>36440.68</v>
      </c>
      <c r="L59" s="40">
        <v>36440.68</v>
      </c>
      <c r="M59" s="17">
        <f t="shared" si="3"/>
        <v>0</v>
      </c>
      <c r="N59" s="285" t="s">
        <v>4296</v>
      </c>
      <c r="O59" s="285" t="s">
        <v>3793</v>
      </c>
      <c r="P59" s="285"/>
      <c r="Q59" s="285" t="s">
        <v>3136</v>
      </c>
      <c r="R59" s="14">
        <v>41894</v>
      </c>
      <c r="S59" s="285">
        <v>812</v>
      </c>
      <c r="T59" s="49" t="s">
        <v>5071</v>
      </c>
      <c r="U59" s="14">
        <v>41480</v>
      </c>
      <c r="V59" s="285">
        <v>39</v>
      </c>
    </row>
    <row r="60" spans="1:22" s="19" customFormat="1" ht="60.75" customHeight="1" x14ac:dyDescent="0.2">
      <c r="A60" s="20">
        <v>54</v>
      </c>
      <c r="B60" s="12" t="s">
        <v>856</v>
      </c>
      <c r="C60" s="12"/>
      <c r="D60" s="9" t="s">
        <v>8697</v>
      </c>
      <c r="E60" s="12" t="s">
        <v>2032</v>
      </c>
      <c r="F60" s="27" t="s">
        <v>2021</v>
      </c>
      <c r="G60" s="81" t="s">
        <v>2822</v>
      </c>
      <c r="H60" s="81" t="s">
        <v>2823</v>
      </c>
      <c r="I60" s="285">
        <v>2000</v>
      </c>
      <c r="J60" s="15">
        <v>41821</v>
      </c>
      <c r="K60" s="40">
        <v>47457.63</v>
      </c>
      <c r="L60" s="40">
        <v>47457.63</v>
      </c>
      <c r="M60" s="17">
        <f t="shared" si="3"/>
        <v>0</v>
      </c>
      <c r="N60" s="285" t="s">
        <v>4296</v>
      </c>
      <c r="O60" s="285" t="s">
        <v>3793</v>
      </c>
      <c r="P60" s="285"/>
      <c r="Q60" s="285" t="s">
        <v>3136</v>
      </c>
      <c r="R60" s="14">
        <v>41894</v>
      </c>
      <c r="S60" s="285">
        <v>812</v>
      </c>
      <c r="T60" s="49" t="s">
        <v>5071</v>
      </c>
      <c r="U60" s="14">
        <v>41480</v>
      </c>
      <c r="V60" s="285">
        <v>38</v>
      </c>
    </row>
    <row r="61" spans="1:22" s="19" customFormat="1" ht="60.75" customHeight="1" x14ac:dyDescent="0.2">
      <c r="A61" s="20">
        <v>55</v>
      </c>
      <c r="B61" s="12" t="s">
        <v>857</v>
      </c>
      <c r="C61" s="12"/>
      <c r="D61" s="9" t="s">
        <v>8698</v>
      </c>
      <c r="E61" s="12" t="s">
        <v>8733</v>
      </c>
      <c r="F61" s="27" t="s">
        <v>3435</v>
      </c>
      <c r="G61" s="81"/>
      <c r="H61" s="81" t="s">
        <v>3436</v>
      </c>
      <c r="I61" s="285">
        <v>2006</v>
      </c>
      <c r="J61" s="15">
        <v>41821</v>
      </c>
      <c r="K61" s="40">
        <v>36440.68</v>
      </c>
      <c r="L61" s="40">
        <v>36440.68</v>
      </c>
      <c r="M61" s="17">
        <f t="shared" si="3"/>
        <v>0</v>
      </c>
      <c r="N61" s="285" t="s">
        <v>4296</v>
      </c>
      <c r="O61" s="285" t="s">
        <v>3793</v>
      </c>
      <c r="P61" s="285"/>
      <c r="Q61" s="285" t="s">
        <v>3136</v>
      </c>
      <c r="R61" s="14">
        <v>41894</v>
      </c>
      <c r="S61" s="285">
        <v>812</v>
      </c>
      <c r="T61" s="49" t="s">
        <v>5071</v>
      </c>
      <c r="U61" s="14">
        <v>41480</v>
      </c>
      <c r="V61" s="285">
        <v>50</v>
      </c>
    </row>
    <row r="62" spans="1:22" s="19" customFormat="1" ht="60.75" customHeight="1" x14ac:dyDescent="0.2">
      <c r="A62" s="20">
        <v>56</v>
      </c>
      <c r="B62" s="12" t="s">
        <v>858</v>
      </c>
      <c r="C62" s="12"/>
      <c r="D62" s="9" t="s">
        <v>8699</v>
      </c>
      <c r="E62" s="12" t="s">
        <v>8734</v>
      </c>
      <c r="F62" s="27"/>
      <c r="G62" s="81"/>
      <c r="H62" s="81"/>
      <c r="I62" s="285"/>
      <c r="J62" s="15">
        <v>41821</v>
      </c>
      <c r="K62" s="40">
        <v>12711.86</v>
      </c>
      <c r="L62" s="40">
        <v>12711.86</v>
      </c>
      <c r="M62" s="17">
        <f t="shared" si="3"/>
        <v>0</v>
      </c>
      <c r="N62" s="285" t="s">
        <v>4296</v>
      </c>
      <c r="O62" s="285" t="s">
        <v>3793</v>
      </c>
      <c r="P62" s="285"/>
      <c r="Q62" s="285" t="s">
        <v>3136</v>
      </c>
      <c r="R62" s="14">
        <v>41894</v>
      </c>
      <c r="S62" s="285">
        <v>812</v>
      </c>
      <c r="T62" s="49" t="s">
        <v>5071</v>
      </c>
      <c r="U62" s="14">
        <v>41562</v>
      </c>
      <c r="V62" s="289">
        <v>51</v>
      </c>
    </row>
    <row r="63" spans="1:22" s="19" customFormat="1" ht="60.75" customHeight="1" x14ac:dyDescent="0.2">
      <c r="A63" s="20">
        <v>57</v>
      </c>
      <c r="B63" s="12" t="s">
        <v>859</v>
      </c>
      <c r="C63" s="42"/>
      <c r="D63" s="46" t="s">
        <v>8700</v>
      </c>
      <c r="E63" s="12" t="s">
        <v>8735</v>
      </c>
      <c r="F63" s="98" t="s">
        <v>5652</v>
      </c>
      <c r="G63" s="99" t="s">
        <v>3142</v>
      </c>
      <c r="H63" s="99"/>
      <c r="I63" s="49">
        <v>1991</v>
      </c>
      <c r="J63" s="51">
        <v>41821</v>
      </c>
      <c r="K63" s="100">
        <v>20742.310000000001</v>
      </c>
      <c r="L63" s="40">
        <v>20742.310000000001</v>
      </c>
      <c r="M63" s="17">
        <f t="shared" si="3"/>
        <v>0</v>
      </c>
      <c r="N63" s="49" t="s">
        <v>4296</v>
      </c>
      <c r="O63" s="49" t="s">
        <v>3793</v>
      </c>
      <c r="P63" s="285"/>
      <c r="Q63" s="285" t="s">
        <v>3136</v>
      </c>
      <c r="R63" s="14">
        <v>41894</v>
      </c>
      <c r="S63" s="285">
        <v>812</v>
      </c>
      <c r="T63" s="49" t="s">
        <v>5071</v>
      </c>
      <c r="U63" s="53">
        <v>41775</v>
      </c>
      <c r="V63" s="289">
        <v>16</v>
      </c>
    </row>
    <row r="64" spans="1:22" s="19" customFormat="1" ht="60.75" customHeight="1" x14ac:dyDescent="0.2">
      <c r="A64" s="20">
        <v>58</v>
      </c>
      <c r="B64" s="12" t="s">
        <v>860</v>
      </c>
      <c r="C64" s="12"/>
      <c r="D64" s="9" t="s">
        <v>8701</v>
      </c>
      <c r="E64" s="12" t="s">
        <v>8736</v>
      </c>
      <c r="F64" s="27" t="s">
        <v>3143</v>
      </c>
      <c r="G64" s="81" t="s">
        <v>3144</v>
      </c>
      <c r="H64" s="81"/>
      <c r="I64" s="285">
        <v>2008</v>
      </c>
      <c r="J64" s="15">
        <v>41821</v>
      </c>
      <c r="K64" s="40">
        <v>82069.19</v>
      </c>
      <c r="L64" s="40">
        <v>82069.19</v>
      </c>
      <c r="M64" s="17">
        <f t="shared" si="3"/>
        <v>0</v>
      </c>
      <c r="N64" s="285" t="s">
        <v>4296</v>
      </c>
      <c r="O64" s="285" t="s">
        <v>3793</v>
      </c>
      <c r="P64" s="285"/>
      <c r="Q64" s="285" t="s">
        <v>3136</v>
      </c>
      <c r="R64" s="14">
        <v>41894</v>
      </c>
      <c r="S64" s="285">
        <v>812</v>
      </c>
      <c r="T64" s="49" t="s">
        <v>5071</v>
      </c>
      <c r="U64" s="14">
        <v>41775</v>
      </c>
      <c r="V64" s="289">
        <v>15</v>
      </c>
    </row>
    <row r="65" spans="1:22" s="19" customFormat="1" ht="60.75" customHeight="1" x14ac:dyDescent="0.2">
      <c r="A65" s="20">
        <v>59</v>
      </c>
      <c r="B65" s="12" t="s">
        <v>861</v>
      </c>
      <c r="C65" s="12"/>
      <c r="D65" s="9" t="s">
        <v>8702</v>
      </c>
      <c r="E65" s="22" t="s">
        <v>8737</v>
      </c>
      <c r="F65" s="27" t="s">
        <v>2249</v>
      </c>
      <c r="G65" s="81"/>
      <c r="H65" s="81"/>
      <c r="I65" s="285">
        <v>2009</v>
      </c>
      <c r="J65" s="15">
        <v>41821</v>
      </c>
      <c r="K65" s="40">
        <v>33561.370000000003</v>
      </c>
      <c r="L65" s="40">
        <v>33561.370000000003</v>
      </c>
      <c r="M65" s="17">
        <f t="shared" si="3"/>
        <v>0</v>
      </c>
      <c r="N65" s="285" t="s">
        <v>4296</v>
      </c>
      <c r="O65" s="285" t="s">
        <v>3793</v>
      </c>
      <c r="P65" s="285"/>
      <c r="Q65" s="285" t="s">
        <v>3136</v>
      </c>
      <c r="R65" s="14">
        <v>41894</v>
      </c>
      <c r="S65" s="285">
        <v>812</v>
      </c>
      <c r="T65" s="49" t="s">
        <v>5071</v>
      </c>
      <c r="U65" s="14">
        <v>41775</v>
      </c>
      <c r="V65" s="39">
        <v>17</v>
      </c>
    </row>
    <row r="66" spans="1:22" s="19" customFormat="1" ht="60.75" customHeight="1" x14ac:dyDescent="0.2">
      <c r="A66" s="20">
        <v>60</v>
      </c>
      <c r="B66" s="12" t="s">
        <v>862</v>
      </c>
      <c r="C66" s="42"/>
      <c r="D66" s="46" t="s">
        <v>8703</v>
      </c>
      <c r="E66" s="22" t="s">
        <v>8738</v>
      </c>
      <c r="F66" s="98" t="s">
        <v>1610</v>
      </c>
      <c r="G66" s="99" t="s">
        <v>461</v>
      </c>
      <c r="H66" s="99" t="s">
        <v>462</v>
      </c>
      <c r="I66" s="49">
        <v>2007</v>
      </c>
      <c r="J66" s="51">
        <v>41821</v>
      </c>
      <c r="K66" s="100">
        <v>1203257.0900000001</v>
      </c>
      <c r="L66" s="100">
        <v>1203257.0900000001</v>
      </c>
      <c r="M66" s="17">
        <f t="shared" si="3"/>
        <v>0</v>
      </c>
      <c r="N66" s="49" t="s">
        <v>4296</v>
      </c>
      <c r="O66" s="49" t="s">
        <v>3793</v>
      </c>
      <c r="P66" s="285"/>
      <c r="Q66" s="285" t="s">
        <v>3136</v>
      </c>
      <c r="R66" s="14">
        <v>41894</v>
      </c>
      <c r="S66" s="285">
        <v>812</v>
      </c>
      <c r="T66" s="49" t="s">
        <v>2419</v>
      </c>
      <c r="U66" s="53">
        <v>41121</v>
      </c>
      <c r="V66" s="289">
        <v>1</v>
      </c>
    </row>
    <row r="67" spans="1:22" s="19" customFormat="1" ht="60.75" customHeight="1" x14ac:dyDescent="0.2">
      <c r="A67" s="20">
        <v>61</v>
      </c>
      <c r="B67" s="12" t="s">
        <v>863</v>
      </c>
      <c r="C67" s="42"/>
      <c r="D67" s="46" t="s">
        <v>8704</v>
      </c>
      <c r="E67" s="12" t="s">
        <v>8739</v>
      </c>
      <c r="F67" s="98" t="s">
        <v>6153</v>
      </c>
      <c r="G67" s="99">
        <v>14207</v>
      </c>
      <c r="H67" s="99"/>
      <c r="I67" s="49">
        <v>1986</v>
      </c>
      <c r="J67" s="51">
        <v>41562</v>
      </c>
      <c r="K67" s="100">
        <v>8474.58</v>
      </c>
      <c r="L67" s="100">
        <v>8474.58</v>
      </c>
      <c r="M67" s="17">
        <f t="shared" si="3"/>
        <v>0</v>
      </c>
      <c r="N67" s="49" t="s">
        <v>4296</v>
      </c>
      <c r="O67" s="49" t="s">
        <v>3793</v>
      </c>
      <c r="P67" s="285"/>
      <c r="Q67" s="285" t="s">
        <v>3136</v>
      </c>
      <c r="R67" s="53">
        <v>41950</v>
      </c>
      <c r="S67" s="49">
        <v>1012</v>
      </c>
      <c r="T67" s="49" t="s">
        <v>5071</v>
      </c>
      <c r="U67" s="53">
        <v>41562</v>
      </c>
      <c r="V67" s="39">
        <v>349</v>
      </c>
    </row>
    <row r="68" spans="1:22" s="19" customFormat="1" ht="60.75" customHeight="1" x14ac:dyDescent="0.2">
      <c r="A68" s="20">
        <v>62</v>
      </c>
      <c r="B68" s="12" t="s">
        <v>5297</v>
      </c>
      <c r="C68" s="12"/>
      <c r="D68" s="9" t="s">
        <v>8705</v>
      </c>
      <c r="E68" s="12" t="s">
        <v>8740</v>
      </c>
      <c r="F68" s="13" t="s">
        <v>8741</v>
      </c>
      <c r="G68" s="81" t="s">
        <v>8742</v>
      </c>
      <c r="H68" s="81"/>
      <c r="I68" s="285">
        <v>2006</v>
      </c>
      <c r="J68" s="15">
        <v>41121</v>
      </c>
      <c r="K68" s="17">
        <v>33106.269999999997</v>
      </c>
      <c r="L68" s="17">
        <f>K68-M68</f>
        <v>33106.269999999997</v>
      </c>
      <c r="M68" s="17">
        <v>0</v>
      </c>
      <c r="N68" s="285" t="s">
        <v>4296</v>
      </c>
      <c r="O68" s="285" t="s">
        <v>3793</v>
      </c>
      <c r="P68" s="285"/>
      <c r="Q68" s="285" t="s">
        <v>3136</v>
      </c>
      <c r="R68" s="14">
        <v>41950</v>
      </c>
      <c r="S68" s="285">
        <v>1012</v>
      </c>
      <c r="T68" s="285" t="s">
        <v>5071</v>
      </c>
      <c r="U68" s="14">
        <v>41121</v>
      </c>
      <c r="V68" s="22" t="s">
        <v>4047</v>
      </c>
    </row>
    <row r="69" spans="1:22" s="19" customFormat="1" ht="37.5" customHeight="1" x14ac:dyDescent="0.2">
      <c r="A69" s="20">
        <v>63</v>
      </c>
      <c r="B69" s="12" t="s">
        <v>1330</v>
      </c>
      <c r="C69" s="12"/>
      <c r="D69" s="9" t="s">
        <v>8706</v>
      </c>
      <c r="E69" s="22" t="s">
        <v>12098</v>
      </c>
      <c r="F69" s="285">
        <v>372090</v>
      </c>
      <c r="G69" s="70">
        <v>101718</v>
      </c>
      <c r="H69" s="70"/>
      <c r="I69" s="285">
        <v>1993</v>
      </c>
      <c r="J69" s="15">
        <v>42142</v>
      </c>
      <c r="K69" s="17">
        <v>370000</v>
      </c>
      <c r="L69" s="17">
        <v>370000</v>
      </c>
      <c r="M69" s="17">
        <f t="shared" ref="M69:M80" si="4">K69-L69</f>
        <v>0</v>
      </c>
      <c r="N69" s="285" t="s">
        <v>4877</v>
      </c>
      <c r="O69" s="285" t="s">
        <v>3793</v>
      </c>
      <c r="P69" s="285"/>
      <c r="Q69" s="285" t="s">
        <v>3136</v>
      </c>
      <c r="R69" s="14">
        <v>42208</v>
      </c>
      <c r="S69" s="285">
        <v>635</v>
      </c>
      <c r="T69" s="285" t="s">
        <v>3418</v>
      </c>
      <c r="U69" s="14">
        <v>42142</v>
      </c>
      <c r="V69" s="22" t="s">
        <v>4047</v>
      </c>
    </row>
    <row r="70" spans="1:22" s="19" customFormat="1" ht="60.75" customHeight="1" x14ac:dyDescent="0.2">
      <c r="A70" s="20">
        <v>64</v>
      </c>
      <c r="B70" s="12" t="s">
        <v>336</v>
      </c>
      <c r="C70" s="12"/>
      <c r="D70" s="9" t="s">
        <v>2818</v>
      </c>
      <c r="E70" s="12"/>
      <c r="F70" s="285"/>
      <c r="G70" s="70"/>
      <c r="H70" s="70"/>
      <c r="I70" s="285">
        <v>1972</v>
      </c>
      <c r="J70" s="15">
        <v>41985</v>
      </c>
      <c r="K70" s="17">
        <v>16923.310000000001</v>
      </c>
      <c r="L70" s="17">
        <v>16923.310000000001</v>
      </c>
      <c r="M70" s="17">
        <f t="shared" si="4"/>
        <v>0</v>
      </c>
      <c r="N70" s="285" t="s">
        <v>4296</v>
      </c>
      <c r="O70" s="285" t="s">
        <v>3793</v>
      </c>
      <c r="P70" s="285"/>
      <c r="Q70" s="285" t="s">
        <v>3136</v>
      </c>
      <c r="R70" s="14">
        <v>42230</v>
      </c>
      <c r="S70" s="285">
        <v>693</v>
      </c>
      <c r="T70" s="285" t="s">
        <v>2817</v>
      </c>
      <c r="U70" s="14">
        <v>41985</v>
      </c>
      <c r="V70" s="22" t="s">
        <v>1029</v>
      </c>
    </row>
    <row r="71" spans="1:22" s="19" customFormat="1" ht="60.75" customHeight="1" x14ac:dyDescent="0.2">
      <c r="A71" s="20">
        <v>65</v>
      </c>
      <c r="B71" s="12" t="s">
        <v>2816</v>
      </c>
      <c r="C71" s="12"/>
      <c r="D71" s="9" t="s">
        <v>8707</v>
      </c>
      <c r="E71" s="12" t="s">
        <v>3671</v>
      </c>
      <c r="F71" s="285" t="s">
        <v>8713</v>
      </c>
      <c r="G71" s="70">
        <v>15534</v>
      </c>
      <c r="H71" s="70"/>
      <c r="I71" s="285">
        <v>1987</v>
      </c>
      <c r="J71" s="15">
        <v>41985</v>
      </c>
      <c r="K71" s="17">
        <v>81567.8</v>
      </c>
      <c r="L71" s="17">
        <v>81567.8</v>
      </c>
      <c r="M71" s="17">
        <f t="shared" si="4"/>
        <v>0</v>
      </c>
      <c r="N71" s="285" t="s">
        <v>4296</v>
      </c>
      <c r="O71" s="285" t="s">
        <v>3793</v>
      </c>
      <c r="P71" s="285"/>
      <c r="Q71" s="285" t="s">
        <v>3136</v>
      </c>
      <c r="R71" s="14">
        <v>42230</v>
      </c>
      <c r="S71" s="285">
        <v>693</v>
      </c>
      <c r="T71" s="285" t="s">
        <v>2817</v>
      </c>
      <c r="U71" s="14">
        <v>41985</v>
      </c>
      <c r="V71" s="22" t="s">
        <v>1029</v>
      </c>
    </row>
    <row r="72" spans="1:22" s="19" customFormat="1" ht="60.75" customHeight="1" x14ac:dyDescent="0.2">
      <c r="A72" s="20">
        <v>66</v>
      </c>
      <c r="B72" s="12" t="s">
        <v>7596</v>
      </c>
      <c r="C72" s="12"/>
      <c r="D72" s="9" t="s">
        <v>7600</v>
      </c>
      <c r="E72" s="12" t="s">
        <v>8743</v>
      </c>
      <c r="F72" s="285" t="s">
        <v>7597</v>
      </c>
      <c r="G72" s="70" t="s">
        <v>7598</v>
      </c>
      <c r="H72" s="70" t="s">
        <v>7599</v>
      </c>
      <c r="I72" s="285">
        <v>2017</v>
      </c>
      <c r="J72" s="15">
        <v>42850</v>
      </c>
      <c r="K72" s="17">
        <v>457053.67</v>
      </c>
      <c r="L72" s="17">
        <v>457053.67</v>
      </c>
      <c r="M72" s="17">
        <f t="shared" si="4"/>
        <v>0</v>
      </c>
      <c r="N72" s="285" t="s">
        <v>4296</v>
      </c>
      <c r="O72" s="285" t="s">
        <v>3793</v>
      </c>
      <c r="P72" s="285"/>
      <c r="Q72" s="285" t="s">
        <v>3136</v>
      </c>
      <c r="R72" s="14">
        <v>42879</v>
      </c>
      <c r="S72" s="285">
        <v>477</v>
      </c>
      <c r="T72" s="285" t="s">
        <v>7155</v>
      </c>
      <c r="U72" s="14">
        <v>42839</v>
      </c>
      <c r="V72" s="22" t="s">
        <v>7604</v>
      </c>
    </row>
    <row r="73" spans="1:22" s="19" customFormat="1" ht="60.75" customHeight="1" x14ac:dyDescent="0.2">
      <c r="A73" s="20">
        <v>68</v>
      </c>
      <c r="B73" s="12" t="s">
        <v>9401</v>
      </c>
      <c r="C73" s="12"/>
      <c r="D73" s="27" t="s">
        <v>8790</v>
      </c>
      <c r="E73" s="22" t="s">
        <v>8936</v>
      </c>
      <c r="F73" s="285" t="s">
        <v>7843</v>
      </c>
      <c r="G73" s="70" t="s">
        <v>847</v>
      </c>
      <c r="H73" s="70" t="s">
        <v>7844</v>
      </c>
      <c r="I73" s="285">
        <v>2017</v>
      </c>
      <c r="J73" s="15">
        <v>43053</v>
      </c>
      <c r="K73" s="17">
        <v>693515</v>
      </c>
      <c r="L73" s="1">
        <v>670397.64</v>
      </c>
      <c r="M73" s="17">
        <f t="shared" si="4"/>
        <v>23117.359999999986</v>
      </c>
      <c r="N73" s="22" t="s">
        <v>7983</v>
      </c>
      <c r="O73" s="285" t="s">
        <v>5127</v>
      </c>
      <c r="P73" s="285"/>
      <c r="Q73" s="285" t="s">
        <v>3136</v>
      </c>
      <c r="R73" s="14">
        <v>43068</v>
      </c>
      <c r="S73" s="285">
        <v>1048</v>
      </c>
      <c r="T73" s="285" t="s">
        <v>412</v>
      </c>
      <c r="U73" s="14">
        <v>43062</v>
      </c>
      <c r="V73" s="22" t="s">
        <v>7845</v>
      </c>
    </row>
    <row r="74" spans="1:22" s="19" customFormat="1" ht="37.5" customHeight="1" x14ac:dyDescent="0.2">
      <c r="A74" s="20">
        <v>69</v>
      </c>
      <c r="B74" s="12" t="s">
        <v>7851</v>
      </c>
      <c r="C74" s="12"/>
      <c r="D74" s="27" t="s">
        <v>12099</v>
      </c>
      <c r="E74" s="22" t="s">
        <v>12100</v>
      </c>
      <c r="F74" s="285" t="s">
        <v>7852</v>
      </c>
      <c r="G74" s="70">
        <v>287640</v>
      </c>
      <c r="H74" s="70">
        <v>25635</v>
      </c>
      <c r="I74" s="285">
        <v>1994</v>
      </c>
      <c r="J74" s="15">
        <v>43055</v>
      </c>
      <c r="K74" s="17">
        <v>98300</v>
      </c>
      <c r="L74" s="17">
        <v>98300</v>
      </c>
      <c r="M74" s="17">
        <f t="shared" si="4"/>
        <v>0</v>
      </c>
      <c r="N74" s="285" t="s">
        <v>4877</v>
      </c>
      <c r="O74" s="285" t="s">
        <v>3793</v>
      </c>
      <c r="P74" s="285"/>
      <c r="Q74" s="285" t="s">
        <v>3136</v>
      </c>
      <c r="R74" s="14">
        <v>43080</v>
      </c>
      <c r="S74" s="285">
        <v>1072</v>
      </c>
      <c r="T74" s="285" t="s">
        <v>7853</v>
      </c>
      <c r="U74" s="14">
        <v>43055</v>
      </c>
      <c r="V74" s="22" t="s">
        <v>1029</v>
      </c>
    </row>
    <row r="75" spans="1:22" s="19" customFormat="1" ht="60.75" customHeight="1" x14ac:dyDescent="0.2">
      <c r="A75" s="20">
        <v>70</v>
      </c>
      <c r="B75" s="12" t="s">
        <v>7963</v>
      </c>
      <c r="C75" s="12"/>
      <c r="D75" s="27" t="s">
        <v>8708</v>
      </c>
      <c r="E75" s="12" t="s">
        <v>8744</v>
      </c>
      <c r="F75" s="285">
        <v>2654889</v>
      </c>
      <c r="G75" s="70">
        <v>461380</v>
      </c>
      <c r="H75" s="285" t="s">
        <v>8713</v>
      </c>
      <c r="I75" s="285">
        <v>1989</v>
      </c>
      <c r="J75" s="15">
        <v>43053</v>
      </c>
      <c r="K75" s="17">
        <v>49576.27</v>
      </c>
      <c r="L75" s="48">
        <v>35578.25</v>
      </c>
      <c r="M75" s="17">
        <f t="shared" si="4"/>
        <v>13998.019999999997</v>
      </c>
      <c r="N75" s="285" t="s">
        <v>4296</v>
      </c>
      <c r="O75" s="285" t="s">
        <v>3793</v>
      </c>
      <c r="P75" s="285"/>
      <c r="Q75" s="285" t="s">
        <v>3136</v>
      </c>
      <c r="R75" s="14">
        <v>43098</v>
      </c>
      <c r="S75" s="285">
        <v>1191</v>
      </c>
      <c r="T75" s="285" t="s">
        <v>7965</v>
      </c>
      <c r="U75" s="14">
        <v>43011</v>
      </c>
      <c r="V75" s="22" t="s">
        <v>7966</v>
      </c>
    </row>
    <row r="76" spans="1:22" s="19" customFormat="1" ht="60.75" customHeight="1" x14ac:dyDescent="0.2">
      <c r="A76" s="20">
        <v>71</v>
      </c>
      <c r="B76" s="12" t="s">
        <v>7964</v>
      </c>
      <c r="C76" s="12"/>
      <c r="D76" s="27" t="s">
        <v>8709</v>
      </c>
      <c r="E76" s="12" t="s">
        <v>3671</v>
      </c>
      <c r="F76" s="285" t="s">
        <v>8713</v>
      </c>
      <c r="G76" s="285" t="s">
        <v>8713</v>
      </c>
      <c r="H76" s="70"/>
      <c r="I76" s="285">
        <v>1989</v>
      </c>
      <c r="J76" s="15">
        <v>43053</v>
      </c>
      <c r="K76" s="17">
        <v>22245.759999999998</v>
      </c>
      <c r="L76" s="48">
        <v>15964.31</v>
      </c>
      <c r="M76" s="17">
        <f t="shared" si="4"/>
        <v>6281.4499999999989</v>
      </c>
      <c r="N76" s="285" t="s">
        <v>4296</v>
      </c>
      <c r="O76" s="285" t="s">
        <v>3793</v>
      </c>
      <c r="P76" s="285"/>
      <c r="Q76" s="285" t="s">
        <v>3136</v>
      </c>
      <c r="R76" s="14">
        <v>43098</v>
      </c>
      <c r="S76" s="285">
        <v>1191</v>
      </c>
      <c r="T76" s="285" t="s">
        <v>7965</v>
      </c>
      <c r="U76" s="14">
        <v>43011</v>
      </c>
      <c r="V76" s="22" t="s">
        <v>7966</v>
      </c>
    </row>
    <row r="77" spans="1:22" s="19" customFormat="1" ht="60.75" customHeight="1" x14ac:dyDescent="0.2">
      <c r="A77" s="20">
        <v>72</v>
      </c>
      <c r="B77" s="12" t="s">
        <v>8042</v>
      </c>
      <c r="C77" s="12"/>
      <c r="D77" s="27" t="s">
        <v>8710</v>
      </c>
      <c r="E77" s="12" t="s">
        <v>8465</v>
      </c>
      <c r="F77" s="285" t="s">
        <v>8043</v>
      </c>
      <c r="G77" s="136" t="s">
        <v>8713</v>
      </c>
      <c r="H77" s="70" t="s">
        <v>8012</v>
      </c>
      <c r="I77" s="285">
        <v>2017</v>
      </c>
      <c r="J77" s="15">
        <v>43098</v>
      </c>
      <c r="K77" s="17">
        <v>2110000</v>
      </c>
      <c r="L77" s="17">
        <v>967083.15</v>
      </c>
      <c r="M77" s="17">
        <f>K77-L77</f>
        <v>1142916.8500000001</v>
      </c>
      <c r="N77" s="285" t="s">
        <v>6266</v>
      </c>
      <c r="O77" s="285" t="s">
        <v>5127</v>
      </c>
      <c r="P77" s="285"/>
      <c r="Q77" s="285" t="s">
        <v>3136</v>
      </c>
      <c r="R77" s="14">
        <v>43136</v>
      </c>
      <c r="S77" s="285">
        <v>105</v>
      </c>
      <c r="T77" s="285" t="s">
        <v>8013</v>
      </c>
      <c r="U77" s="14">
        <v>43098</v>
      </c>
      <c r="V77" s="22" t="s">
        <v>8014</v>
      </c>
    </row>
    <row r="78" spans="1:22" s="19" customFormat="1" ht="28.5" customHeight="1" x14ac:dyDescent="0.2">
      <c r="A78" s="20">
        <v>73</v>
      </c>
      <c r="B78" s="12" t="s">
        <v>8297</v>
      </c>
      <c r="C78" s="12"/>
      <c r="D78" s="27" t="s">
        <v>12381</v>
      </c>
      <c r="E78" s="22" t="s">
        <v>12101</v>
      </c>
      <c r="F78" s="285" t="s">
        <v>8298</v>
      </c>
      <c r="G78" s="70"/>
      <c r="H78" s="70"/>
      <c r="I78" s="285">
        <v>1984</v>
      </c>
      <c r="J78" s="15">
        <v>43281</v>
      </c>
      <c r="K78" s="17">
        <v>402568.5</v>
      </c>
      <c r="L78" s="17">
        <v>362311.71</v>
      </c>
      <c r="M78" s="17">
        <f t="shared" si="4"/>
        <v>40256.789999999979</v>
      </c>
      <c r="N78" s="285" t="s">
        <v>4877</v>
      </c>
      <c r="O78" s="285" t="s">
        <v>3793</v>
      </c>
      <c r="P78" s="285"/>
      <c r="Q78" s="285" t="s">
        <v>3136</v>
      </c>
      <c r="R78" s="14">
        <v>43301</v>
      </c>
      <c r="S78" s="285">
        <v>716</v>
      </c>
      <c r="T78" s="285"/>
      <c r="U78" s="14"/>
      <c r="V78" s="22"/>
    </row>
    <row r="79" spans="1:22" s="19" customFormat="1" ht="60.75" customHeight="1" x14ac:dyDescent="0.2">
      <c r="A79" s="20">
        <v>74</v>
      </c>
      <c r="B79" s="12" t="s">
        <v>9357</v>
      </c>
      <c r="C79" s="12"/>
      <c r="D79" s="27" t="s">
        <v>9361</v>
      </c>
      <c r="E79" s="22" t="s">
        <v>9358</v>
      </c>
      <c r="F79" s="285" t="s">
        <v>9360</v>
      </c>
      <c r="G79" s="136" t="s">
        <v>8713</v>
      </c>
      <c r="H79" s="136">
        <v>30210030038733</v>
      </c>
      <c r="I79" s="285">
        <v>2003</v>
      </c>
      <c r="J79" s="15">
        <v>43860</v>
      </c>
      <c r="K79" s="17">
        <v>302560</v>
      </c>
      <c r="L79" s="17">
        <v>302560</v>
      </c>
      <c r="M79" s="17">
        <f t="shared" si="4"/>
        <v>0</v>
      </c>
      <c r="N79" s="285" t="s">
        <v>6266</v>
      </c>
      <c r="O79" s="285" t="s">
        <v>5127</v>
      </c>
      <c r="P79" s="285"/>
      <c r="Q79" s="285" t="s">
        <v>3136</v>
      </c>
      <c r="R79" s="14">
        <v>43860</v>
      </c>
      <c r="S79" s="285">
        <v>85</v>
      </c>
      <c r="T79" s="285" t="s">
        <v>8013</v>
      </c>
      <c r="U79" s="14">
        <v>43819</v>
      </c>
      <c r="V79" s="22" t="s">
        <v>9359</v>
      </c>
    </row>
    <row r="80" spans="1:22" s="19" customFormat="1" ht="60.75" customHeight="1" x14ac:dyDescent="0.2">
      <c r="A80" s="20">
        <v>75</v>
      </c>
      <c r="B80" s="12" t="s">
        <v>10017</v>
      </c>
      <c r="C80" s="12"/>
      <c r="D80" s="27" t="s">
        <v>10232</v>
      </c>
      <c r="E80" s="22" t="s">
        <v>3107</v>
      </c>
      <c r="F80" s="285"/>
      <c r="G80" s="70"/>
      <c r="H80" s="70"/>
      <c r="I80" s="285"/>
      <c r="J80" s="15">
        <v>44105</v>
      </c>
      <c r="K80" s="17">
        <v>125710</v>
      </c>
      <c r="L80" s="48">
        <v>13562.12</v>
      </c>
      <c r="M80" s="17">
        <f t="shared" si="4"/>
        <v>112147.88</v>
      </c>
      <c r="N80" s="285" t="s">
        <v>4296</v>
      </c>
      <c r="O80" s="285" t="s">
        <v>3793</v>
      </c>
      <c r="P80" s="285"/>
      <c r="Q80" s="285" t="s">
        <v>3136</v>
      </c>
      <c r="R80" s="14">
        <v>44132</v>
      </c>
      <c r="S80" s="285">
        <v>894</v>
      </c>
      <c r="T80" s="285" t="s">
        <v>10143</v>
      </c>
      <c r="U80" s="15">
        <v>44073</v>
      </c>
      <c r="V80" s="22"/>
    </row>
    <row r="81" spans="1:22" s="19" customFormat="1" ht="60.75" customHeight="1" x14ac:dyDescent="0.2">
      <c r="A81" s="20">
        <v>76</v>
      </c>
      <c r="B81" s="12" t="s">
        <v>10018</v>
      </c>
      <c r="C81" s="12"/>
      <c r="D81" s="27" t="s">
        <v>10231</v>
      </c>
      <c r="E81" s="22" t="s">
        <v>10230</v>
      </c>
      <c r="F81" s="285"/>
      <c r="G81" s="70"/>
      <c r="H81" s="70"/>
      <c r="I81" s="285"/>
      <c r="J81" s="15">
        <v>44105</v>
      </c>
      <c r="K81" s="17">
        <v>125710</v>
      </c>
      <c r="L81" s="48">
        <v>10894.78</v>
      </c>
      <c r="M81" s="17">
        <f t="shared" ref="M81:M87" si="5">K81-L81</f>
        <v>114815.22</v>
      </c>
      <c r="N81" s="285" t="s">
        <v>4296</v>
      </c>
      <c r="O81" s="285" t="s">
        <v>3793</v>
      </c>
      <c r="P81" s="285"/>
      <c r="Q81" s="285" t="s">
        <v>3136</v>
      </c>
      <c r="R81" s="14">
        <v>44132</v>
      </c>
      <c r="S81" s="285">
        <v>894</v>
      </c>
      <c r="T81" s="285" t="s">
        <v>10143</v>
      </c>
      <c r="U81" s="15">
        <v>44073</v>
      </c>
      <c r="V81" s="22"/>
    </row>
    <row r="82" spans="1:22" s="19" customFormat="1" ht="60.75" customHeight="1" x14ac:dyDescent="0.2">
      <c r="A82" s="20">
        <v>77</v>
      </c>
      <c r="B82" s="12" t="s">
        <v>10019</v>
      </c>
      <c r="C82" s="12"/>
      <c r="D82" s="27" t="s">
        <v>10233</v>
      </c>
      <c r="E82" s="22" t="s">
        <v>3107</v>
      </c>
      <c r="F82" s="285"/>
      <c r="G82" s="70"/>
      <c r="H82" s="70"/>
      <c r="I82" s="285"/>
      <c r="J82" s="15">
        <v>44105</v>
      </c>
      <c r="K82" s="17">
        <v>251420</v>
      </c>
      <c r="L82" s="48">
        <v>24456.9</v>
      </c>
      <c r="M82" s="17">
        <f t="shared" si="5"/>
        <v>226963.1</v>
      </c>
      <c r="N82" s="285" t="s">
        <v>4296</v>
      </c>
      <c r="O82" s="285" t="s">
        <v>3793</v>
      </c>
      <c r="P82" s="285"/>
      <c r="Q82" s="285" t="s">
        <v>3136</v>
      </c>
      <c r="R82" s="14">
        <v>44132</v>
      </c>
      <c r="S82" s="285">
        <v>894</v>
      </c>
      <c r="T82" s="285" t="s">
        <v>10143</v>
      </c>
      <c r="U82" s="15">
        <v>44073</v>
      </c>
      <c r="V82" s="22"/>
    </row>
    <row r="83" spans="1:22" s="19" customFormat="1" ht="60.75" customHeight="1" x14ac:dyDescent="0.2">
      <c r="A83" s="20">
        <v>78</v>
      </c>
      <c r="B83" s="12" t="s">
        <v>10020</v>
      </c>
      <c r="C83" s="12"/>
      <c r="D83" s="27" t="s">
        <v>10234</v>
      </c>
      <c r="E83" s="22"/>
      <c r="F83" s="285">
        <v>90502</v>
      </c>
      <c r="G83" s="70"/>
      <c r="H83" s="70"/>
      <c r="I83" s="285"/>
      <c r="J83" s="15">
        <v>44105</v>
      </c>
      <c r="K83" s="17">
        <v>197060</v>
      </c>
      <c r="L83" s="48">
        <v>60994.7</v>
      </c>
      <c r="M83" s="17">
        <f t="shared" si="5"/>
        <v>136065.29999999999</v>
      </c>
      <c r="N83" s="285" t="s">
        <v>4296</v>
      </c>
      <c r="O83" s="285" t="s">
        <v>3793</v>
      </c>
      <c r="P83" s="285"/>
      <c r="Q83" s="285" t="s">
        <v>3136</v>
      </c>
      <c r="R83" s="14">
        <v>44132</v>
      </c>
      <c r="S83" s="285">
        <v>894</v>
      </c>
      <c r="T83" s="285" t="s">
        <v>10143</v>
      </c>
      <c r="U83" s="15">
        <v>44073</v>
      </c>
      <c r="V83" s="22"/>
    </row>
    <row r="84" spans="1:22" s="19" customFormat="1" ht="60.75" customHeight="1" x14ac:dyDescent="0.2">
      <c r="A84" s="20">
        <v>79</v>
      </c>
      <c r="B84" s="12" t="s">
        <v>10021</v>
      </c>
      <c r="C84" s="12"/>
      <c r="D84" s="41" t="s">
        <v>10235</v>
      </c>
      <c r="E84" s="22"/>
      <c r="F84" s="285">
        <v>90466</v>
      </c>
      <c r="G84" s="70"/>
      <c r="H84" s="70"/>
      <c r="I84" s="285"/>
      <c r="J84" s="15">
        <v>44105</v>
      </c>
      <c r="K84" s="17">
        <v>253370</v>
      </c>
      <c r="L84" s="48">
        <v>78424.06</v>
      </c>
      <c r="M84" s="17">
        <f t="shared" si="5"/>
        <v>174945.94</v>
      </c>
      <c r="N84" s="285" t="s">
        <v>4296</v>
      </c>
      <c r="O84" s="285" t="s">
        <v>3793</v>
      </c>
      <c r="P84" s="285"/>
      <c r="Q84" s="285" t="s">
        <v>3136</v>
      </c>
      <c r="R84" s="14">
        <v>44132</v>
      </c>
      <c r="S84" s="285">
        <v>894</v>
      </c>
      <c r="T84" s="285" t="s">
        <v>10143</v>
      </c>
      <c r="U84" s="15">
        <v>44073</v>
      </c>
      <c r="V84" s="22"/>
    </row>
    <row r="85" spans="1:22" s="19" customFormat="1" ht="60.75" customHeight="1" x14ac:dyDescent="0.2">
      <c r="A85" s="20">
        <v>80</v>
      </c>
      <c r="B85" s="12" t="s">
        <v>10022</v>
      </c>
      <c r="C85" s="12"/>
      <c r="D85" s="27" t="s">
        <v>10238</v>
      </c>
      <c r="E85" s="22"/>
      <c r="F85" s="289">
        <v>406334</v>
      </c>
      <c r="G85" s="18"/>
      <c r="H85" s="70"/>
      <c r="I85" s="285"/>
      <c r="J85" s="15">
        <v>44105</v>
      </c>
      <c r="K85" s="17">
        <v>269200</v>
      </c>
      <c r="L85" s="48">
        <v>83323.759999999995</v>
      </c>
      <c r="M85" s="17">
        <f t="shared" si="5"/>
        <v>185876.24</v>
      </c>
      <c r="N85" s="285" t="s">
        <v>4296</v>
      </c>
      <c r="O85" s="285" t="s">
        <v>3793</v>
      </c>
      <c r="P85" s="285"/>
      <c r="Q85" s="285" t="s">
        <v>3136</v>
      </c>
      <c r="R85" s="14">
        <v>44132</v>
      </c>
      <c r="S85" s="285">
        <v>894</v>
      </c>
      <c r="T85" s="285" t="s">
        <v>10143</v>
      </c>
      <c r="U85" s="15">
        <v>44073</v>
      </c>
      <c r="V85" s="22"/>
    </row>
    <row r="86" spans="1:22" s="19" customFormat="1" ht="60.75" customHeight="1" x14ac:dyDescent="0.2">
      <c r="A86" s="20">
        <v>81</v>
      </c>
      <c r="B86" s="12" t="s">
        <v>10023</v>
      </c>
      <c r="C86" s="12"/>
      <c r="D86" s="27" t="s">
        <v>10237</v>
      </c>
      <c r="E86" s="22"/>
      <c r="F86" s="285">
        <v>25259</v>
      </c>
      <c r="G86" s="70" t="s">
        <v>10236</v>
      </c>
      <c r="H86" s="70"/>
      <c r="I86" s="285">
        <v>2007</v>
      </c>
      <c r="J86" s="15">
        <v>44105</v>
      </c>
      <c r="K86" s="17">
        <v>299990</v>
      </c>
      <c r="L86" s="17">
        <v>129995.58</v>
      </c>
      <c r="M86" s="17">
        <f t="shared" si="5"/>
        <v>169994.41999999998</v>
      </c>
      <c r="N86" s="285" t="s">
        <v>4296</v>
      </c>
      <c r="O86" s="285" t="s">
        <v>3793</v>
      </c>
      <c r="P86" s="285"/>
      <c r="Q86" s="285" t="s">
        <v>3136</v>
      </c>
      <c r="R86" s="14">
        <v>44132</v>
      </c>
      <c r="S86" s="285">
        <v>894</v>
      </c>
      <c r="T86" s="285" t="s">
        <v>10143</v>
      </c>
      <c r="U86" s="15">
        <v>44073</v>
      </c>
      <c r="V86" s="22"/>
    </row>
    <row r="87" spans="1:22" s="19" customFormat="1" ht="105.75" customHeight="1" x14ac:dyDescent="0.2">
      <c r="A87" s="20">
        <v>82</v>
      </c>
      <c r="B87" s="12" t="s">
        <v>11213</v>
      </c>
      <c r="C87" s="12"/>
      <c r="D87" s="27" t="s">
        <v>12049</v>
      </c>
      <c r="E87" s="22" t="s">
        <v>12044</v>
      </c>
      <c r="F87" s="285" t="s">
        <v>11215</v>
      </c>
      <c r="G87" s="70" t="s">
        <v>11214</v>
      </c>
      <c r="H87" s="70" t="s">
        <v>11216</v>
      </c>
      <c r="I87" s="285">
        <v>2010</v>
      </c>
      <c r="J87" s="15">
        <v>44487</v>
      </c>
      <c r="K87" s="17">
        <v>360000</v>
      </c>
      <c r="L87" s="17">
        <v>84000</v>
      </c>
      <c r="M87" s="17">
        <f t="shared" si="5"/>
        <v>276000</v>
      </c>
      <c r="N87" s="285" t="s">
        <v>4877</v>
      </c>
      <c r="O87" s="285" t="s">
        <v>3793</v>
      </c>
      <c r="P87" s="285"/>
      <c r="Q87" s="285" t="s">
        <v>3136</v>
      </c>
      <c r="R87" s="14">
        <v>44512</v>
      </c>
      <c r="S87" s="285">
        <v>837</v>
      </c>
      <c r="T87" s="285" t="s">
        <v>538</v>
      </c>
      <c r="U87" s="15">
        <v>44487</v>
      </c>
      <c r="V87" s="22" t="s">
        <v>1029</v>
      </c>
    </row>
    <row r="88" spans="1:22" s="19" customFormat="1" ht="174.75" customHeight="1" x14ac:dyDescent="0.2">
      <c r="A88" s="20">
        <v>83</v>
      </c>
      <c r="B88" s="12" t="s">
        <v>11347</v>
      </c>
      <c r="C88" s="12"/>
      <c r="D88" s="27" t="s">
        <v>12047</v>
      </c>
      <c r="E88" s="22" t="s">
        <v>12048</v>
      </c>
      <c r="F88" s="285" t="s">
        <v>11349</v>
      </c>
      <c r="G88" s="70"/>
      <c r="H88" s="70"/>
      <c r="I88" s="285">
        <v>2021</v>
      </c>
      <c r="J88" s="15">
        <v>44546</v>
      </c>
      <c r="K88" s="17">
        <v>1151370</v>
      </c>
      <c r="L88" s="17">
        <v>115137</v>
      </c>
      <c r="M88" s="17">
        <f t="shared" ref="M88:M97" si="6">K88-L88</f>
        <v>1036233</v>
      </c>
      <c r="N88" s="285" t="s">
        <v>4877</v>
      </c>
      <c r="O88" s="285" t="s">
        <v>3793</v>
      </c>
      <c r="P88" s="285"/>
      <c r="Q88" s="285" t="s">
        <v>3136</v>
      </c>
      <c r="R88" s="14">
        <v>44522</v>
      </c>
      <c r="S88" s="285">
        <v>958</v>
      </c>
      <c r="T88" s="285" t="s">
        <v>7155</v>
      </c>
      <c r="U88" s="15">
        <v>44501</v>
      </c>
      <c r="V88" s="22" t="s">
        <v>11348</v>
      </c>
    </row>
    <row r="89" spans="1:22" s="19" customFormat="1" ht="105.75" customHeight="1" x14ac:dyDescent="0.2">
      <c r="A89" s="20">
        <v>84</v>
      </c>
      <c r="B89" s="12" t="s">
        <v>11371</v>
      </c>
      <c r="C89" s="12"/>
      <c r="D89" s="27" t="s">
        <v>12051</v>
      </c>
      <c r="E89" s="22" t="s">
        <v>11395</v>
      </c>
      <c r="F89" s="285"/>
      <c r="G89" s="70"/>
      <c r="H89" s="70"/>
      <c r="I89" s="285">
        <v>2021</v>
      </c>
      <c r="J89" s="15"/>
      <c r="K89" s="17">
        <v>3876000</v>
      </c>
      <c r="L89" s="17">
        <v>599857.18000000005</v>
      </c>
      <c r="M89" s="17">
        <f t="shared" si="6"/>
        <v>3276142.82</v>
      </c>
      <c r="N89" s="285" t="s">
        <v>4877</v>
      </c>
      <c r="O89" s="285" t="s">
        <v>3793</v>
      </c>
      <c r="P89" s="285"/>
      <c r="Q89" s="285" t="s">
        <v>3136</v>
      </c>
      <c r="R89" s="14">
        <v>44554</v>
      </c>
      <c r="S89" s="285">
        <v>975</v>
      </c>
      <c r="T89" s="285" t="s">
        <v>11399</v>
      </c>
      <c r="U89" s="15">
        <v>44538</v>
      </c>
      <c r="V89" s="22" t="s">
        <v>11401</v>
      </c>
    </row>
    <row r="90" spans="1:22" s="19" customFormat="1" ht="105.75" customHeight="1" x14ac:dyDescent="0.2">
      <c r="A90" s="20">
        <v>85</v>
      </c>
      <c r="B90" s="12" t="s">
        <v>11372</v>
      </c>
      <c r="C90" s="12"/>
      <c r="D90" s="27" t="s">
        <v>12052</v>
      </c>
      <c r="E90" s="22" t="s">
        <v>11396</v>
      </c>
      <c r="F90" s="285"/>
      <c r="G90" s="70"/>
      <c r="H90" s="70"/>
      <c r="I90" s="285">
        <v>2021</v>
      </c>
      <c r="J90" s="15"/>
      <c r="K90" s="17">
        <v>3876000</v>
      </c>
      <c r="L90" s="17">
        <v>599857.18000000005</v>
      </c>
      <c r="M90" s="17">
        <f t="shared" si="6"/>
        <v>3276142.82</v>
      </c>
      <c r="N90" s="285" t="s">
        <v>4877</v>
      </c>
      <c r="O90" s="285" t="s">
        <v>3793</v>
      </c>
      <c r="P90" s="285"/>
      <c r="Q90" s="285" t="s">
        <v>3136</v>
      </c>
      <c r="R90" s="14">
        <v>44554</v>
      </c>
      <c r="S90" s="285">
        <v>975</v>
      </c>
      <c r="T90" s="285" t="s">
        <v>11399</v>
      </c>
      <c r="U90" s="15">
        <v>44538</v>
      </c>
      <c r="V90" s="22" t="s">
        <v>11402</v>
      </c>
    </row>
    <row r="91" spans="1:22" s="19" customFormat="1" ht="105.75" customHeight="1" x14ac:dyDescent="0.2">
      <c r="A91" s="20">
        <v>86</v>
      </c>
      <c r="B91" s="12" t="s">
        <v>11373</v>
      </c>
      <c r="C91" s="12"/>
      <c r="D91" s="27" t="s">
        <v>12053</v>
      </c>
      <c r="E91" s="22" t="s">
        <v>11397</v>
      </c>
      <c r="F91" s="285"/>
      <c r="G91" s="70"/>
      <c r="H91" s="70"/>
      <c r="I91" s="285">
        <v>2021</v>
      </c>
      <c r="J91" s="15"/>
      <c r="K91" s="17">
        <v>4121000</v>
      </c>
      <c r="L91" s="17">
        <v>637773.76</v>
      </c>
      <c r="M91" s="17">
        <f t="shared" si="6"/>
        <v>3483226.24</v>
      </c>
      <c r="N91" s="285" t="s">
        <v>4877</v>
      </c>
      <c r="O91" s="285" t="s">
        <v>3793</v>
      </c>
      <c r="P91" s="285"/>
      <c r="Q91" s="285" t="s">
        <v>3136</v>
      </c>
      <c r="R91" s="14">
        <v>44554</v>
      </c>
      <c r="S91" s="285">
        <v>975</v>
      </c>
      <c r="T91" s="285" t="s">
        <v>11399</v>
      </c>
      <c r="U91" s="15">
        <v>44533</v>
      </c>
      <c r="V91" s="22" t="s">
        <v>11400</v>
      </c>
    </row>
    <row r="92" spans="1:22" s="19" customFormat="1" ht="105.75" customHeight="1" x14ac:dyDescent="0.2">
      <c r="A92" s="20">
        <v>87</v>
      </c>
      <c r="B92" s="12" t="s">
        <v>11374</v>
      </c>
      <c r="C92" s="12"/>
      <c r="D92" s="27" t="s">
        <v>12054</v>
      </c>
      <c r="E92" s="22" t="s">
        <v>11398</v>
      </c>
      <c r="F92" s="285"/>
      <c r="G92" s="70"/>
      <c r="H92" s="70"/>
      <c r="I92" s="285">
        <v>2021</v>
      </c>
      <c r="J92" s="15"/>
      <c r="K92" s="17">
        <v>4121000</v>
      </c>
      <c r="L92" s="17">
        <v>637773.76</v>
      </c>
      <c r="M92" s="17">
        <f t="shared" si="6"/>
        <v>3483226.24</v>
      </c>
      <c r="N92" s="285" t="s">
        <v>4877</v>
      </c>
      <c r="O92" s="285" t="s">
        <v>3793</v>
      </c>
      <c r="P92" s="285"/>
      <c r="Q92" s="285" t="s">
        <v>3136</v>
      </c>
      <c r="R92" s="14">
        <v>44554</v>
      </c>
      <c r="S92" s="285">
        <v>975</v>
      </c>
      <c r="T92" s="285" t="s">
        <v>11399</v>
      </c>
      <c r="U92" s="15">
        <v>44533</v>
      </c>
      <c r="V92" s="22" t="s">
        <v>11400</v>
      </c>
    </row>
    <row r="93" spans="1:22" s="19" customFormat="1" ht="105.75" customHeight="1" x14ac:dyDescent="0.2">
      <c r="A93" s="20">
        <v>88</v>
      </c>
      <c r="B93" s="12" t="s">
        <v>11404</v>
      </c>
      <c r="C93" s="12"/>
      <c r="D93" s="27" t="s">
        <v>12045</v>
      </c>
      <c r="E93" s="22" t="s">
        <v>12046</v>
      </c>
      <c r="F93" s="285" t="s">
        <v>11406</v>
      </c>
      <c r="G93" s="70"/>
      <c r="H93" s="70"/>
      <c r="I93" s="14">
        <v>44526</v>
      </c>
      <c r="J93" s="15"/>
      <c r="K93" s="17">
        <v>2287660</v>
      </c>
      <c r="L93" s="17">
        <v>228765.96</v>
      </c>
      <c r="M93" s="17">
        <f t="shared" si="6"/>
        <v>2058894.04</v>
      </c>
      <c r="N93" s="285" t="s">
        <v>4877</v>
      </c>
      <c r="O93" s="285" t="s">
        <v>3793</v>
      </c>
      <c r="P93" s="285"/>
      <c r="Q93" s="285" t="s">
        <v>3136</v>
      </c>
      <c r="R93" s="14">
        <v>44579</v>
      </c>
      <c r="S93" s="285">
        <v>25</v>
      </c>
      <c r="T93" s="285" t="s">
        <v>11399</v>
      </c>
      <c r="U93" s="15">
        <v>44558</v>
      </c>
      <c r="V93" s="22" t="s">
        <v>11405</v>
      </c>
    </row>
    <row r="94" spans="1:22" s="19" customFormat="1" ht="105.75" customHeight="1" x14ac:dyDescent="0.2">
      <c r="A94" s="20">
        <v>89</v>
      </c>
      <c r="B94" s="12" t="s">
        <v>11420</v>
      </c>
      <c r="C94" s="12"/>
      <c r="D94" s="27" t="s">
        <v>12056</v>
      </c>
      <c r="E94" s="22" t="s">
        <v>11421</v>
      </c>
      <c r="F94" s="285"/>
      <c r="G94" s="70"/>
      <c r="H94" s="70"/>
      <c r="I94" s="285">
        <v>2022</v>
      </c>
      <c r="J94" s="15"/>
      <c r="K94" s="17">
        <v>3876000</v>
      </c>
      <c r="L94" s="17">
        <v>553714.31999999995</v>
      </c>
      <c r="M94" s="17">
        <f>K94-L94</f>
        <v>3322285.68</v>
      </c>
      <c r="N94" s="285" t="s">
        <v>4877</v>
      </c>
      <c r="O94" s="285" t="s">
        <v>3793</v>
      </c>
      <c r="P94" s="285"/>
      <c r="Q94" s="285" t="s">
        <v>3136</v>
      </c>
      <c r="R94" s="14">
        <v>44588</v>
      </c>
      <c r="S94" s="285">
        <v>65</v>
      </c>
      <c r="T94" s="285" t="s">
        <v>11399</v>
      </c>
      <c r="U94" s="15">
        <v>44206</v>
      </c>
      <c r="V94" s="22" t="s">
        <v>4044</v>
      </c>
    </row>
    <row r="95" spans="1:22" s="19" customFormat="1" ht="105.75" customHeight="1" x14ac:dyDescent="0.2">
      <c r="A95" s="20">
        <v>90</v>
      </c>
      <c r="B95" s="12" t="s">
        <v>11422</v>
      </c>
      <c r="C95" s="12"/>
      <c r="D95" s="27" t="s">
        <v>12057</v>
      </c>
      <c r="E95" s="22" t="s">
        <v>11423</v>
      </c>
      <c r="F95" s="285"/>
      <c r="G95" s="70"/>
      <c r="H95" s="70"/>
      <c r="I95" s="285">
        <v>2022</v>
      </c>
      <c r="J95" s="15"/>
      <c r="K95" s="17">
        <v>3876000</v>
      </c>
      <c r="L95" s="17">
        <v>553714.31999999995</v>
      </c>
      <c r="M95" s="17">
        <f t="shared" si="6"/>
        <v>3322285.68</v>
      </c>
      <c r="N95" s="285" t="s">
        <v>4877</v>
      </c>
      <c r="O95" s="285" t="s">
        <v>3793</v>
      </c>
      <c r="P95" s="285"/>
      <c r="Q95" s="285" t="s">
        <v>3136</v>
      </c>
      <c r="R95" s="14">
        <v>44588</v>
      </c>
      <c r="S95" s="285">
        <v>65</v>
      </c>
      <c r="T95" s="285" t="s">
        <v>11399</v>
      </c>
      <c r="U95" s="15">
        <v>44206</v>
      </c>
      <c r="V95" s="22" t="s">
        <v>4044</v>
      </c>
    </row>
    <row r="96" spans="1:22" s="19" customFormat="1" ht="105.75" customHeight="1" x14ac:dyDescent="0.2">
      <c r="A96" s="20">
        <v>91</v>
      </c>
      <c r="B96" s="12" t="s">
        <v>11424</v>
      </c>
      <c r="C96" s="12"/>
      <c r="D96" s="27" t="s">
        <v>12058</v>
      </c>
      <c r="E96" s="22" t="s">
        <v>11425</v>
      </c>
      <c r="F96" s="285"/>
      <c r="G96" s="70"/>
      <c r="H96" s="70"/>
      <c r="I96" s="285">
        <v>2022</v>
      </c>
      <c r="J96" s="15"/>
      <c r="K96" s="17">
        <v>3876000</v>
      </c>
      <c r="L96" s="17">
        <v>553714.31999999995</v>
      </c>
      <c r="M96" s="17">
        <f t="shared" si="6"/>
        <v>3322285.68</v>
      </c>
      <c r="N96" s="285" t="s">
        <v>4877</v>
      </c>
      <c r="O96" s="285" t="s">
        <v>3793</v>
      </c>
      <c r="P96" s="285"/>
      <c r="Q96" s="285" t="s">
        <v>3136</v>
      </c>
      <c r="R96" s="14">
        <v>44588</v>
      </c>
      <c r="S96" s="285">
        <v>65</v>
      </c>
      <c r="T96" s="285" t="s">
        <v>11399</v>
      </c>
      <c r="U96" s="15">
        <v>44206</v>
      </c>
      <c r="V96" s="22" t="s">
        <v>4044</v>
      </c>
    </row>
    <row r="97" spans="1:22" s="19" customFormat="1" ht="105.75" customHeight="1" x14ac:dyDescent="0.2">
      <c r="A97" s="20">
        <v>92</v>
      </c>
      <c r="B97" s="12" t="s">
        <v>11426</v>
      </c>
      <c r="C97" s="12"/>
      <c r="D97" s="27" t="s">
        <v>12059</v>
      </c>
      <c r="E97" s="22" t="s">
        <v>11427</v>
      </c>
      <c r="F97" s="285"/>
      <c r="G97" s="70"/>
      <c r="H97" s="70"/>
      <c r="I97" s="285">
        <v>2022</v>
      </c>
      <c r="J97" s="15"/>
      <c r="K97" s="17">
        <v>3876000</v>
      </c>
      <c r="L97" s="17">
        <v>553714.31999999995</v>
      </c>
      <c r="M97" s="17">
        <f t="shared" si="6"/>
        <v>3322285.68</v>
      </c>
      <c r="N97" s="285" t="s">
        <v>4877</v>
      </c>
      <c r="O97" s="285" t="s">
        <v>3793</v>
      </c>
      <c r="P97" s="285"/>
      <c r="Q97" s="285" t="s">
        <v>3136</v>
      </c>
      <c r="R97" s="14">
        <v>44588</v>
      </c>
      <c r="S97" s="285">
        <v>65</v>
      </c>
      <c r="T97" s="285" t="s">
        <v>11399</v>
      </c>
      <c r="U97" s="15">
        <v>44206</v>
      </c>
      <c r="V97" s="22" t="s">
        <v>4044</v>
      </c>
    </row>
    <row r="98" spans="1:22" s="19" customFormat="1" ht="78.75" customHeight="1" x14ac:dyDescent="0.2">
      <c r="A98" s="289">
        <v>93</v>
      </c>
      <c r="B98" s="12" t="s">
        <v>11811</v>
      </c>
      <c r="C98" s="12"/>
      <c r="D98" s="27" t="s">
        <v>11812</v>
      </c>
      <c r="E98" s="22" t="s">
        <v>12055</v>
      </c>
      <c r="F98" s="285" t="s">
        <v>11964</v>
      </c>
      <c r="G98" s="70"/>
      <c r="H98" s="70"/>
      <c r="I98" s="285">
        <v>2022</v>
      </c>
      <c r="J98" s="15"/>
      <c r="K98" s="17">
        <v>9798000</v>
      </c>
      <c r="L98" s="17">
        <v>466571.44</v>
      </c>
      <c r="M98" s="17">
        <f>K98-L98</f>
        <v>9331428.5600000005</v>
      </c>
      <c r="N98" s="285" t="s">
        <v>4877</v>
      </c>
      <c r="O98" s="285" t="s">
        <v>3793</v>
      </c>
      <c r="P98" s="285"/>
      <c r="Q98" s="285" t="s">
        <v>3136</v>
      </c>
      <c r="R98" s="14">
        <v>44778</v>
      </c>
      <c r="S98" s="285">
        <v>598</v>
      </c>
      <c r="T98" s="285" t="s">
        <v>11399</v>
      </c>
      <c r="U98" s="15">
        <v>44761</v>
      </c>
      <c r="V98" s="22" t="s">
        <v>9233</v>
      </c>
    </row>
    <row r="99" spans="1:22" s="19" customFormat="1" ht="78.75" customHeight="1" x14ac:dyDescent="0.2">
      <c r="A99" s="289">
        <v>94</v>
      </c>
      <c r="B99" s="12" t="s">
        <v>12272</v>
      </c>
      <c r="C99" s="12"/>
      <c r="D99" s="27" t="s">
        <v>12302</v>
      </c>
      <c r="E99" s="22" t="s">
        <v>12303</v>
      </c>
      <c r="F99" s="285" t="s">
        <v>12304</v>
      </c>
      <c r="G99" s="70"/>
      <c r="H99" s="70"/>
      <c r="I99" s="285">
        <v>2008</v>
      </c>
      <c r="J99" s="15">
        <v>44900</v>
      </c>
      <c r="K99" s="17">
        <v>994000</v>
      </c>
      <c r="L99" s="17">
        <v>0</v>
      </c>
      <c r="M99" s="17">
        <f>K99-L99</f>
        <v>994000</v>
      </c>
      <c r="N99" s="285" t="s">
        <v>4877</v>
      </c>
      <c r="O99" s="285" t="s">
        <v>3793</v>
      </c>
      <c r="P99" s="285"/>
      <c r="Q99" s="285" t="s">
        <v>3136</v>
      </c>
      <c r="R99" s="14">
        <v>44914</v>
      </c>
      <c r="S99" s="285">
        <v>1184</v>
      </c>
      <c r="T99" s="285" t="s">
        <v>538</v>
      </c>
      <c r="U99" s="15">
        <v>44900</v>
      </c>
      <c r="V99" s="22" t="s">
        <v>1029</v>
      </c>
    </row>
    <row r="100" spans="1:22" s="19" customFormat="1" ht="12" x14ac:dyDescent="0.2">
      <c r="A100" s="39"/>
      <c r="B100" s="39"/>
      <c r="C100" s="39"/>
      <c r="E100" s="39"/>
      <c r="I100" s="39"/>
      <c r="K100" s="101">
        <f>SUM(K8:K99)</f>
        <v>70424140.620000005</v>
      </c>
      <c r="L100" s="101"/>
      <c r="M100" s="101"/>
      <c r="N100" s="39"/>
      <c r="O100" s="39"/>
      <c r="P100" s="39"/>
      <c r="Q100" s="39"/>
      <c r="R100" s="39"/>
      <c r="S100" s="39"/>
      <c r="T100" s="39"/>
      <c r="U100" s="39"/>
      <c r="V100" s="39"/>
    </row>
    <row r="101" spans="1:22" s="19" customFormat="1" ht="12" x14ac:dyDescent="0.2">
      <c r="A101" s="39"/>
      <c r="B101" s="39"/>
      <c r="C101" s="39"/>
      <c r="E101" s="284"/>
      <c r="I101" s="39"/>
      <c r="K101" s="39"/>
      <c r="L101" s="39"/>
      <c r="M101" s="39"/>
      <c r="N101" s="39"/>
      <c r="O101" s="39"/>
      <c r="P101" s="39"/>
      <c r="Q101" s="39"/>
      <c r="R101" s="39"/>
      <c r="S101" s="39"/>
      <c r="T101" s="39"/>
      <c r="U101" s="39"/>
      <c r="V101" s="39"/>
    </row>
    <row r="102" spans="1:22" s="19" customFormat="1" ht="12" x14ac:dyDescent="0.2">
      <c r="A102" s="39"/>
      <c r="B102" s="39"/>
      <c r="C102" s="39"/>
      <c r="E102" s="284"/>
      <c r="I102" s="39"/>
      <c r="K102" s="39"/>
      <c r="L102" s="39"/>
      <c r="M102" s="39"/>
      <c r="N102" s="39"/>
      <c r="O102" s="39"/>
      <c r="P102" s="39"/>
      <c r="Q102" s="39"/>
      <c r="R102" s="39"/>
      <c r="S102" s="39"/>
      <c r="T102" s="39"/>
      <c r="U102" s="39"/>
      <c r="V102" s="39"/>
    </row>
    <row r="103" spans="1:22" s="19" customFormat="1" ht="12" x14ac:dyDescent="0.2">
      <c r="A103" s="39"/>
      <c r="B103" s="39"/>
      <c r="C103" s="39"/>
      <c r="E103" s="284"/>
      <c r="I103" s="39"/>
      <c r="K103" s="39"/>
      <c r="L103" s="39"/>
      <c r="M103" s="39"/>
      <c r="N103" s="39"/>
      <c r="O103" s="39"/>
      <c r="P103" s="39"/>
      <c r="Q103" s="39"/>
      <c r="R103" s="39"/>
      <c r="S103" s="39"/>
      <c r="T103" s="39"/>
      <c r="U103" s="39"/>
      <c r="V103" s="39"/>
    </row>
    <row r="104" spans="1:22" s="19" customFormat="1" ht="12" x14ac:dyDescent="0.2">
      <c r="A104" s="39"/>
      <c r="B104" s="39"/>
      <c r="C104" s="39"/>
      <c r="E104" s="284"/>
      <c r="I104" s="39"/>
      <c r="K104" s="39"/>
      <c r="L104" s="39"/>
      <c r="M104" s="39"/>
      <c r="N104" s="39"/>
      <c r="O104" s="39"/>
      <c r="P104" s="39"/>
      <c r="Q104" s="39"/>
      <c r="R104" s="39"/>
      <c r="S104" s="39"/>
      <c r="T104" s="39"/>
      <c r="U104" s="39"/>
      <c r="V104" s="39"/>
    </row>
    <row r="105" spans="1:22" s="19" customFormat="1" ht="12" x14ac:dyDescent="0.2">
      <c r="A105" s="39"/>
      <c r="B105" s="39"/>
      <c r="C105" s="39"/>
      <c r="E105" s="284"/>
      <c r="I105" s="39"/>
      <c r="K105" s="39"/>
      <c r="L105" s="39"/>
      <c r="M105" s="39"/>
      <c r="N105" s="39"/>
      <c r="O105" s="39"/>
      <c r="P105" s="39"/>
      <c r="Q105" s="39"/>
      <c r="R105" s="39"/>
      <c r="S105" s="39"/>
      <c r="T105" s="39"/>
      <c r="U105" s="39"/>
      <c r="V105" s="39"/>
    </row>
    <row r="106" spans="1:22" s="19" customFormat="1" ht="12" x14ac:dyDescent="0.2">
      <c r="A106" s="39"/>
      <c r="B106" s="39"/>
      <c r="C106" s="39"/>
      <c r="E106" s="284"/>
      <c r="I106" s="39"/>
      <c r="K106" s="39"/>
      <c r="L106" s="39"/>
      <c r="M106" s="39"/>
      <c r="N106" s="39"/>
      <c r="O106" s="39"/>
      <c r="P106" s="39"/>
      <c r="Q106" s="39"/>
      <c r="R106" s="39"/>
      <c r="S106" s="39"/>
      <c r="T106" s="39"/>
      <c r="U106" s="39"/>
      <c r="V106" s="39"/>
    </row>
    <row r="107" spans="1:22" s="19" customFormat="1" ht="12" x14ac:dyDescent="0.2">
      <c r="A107" s="39"/>
      <c r="B107" s="39"/>
      <c r="C107" s="39"/>
      <c r="E107" s="284"/>
      <c r="I107" s="39"/>
      <c r="K107" s="39"/>
      <c r="L107" s="39"/>
      <c r="M107" s="39"/>
      <c r="N107" s="39"/>
      <c r="O107" s="39"/>
      <c r="P107" s="39"/>
      <c r="Q107" s="39"/>
      <c r="R107" s="39"/>
      <c r="S107" s="39"/>
      <c r="T107" s="39"/>
      <c r="U107" s="39"/>
      <c r="V107" s="39"/>
    </row>
    <row r="108" spans="1:22" s="19" customFormat="1" ht="12" x14ac:dyDescent="0.2">
      <c r="A108" s="39"/>
      <c r="B108" s="39"/>
      <c r="C108" s="39"/>
      <c r="E108" s="284"/>
      <c r="I108" s="39"/>
      <c r="K108" s="39"/>
      <c r="L108" s="39"/>
      <c r="M108" s="39"/>
      <c r="N108" s="39"/>
      <c r="O108" s="39"/>
      <c r="P108" s="39"/>
      <c r="Q108" s="39"/>
      <c r="R108" s="39"/>
      <c r="S108" s="39"/>
      <c r="T108" s="39"/>
      <c r="U108" s="39"/>
      <c r="V108" s="39"/>
    </row>
    <row r="109" spans="1:22" s="19" customFormat="1" ht="12" x14ac:dyDescent="0.2">
      <c r="A109" s="39"/>
      <c r="B109" s="39"/>
      <c r="C109" s="39"/>
      <c r="E109" s="284"/>
      <c r="I109" s="39"/>
      <c r="K109" s="39"/>
      <c r="L109" s="39"/>
      <c r="M109" s="39"/>
      <c r="N109" s="39"/>
      <c r="O109" s="39"/>
      <c r="P109" s="39"/>
      <c r="Q109" s="39"/>
      <c r="R109" s="39"/>
      <c r="S109" s="39"/>
      <c r="T109" s="39"/>
      <c r="U109" s="39"/>
      <c r="V109" s="39"/>
    </row>
    <row r="110" spans="1:22" s="19" customFormat="1" ht="12" x14ac:dyDescent="0.2">
      <c r="A110" s="39"/>
      <c r="B110" s="39"/>
      <c r="C110" s="39"/>
      <c r="E110" s="284"/>
      <c r="I110" s="39"/>
      <c r="K110" s="39"/>
      <c r="L110" s="39"/>
      <c r="M110" s="39"/>
      <c r="N110" s="39"/>
      <c r="O110" s="39"/>
      <c r="P110" s="39"/>
      <c r="Q110" s="39"/>
      <c r="R110" s="39"/>
      <c r="S110" s="39"/>
      <c r="T110" s="39"/>
      <c r="U110" s="39"/>
      <c r="V110" s="39"/>
    </row>
    <row r="111" spans="1:22" s="19" customFormat="1" ht="12" x14ac:dyDescent="0.2">
      <c r="A111" s="39"/>
      <c r="B111" s="39"/>
      <c r="C111" s="39"/>
      <c r="E111" s="284"/>
      <c r="I111" s="39"/>
      <c r="K111" s="39"/>
      <c r="L111" s="39"/>
      <c r="M111" s="39"/>
      <c r="N111" s="39"/>
      <c r="O111" s="39"/>
      <c r="P111" s="39"/>
      <c r="Q111" s="39"/>
      <c r="R111" s="39"/>
      <c r="S111" s="39"/>
      <c r="T111" s="39"/>
      <c r="U111" s="39"/>
      <c r="V111" s="39"/>
    </row>
    <row r="112" spans="1:22" s="19" customFormat="1" ht="12" x14ac:dyDescent="0.2">
      <c r="A112" s="39"/>
      <c r="B112" s="39"/>
      <c r="C112" s="39"/>
      <c r="E112" s="284"/>
      <c r="I112" s="39"/>
      <c r="K112" s="39"/>
      <c r="L112" s="39"/>
      <c r="M112" s="39"/>
      <c r="N112" s="39"/>
      <c r="O112" s="39"/>
      <c r="P112" s="39"/>
      <c r="Q112" s="39"/>
      <c r="R112" s="39"/>
      <c r="S112" s="39"/>
      <c r="T112" s="39"/>
      <c r="U112" s="39"/>
      <c r="V112" s="39"/>
    </row>
    <row r="113" spans="1:22" s="19" customFormat="1" ht="12" x14ac:dyDescent="0.2">
      <c r="A113" s="39"/>
      <c r="B113" s="39"/>
      <c r="C113" s="39"/>
      <c r="E113" s="284"/>
      <c r="I113" s="39"/>
      <c r="K113" s="39"/>
      <c r="L113" s="39"/>
      <c r="M113" s="39"/>
      <c r="N113" s="39"/>
      <c r="O113" s="39"/>
      <c r="P113" s="39"/>
      <c r="Q113" s="39"/>
      <c r="R113" s="39"/>
      <c r="S113" s="39"/>
      <c r="T113" s="39"/>
      <c r="U113" s="39"/>
      <c r="V113" s="39"/>
    </row>
    <row r="114" spans="1:22" s="19" customFormat="1" ht="12" x14ac:dyDescent="0.2">
      <c r="A114" s="39"/>
      <c r="B114" s="39"/>
      <c r="C114" s="39"/>
      <c r="E114" s="284"/>
      <c r="I114" s="39"/>
      <c r="K114" s="39"/>
      <c r="L114" s="39"/>
      <c r="M114" s="39"/>
      <c r="N114" s="39"/>
      <c r="O114" s="39"/>
      <c r="P114" s="39"/>
      <c r="Q114" s="39"/>
      <c r="R114" s="39"/>
      <c r="S114" s="39"/>
      <c r="T114" s="39"/>
      <c r="U114" s="39"/>
      <c r="V114" s="39"/>
    </row>
    <row r="115" spans="1:22" s="19" customFormat="1" ht="12" x14ac:dyDescent="0.2">
      <c r="A115" s="39"/>
      <c r="B115" s="39"/>
      <c r="C115" s="39"/>
      <c r="E115" s="284"/>
      <c r="I115" s="39"/>
      <c r="K115" s="39"/>
      <c r="L115" s="39"/>
      <c r="M115" s="39"/>
      <c r="N115" s="39"/>
      <c r="O115" s="39"/>
      <c r="P115" s="39"/>
      <c r="Q115" s="39"/>
      <c r="R115" s="39"/>
      <c r="S115" s="39"/>
      <c r="T115" s="39"/>
      <c r="U115" s="39"/>
      <c r="V115" s="39"/>
    </row>
    <row r="116" spans="1:22" s="19" customFormat="1" ht="12" x14ac:dyDescent="0.2">
      <c r="A116" s="39"/>
      <c r="B116" s="39"/>
      <c r="C116" s="39"/>
      <c r="E116" s="284"/>
      <c r="I116" s="39"/>
      <c r="K116" s="39"/>
      <c r="L116" s="39"/>
      <c r="M116" s="39"/>
      <c r="N116" s="39"/>
      <c r="O116" s="39"/>
      <c r="P116" s="39"/>
      <c r="Q116" s="39"/>
      <c r="R116" s="39"/>
      <c r="S116" s="39"/>
      <c r="T116" s="39"/>
      <c r="U116" s="39"/>
      <c r="V116" s="39"/>
    </row>
    <row r="117" spans="1:22" s="19" customFormat="1" ht="12" x14ac:dyDescent="0.2">
      <c r="A117" s="39"/>
      <c r="B117" s="39"/>
      <c r="C117" s="39"/>
      <c r="E117" s="284"/>
      <c r="I117" s="39"/>
      <c r="K117" s="39"/>
      <c r="L117" s="39"/>
      <c r="M117" s="39"/>
      <c r="N117" s="39"/>
      <c r="O117" s="39"/>
      <c r="P117" s="39"/>
      <c r="Q117" s="39"/>
      <c r="R117" s="39"/>
      <c r="S117" s="39"/>
      <c r="T117" s="39"/>
      <c r="U117" s="39"/>
      <c r="V117" s="39"/>
    </row>
    <row r="118" spans="1:22" s="19" customFormat="1" ht="12" x14ac:dyDescent="0.2">
      <c r="A118" s="39"/>
      <c r="B118" s="39"/>
      <c r="C118" s="39"/>
      <c r="E118" s="284"/>
      <c r="I118" s="39"/>
      <c r="K118" s="39"/>
      <c r="L118" s="39"/>
      <c r="M118" s="39"/>
      <c r="N118" s="39"/>
      <c r="O118" s="39"/>
      <c r="P118" s="39"/>
      <c r="Q118" s="39"/>
      <c r="R118" s="39"/>
      <c r="S118" s="39"/>
      <c r="T118" s="39"/>
      <c r="U118" s="39"/>
      <c r="V118" s="39"/>
    </row>
    <row r="119" spans="1:22" s="19" customFormat="1" ht="12" x14ac:dyDescent="0.2">
      <c r="A119" s="39"/>
      <c r="B119" s="39"/>
      <c r="C119" s="39"/>
      <c r="E119" s="284"/>
      <c r="I119" s="39"/>
      <c r="K119" s="39"/>
      <c r="L119" s="39"/>
      <c r="M119" s="39"/>
      <c r="N119" s="39"/>
      <c r="O119" s="39"/>
      <c r="P119" s="39"/>
      <c r="Q119" s="39"/>
      <c r="R119" s="39"/>
      <c r="S119" s="39"/>
      <c r="T119" s="39"/>
      <c r="U119" s="39"/>
      <c r="V119" s="39"/>
    </row>
    <row r="120" spans="1:22" s="19" customFormat="1" ht="12" x14ac:dyDescent="0.2">
      <c r="A120" s="39"/>
      <c r="B120" s="39"/>
      <c r="C120" s="39"/>
      <c r="E120" s="284"/>
      <c r="I120" s="39"/>
      <c r="K120" s="39"/>
      <c r="L120" s="39"/>
      <c r="M120" s="39"/>
      <c r="N120" s="39"/>
      <c r="O120" s="39"/>
      <c r="P120" s="39"/>
      <c r="Q120" s="39"/>
      <c r="R120" s="39"/>
      <c r="S120" s="39"/>
      <c r="T120" s="39"/>
      <c r="U120" s="39"/>
      <c r="V120" s="39"/>
    </row>
    <row r="121" spans="1:22" s="19" customFormat="1" ht="12" x14ac:dyDescent="0.2">
      <c r="A121" s="39"/>
      <c r="B121" s="39"/>
      <c r="C121" s="39"/>
      <c r="E121" s="284"/>
      <c r="I121" s="39"/>
      <c r="K121" s="39"/>
      <c r="L121" s="39"/>
      <c r="M121" s="39"/>
      <c r="N121" s="39"/>
      <c r="O121" s="39"/>
      <c r="P121" s="39"/>
      <c r="Q121" s="39"/>
      <c r="R121" s="39"/>
      <c r="S121" s="39"/>
      <c r="T121" s="39"/>
      <c r="U121" s="39"/>
      <c r="V121" s="39"/>
    </row>
    <row r="122" spans="1:22" s="19" customFormat="1" ht="12" x14ac:dyDescent="0.2">
      <c r="A122" s="39"/>
      <c r="B122" s="39"/>
      <c r="C122" s="39"/>
      <c r="E122" s="284"/>
      <c r="I122" s="39"/>
      <c r="K122" s="39"/>
      <c r="L122" s="39"/>
      <c r="M122" s="39"/>
      <c r="N122" s="39"/>
      <c r="O122" s="39"/>
      <c r="P122" s="39"/>
      <c r="Q122" s="39"/>
      <c r="R122" s="39"/>
      <c r="S122" s="39"/>
      <c r="T122" s="39"/>
      <c r="U122" s="39"/>
      <c r="V122" s="39"/>
    </row>
    <row r="123" spans="1:22" s="19" customFormat="1" ht="12" x14ac:dyDescent="0.2">
      <c r="A123" s="39"/>
      <c r="B123" s="39"/>
      <c r="C123" s="39"/>
      <c r="E123" s="284"/>
      <c r="I123" s="39"/>
      <c r="K123" s="39"/>
      <c r="L123" s="39"/>
      <c r="M123" s="39"/>
      <c r="N123" s="39"/>
      <c r="O123" s="39"/>
      <c r="P123" s="39"/>
      <c r="Q123" s="39"/>
      <c r="R123" s="39"/>
      <c r="S123" s="39"/>
      <c r="T123" s="39"/>
      <c r="U123" s="39"/>
      <c r="V123" s="39"/>
    </row>
    <row r="124" spans="1:22" s="19" customFormat="1" ht="12" x14ac:dyDescent="0.2">
      <c r="A124" s="39"/>
      <c r="B124" s="39"/>
      <c r="C124" s="39"/>
      <c r="E124" s="284"/>
      <c r="I124" s="39"/>
      <c r="K124" s="39"/>
      <c r="L124" s="39"/>
      <c r="M124" s="39"/>
      <c r="N124" s="39"/>
      <c r="O124" s="39"/>
      <c r="P124" s="39"/>
      <c r="Q124" s="39"/>
      <c r="R124" s="39"/>
      <c r="S124" s="39"/>
      <c r="T124" s="39"/>
      <c r="U124" s="39"/>
      <c r="V124" s="39"/>
    </row>
    <row r="125" spans="1:22" s="19" customFormat="1" ht="12" x14ac:dyDescent="0.2">
      <c r="A125" s="39"/>
      <c r="B125" s="39"/>
      <c r="C125" s="39"/>
      <c r="E125" s="284"/>
      <c r="I125" s="39"/>
      <c r="K125" s="39"/>
      <c r="L125" s="39"/>
      <c r="M125" s="39"/>
      <c r="N125" s="39"/>
      <c r="O125" s="39"/>
      <c r="P125" s="39"/>
      <c r="Q125" s="39"/>
      <c r="R125" s="39"/>
      <c r="S125" s="39"/>
      <c r="T125" s="39"/>
      <c r="U125" s="39"/>
      <c r="V125" s="39"/>
    </row>
    <row r="126" spans="1:22" s="19" customFormat="1" ht="12" x14ac:dyDescent="0.2">
      <c r="A126" s="39"/>
      <c r="B126" s="39"/>
      <c r="C126" s="39"/>
      <c r="E126" s="284"/>
      <c r="I126" s="39"/>
      <c r="K126" s="39"/>
      <c r="L126" s="39"/>
      <c r="M126" s="39"/>
      <c r="N126" s="39"/>
      <c r="O126" s="39"/>
      <c r="P126" s="39"/>
      <c r="Q126" s="39"/>
      <c r="R126" s="39"/>
      <c r="S126" s="39"/>
      <c r="T126" s="39"/>
      <c r="U126" s="39"/>
      <c r="V126" s="39"/>
    </row>
    <row r="127" spans="1:22" s="19" customFormat="1" ht="12" x14ac:dyDescent="0.2">
      <c r="A127" s="39"/>
      <c r="B127" s="39"/>
      <c r="C127" s="39"/>
      <c r="E127" s="284"/>
      <c r="I127" s="39"/>
      <c r="K127" s="39"/>
      <c r="L127" s="39"/>
      <c r="M127" s="39"/>
      <c r="N127" s="39"/>
      <c r="O127" s="39"/>
      <c r="P127" s="39"/>
      <c r="Q127" s="39"/>
      <c r="R127" s="39"/>
      <c r="S127" s="39"/>
      <c r="T127" s="39"/>
      <c r="U127" s="39"/>
      <c r="V127" s="39"/>
    </row>
    <row r="128" spans="1:22" s="19" customFormat="1" ht="12" x14ac:dyDescent="0.2">
      <c r="A128" s="39"/>
      <c r="B128" s="39"/>
      <c r="C128" s="39"/>
      <c r="E128" s="284"/>
      <c r="I128" s="39"/>
      <c r="K128" s="39"/>
      <c r="L128" s="39"/>
      <c r="M128" s="39"/>
      <c r="N128" s="39"/>
      <c r="O128" s="39"/>
      <c r="P128" s="39"/>
      <c r="Q128" s="39"/>
      <c r="R128" s="39"/>
      <c r="S128" s="39"/>
      <c r="T128" s="39"/>
      <c r="U128" s="39"/>
      <c r="V128" s="39"/>
    </row>
    <row r="129" spans="1:22" s="19" customFormat="1" ht="12" x14ac:dyDescent="0.2">
      <c r="A129" s="39"/>
      <c r="B129" s="39"/>
      <c r="C129" s="39"/>
      <c r="E129" s="284"/>
      <c r="I129" s="39"/>
      <c r="K129" s="39"/>
      <c r="L129" s="39"/>
      <c r="M129" s="39"/>
      <c r="N129" s="39"/>
      <c r="O129" s="39"/>
      <c r="P129" s="39"/>
      <c r="Q129" s="39"/>
      <c r="R129" s="39"/>
      <c r="S129" s="39"/>
      <c r="T129" s="39"/>
      <c r="U129" s="39"/>
      <c r="V129" s="39"/>
    </row>
    <row r="130" spans="1:22" s="19" customFormat="1" ht="12" x14ac:dyDescent="0.2">
      <c r="A130" s="39"/>
      <c r="B130" s="39"/>
      <c r="C130" s="39"/>
      <c r="E130" s="284"/>
      <c r="I130" s="39"/>
      <c r="K130" s="39"/>
      <c r="L130" s="39"/>
      <c r="M130" s="39"/>
      <c r="N130" s="39"/>
      <c r="O130" s="39"/>
      <c r="P130" s="39"/>
      <c r="Q130" s="39"/>
      <c r="R130" s="39"/>
      <c r="S130" s="39"/>
      <c r="T130" s="39"/>
      <c r="U130" s="39"/>
      <c r="V130" s="39"/>
    </row>
    <row r="131" spans="1:22" s="19" customFormat="1" ht="12" x14ac:dyDescent="0.2">
      <c r="A131" s="39"/>
      <c r="B131" s="39"/>
      <c r="C131" s="39"/>
      <c r="E131" s="284"/>
      <c r="I131" s="39"/>
      <c r="K131" s="39"/>
      <c r="L131" s="39"/>
      <c r="M131" s="39"/>
      <c r="N131" s="39"/>
      <c r="O131" s="39"/>
      <c r="P131" s="39"/>
      <c r="Q131" s="39"/>
      <c r="R131" s="39"/>
      <c r="S131" s="39"/>
      <c r="T131" s="39"/>
      <c r="U131" s="39"/>
      <c r="V131" s="39"/>
    </row>
    <row r="132" spans="1:22" s="19" customFormat="1" ht="12" x14ac:dyDescent="0.2">
      <c r="A132" s="39"/>
      <c r="B132" s="39"/>
      <c r="C132" s="39"/>
      <c r="E132" s="284"/>
      <c r="I132" s="39"/>
      <c r="K132" s="39"/>
      <c r="L132" s="39"/>
      <c r="M132" s="39"/>
      <c r="N132" s="39"/>
      <c r="O132" s="39"/>
      <c r="P132" s="39"/>
      <c r="Q132" s="39"/>
      <c r="R132" s="39"/>
      <c r="S132" s="39"/>
      <c r="T132" s="39"/>
      <c r="U132" s="39"/>
      <c r="V132" s="39"/>
    </row>
    <row r="133" spans="1:22" s="19" customFormat="1" ht="12" x14ac:dyDescent="0.2">
      <c r="A133" s="39"/>
      <c r="B133" s="39"/>
      <c r="C133" s="39"/>
      <c r="E133" s="284"/>
      <c r="I133" s="39"/>
      <c r="K133" s="39"/>
      <c r="L133" s="39"/>
      <c r="M133" s="39"/>
      <c r="N133" s="39"/>
      <c r="O133" s="39"/>
      <c r="P133" s="39"/>
      <c r="Q133" s="39"/>
      <c r="R133" s="39"/>
      <c r="S133" s="39"/>
      <c r="T133" s="39"/>
      <c r="U133" s="39"/>
      <c r="V133" s="39"/>
    </row>
    <row r="134" spans="1:22" s="19" customFormat="1" ht="12" x14ac:dyDescent="0.2">
      <c r="A134" s="39"/>
      <c r="B134" s="39"/>
      <c r="C134" s="39"/>
      <c r="E134" s="284"/>
      <c r="I134" s="39"/>
      <c r="K134" s="39"/>
      <c r="L134" s="39"/>
      <c r="M134" s="39"/>
      <c r="N134" s="39"/>
      <c r="O134" s="39"/>
      <c r="P134" s="39"/>
      <c r="Q134" s="39"/>
      <c r="R134" s="39"/>
      <c r="S134" s="39"/>
      <c r="T134" s="39"/>
      <c r="U134" s="39"/>
      <c r="V134" s="39"/>
    </row>
    <row r="135" spans="1:22" s="19" customFormat="1" ht="12" x14ac:dyDescent="0.2">
      <c r="A135" s="39"/>
      <c r="B135" s="39"/>
      <c r="C135" s="39"/>
      <c r="E135" s="284"/>
      <c r="I135" s="39"/>
      <c r="K135" s="39"/>
      <c r="L135" s="39"/>
      <c r="M135" s="39"/>
      <c r="N135" s="39"/>
      <c r="O135" s="39"/>
      <c r="P135" s="39"/>
      <c r="Q135" s="39"/>
      <c r="R135" s="39"/>
      <c r="S135" s="39"/>
      <c r="T135" s="39"/>
      <c r="U135" s="39"/>
      <c r="V135" s="39"/>
    </row>
    <row r="136" spans="1:22" s="19" customFormat="1" ht="12" x14ac:dyDescent="0.2">
      <c r="A136" s="39"/>
      <c r="B136" s="39"/>
      <c r="C136" s="39"/>
      <c r="E136" s="284"/>
      <c r="I136" s="39"/>
      <c r="K136" s="39"/>
      <c r="L136" s="39"/>
      <c r="M136" s="39"/>
      <c r="N136" s="39"/>
      <c r="O136" s="39"/>
      <c r="P136" s="39"/>
      <c r="Q136" s="39"/>
      <c r="R136" s="39"/>
      <c r="S136" s="39"/>
      <c r="T136" s="39"/>
      <c r="U136" s="39"/>
      <c r="V136" s="39"/>
    </row>
    <row r="137" spans="1:22" s="19" customFormat="1" ht="12" x14ac:dyDescent="0.2">
      <c r="A137" s="39"/>
      <c r="B137" s="39"/>
      <c r="C137" s="39"/>
      <c r="E137" s="284"/>
      <c r="I137" s="39"/>
      <c r="K137" s="39"/>
      <c r="L137" s="39"/>
      <c r="M137" s="39"/>
      <c r="N137" s="39"/>
      <c r="O137" s="39"/>
      <c r="P137" s="39"/>
      <c r="Q137" s="39"/>
      <c r="R137" s="39"/>
      <c r="S137" s="39"/>
      <c r="T137" s="39"/>
      <c r="U137" s="39"/>
      <c r="V137" s="39"/>
    </row>
    <row r="138" spans="1:22" s="19" customFormat="1" ht="12" x14ac:dyDescent="0.2">
      <c r="A138" s="39"/>
      <c r="B138" s="39"/>
      <c r="C138" s="39"/>
      <c r="E138" s="284"/>
      <c r="I138" s="39"/>
      <c r="K138" s="39"/>
      <c r="L138" s="39"/>
      <c r="M138" s="39"/>
      <c r="N138" s="39"/>
      <c r="O138" s="39"/>
      <c r="P138" s="39"/>
      <c r="Q138" s="39"/>
      <c r="R138" s="39"/>
      <c r="S138" s="39"/>
      <c r="T138" s="39"/>
      <c r="U138" s="39"/>
      <c r="V138" s="39"/>
    </row>
    <row r="139" spans="1:22" s="19" customFormat="1" ht="12" x14ac:dyDescent="0.2">
      <c r="A139" s="39"/>
      <c r="B139" s="39"/>
      <c r="C139" s="39"/>
      <c r="E139" s="284"/>
      <c r="I139" s="39"/>
      <c r="K139" s="39"/>
      <c r="L139" s="39"/>
      <c r="M139" s="39"/>
      <c r="N139" s="39"/>
      <c r="O139" s="39"/>
      <c r="P139" s="39"/>
      <c r="Q139" s="39"/>
      <c r="R139" s="39"/>
      <c r="S139" s="39"/>
      <c r="T139" s="39"/>
      <c r="U139" s="39"/>
      <c r="V139" s="39"/>
    </row>
    <row r="140" spans="1:22" s="19" customFormat="1" ht="12" x14ac:dyDescent="0.2">
      <c r="A140" s="39"/>
      <c r="B140" s="39"/>
      <c r="C140" s="39"/>
      <c r="E140" s="284"/>
      <c r="I140" s="39"/>
      <c r="K140" s="39"/>
      <c r="L140" s="39"/>
      <c r="M140" s="39"/>
      <c r="N140" s="39"/>
      <c r="O140" s="39"/>
      <c r="P140" s="39"/>
      <c r="Q140" s="39"/>
      <c r="R140" s="39"/>
      <c r="S140" s="39"/>
      <c r="T140" s="39"/>
      <c r="U140" s="39"/>
      <c r="V140" s="39"/>
    </row>
    <row r="141" spans="1:22" s="19" customFormat="1" ht="12" x14ac:dyDescent="0.2">
      <c r="A141" s="39"/>
      <c r="B141" s="39"/>
      <c r="C141" s="39"/>
      <c r="E141" s="284"/>
      <c r="I141" s="39"/>
      <c r="K141" s="39"/>
      <c r="L141" s="39"/>
      <c r="M141" s="39"/>
      <c r="N141" s="39"/>
      <c r="O141" s="39"/>
      <c r="P141" s="39"/>
      <c r="Q141" s="39"/>
      <c r="R141" s="39"/>
      <c r="S141" s="39"/>
      <c r="T141" s="39"/>
      <c r="U141" s="39"/>
      <c r="V141" s="39"/>
    </row>
    <row r="142" spans="1:22" s="19" customFormat="1" ht="12" x14ac:dyDescent="0.2">
      <c r="A142" s="39"/>
      <c r="B142" s="39"/>
      <c r="C142" s="39"/>
      <c r="E142" s="284"/>
      <c r="I142" s="39"/>
      <c r="K142" s="39"/>
      <c r="L142" s="39"/>
      <c r="M142" s="39"/>
      <c r="N142" s="39"/>
      <c r="O142" s="39"/>
      <c r="P142" s="39"/>
      <c r="Q142" s="39"/>
      <c r="R142" s="39"/>
      <c r="S142" s="39"/>
      <c r="T142" s="39"/>
      <c r="U142" s="39"/>
      <c r="V142" s="39"/>
    </row>
    <row r="143" spans="1:22" s="19" customFormat="1" ht="12" x14ac:dyDescent="0.2">
      <c r="A143" s="39"/>
      <c r="B143" s="39"/>
      <c r="C143" s="39"/>
      <c r="E143" s="284"/>
      <c r="I143" s="39"/>
      <c r="K143" s="39"/>
      <c r="L143" s="39"/>
      <c r="M143" s="39"/>
      <c r="N143" s="39"/>
      <c r="O143" s="39"/>
      <c r="P143" s="39"/>
      <c r="Q143" s="39"/>
      <c r="R143" s="39"/>
      <c r="S143" s="39"/>
      <c r="T143" s="39"/>
      <c r="U143" s="39"/>
      <c r="V143" s="39"/>
    </row>
    <row r="144" spans="1:22" s="19" customFormat="1" ht="12" x14ac:dyDescent="0.2">
      <c r="A144" s="39"/>
      <c r="B144" s="39"/>
      <c r="C144" s="39"/>
      <c r="E144" s="284"/>
      <c r="I144" s="39"/>
      <c r="K144" s="39"/>
      <c r="L144" s="39"/>
      <c r="M144" s="39"/>
      <c r="N144" s="39"/>
      <c r="O144" s="39"/>
      <c r="P144" s="39"/>
      <c r="Q144" s="39"/>
      <c r="R144" s="39"/>
      <c r="S144" s="39"/>
      <c r="T144" s="39"/>
      <c r="U144" s="39"/>
      <c r="V144" s="39"/>
    </row>
    <row r="145" spans="1:22" s="19" customFormat="1" ht="12" x14ac:dyDescent="0.2">
      <c r="A145" s="39"/>
      <c r="B145" s="39"/>
      <c r="C145" s="39"/>
      <c r="E145" s="284"/>
      <c r="I145" s="39"/>
      <c r="K145" s="39"/>
      <c r="L145" s="39"/>
      <c r="M145" s="39"/>
      <c r="N145" s="39"/>
      <c r="O145" s="39"/>
      <c r="P145" s="39"/>
      <c r="Q145" s="39"/>
      <c r="R145" s="39"/>
      <c r="S145" s="39"/>
      <c r="T145" s="39"/>
      <c r="U145" s="39"/>
      <c r="V145" s="39"/>
    </row>
    <row r="146" spans="1:22" s="19" customFormat="1" ht="12" x14ac:dyDescent="0.2">
      <c r="A146" s="39"/>
      <c r="B146" s="39"/>
      <c r="C146" s="39"/>
      <c r="E146" s="284"/>
      <c r="I146" s="39"/>
      <c r="K146" s="39"/>
      <c r="L146" s="39"/>
      <c r="M146" s="39"/>
      <c r="N146" s="39"/>
      <c r="O146" s="39"/>
      <c r="P146" s="39"/>
      <c r="Q146" s="39"/>
      <c r="R146" s="39"/>
      <c r="S146" s="39"/>
      <c r="T146" s="39"/>
      <c r="U146" s="39"/>
      <c r="V146" s="39"/>
    </row>
    <row r="147" spans="1:22" s="19" customFormat="1" ht="12" x14ac:dyDescent="0.2">
      <c r="A147" s="39"/>
      <c r="B147" s="39"/>
      <c r="C147" s="39"/>
      <c r="E147" s="284"/>
      <c r="I147" s="39"/>
      <c r="K147" s="39"/>
      <c r="L147" s="39"/>
      <c r="M147" s="39"/>
      <c r="N147" s="39"/>
      <c r="O147" s="39"/>
      <c r="P147" s="39"/>
      <c r="Q147" s="39"/>
      <c r="R147" s="39"/>
      <c r="S147" s="39"/>
      <c r="T147" s="39"/>
      <c r="U147" s="39"/>
      <c r="V147" s="39"/>
    </row>
    <row r="148" spans="1:22" s="19" customFormat="1" ht="12" x14ac:dyDescent="0.2">
      <c r="A148" s="39"/>
      <c r="B148" s="39"/>
      <c r="C148" s="39"/>
      <c r="E148" s="284"/>
      <c r="I148" s="39"/>
      <c r="K148" s="39"/>
      <c r="L148" s="39"/>
      <c r="M148" s="39"/>
      <c r="N148" s="39"/>
      <c r="O148" s="39"/>
      <c r="P148" s="39"/>
      <c r="Q148" s="39"/>
      <c r="R148" s="39"/>
      <c r="S148" s="39"/>
      <c r="T148" s="39"/>
      <c r="U148" s="39"/>
      <c r="V148" s="39"/>
    </row>
    <row r="149" spans="1:22" s="19" customFormat="1" ht="12" x14ac:dyDescent="0.2">
      <c r="A149" s="39"/>
      <c r="B149" s="39"/>
      <c r="C149" s="39"/>
      <c r="E149" s="284"/>
      <c r="I149" s="39"/>
      <c r="K149" s="39"/>
      <c r="L149" s="39"/>
      <c r="M149" s="39"/>
      <c r="N149" s="39"/>
      <c r="O149" s="39"/>
      <c r="P149" s="39"/>
      <c r="Q149" s="39"/>
      <c r="R149" s="39"/>
      <c r="S149" s="39"/>
      <c r="T149" s="39"/>
      <c r="U149" s="39"/>
      <c r="V149" s="39"/>
    </row>
    <row r="150" spans="1:22" s="19" customFormat="1" ht="12" x14ac:dyDescent="0.2">
      <c r="A150" s="39"/>
      <c r="B150" s="39"/>
      <c r="C150" s="39"/>
      <c r="E150" s="284"/>
      <c r="I150" s="39"/>
      <c r="K150" s="39"/>
      <c r="L150" s="39"/>
      <c r="M150" s="39"/>
      <c r="N150" s="39"/>
      <c r="O150" s="39"/>
      <c r="P150" s="39"/>
      <c r="Q150" s="39"/>
      <c r="R150" s="39"/>
      <c r="S150" s="39"/>
      <c r="T150" s="39"/>
      <c r="U150" s="39"/>
      <c r="V150" s="39"/>
    </row>
    <row r="151" spans="1:22" s="19" customFormat="1" ht="12" x14ac:dyDescent="0.2">
      <c r="A151" s="39"/>
      <c r="B151" s="39"/>
      <c r="C151" s="39"/>
      <c r="E151" s="284"/>
      <c r="I151" s="39"/>
      <c r="K151" s="39"/>
      <c r="L151" s="39"/>
      <c r="M151" s="39"/>
      <c r="N151" s="39"/>
      <c r="O151" s="39"/>
      <c r="P151" s="39"/>
      <c r="Q151" s="39"/>
      <c r="R151" s="39"/>
      <c r="S151" s="39"/>
      <c r="T151" s="39"/>
      <c r="U151" s="39"/>
      <c r="V151" s="39"/>
    </row>
    <row r="152" spans="1:22" s="19" customFormat="1" ht="12" x14ac:dyDescent="0.2">
      <c r="A152" s="39"/>
      <c r="B152" s="39"/>
      <c r="C152" s="39"/>
      <c r="E152" s="284"/>
      <c r="I152" s="39"/>
      <c r="K152" s="39"/>
      <c r="L152" s="39"/>
      <c r="M152" s="39"/>
      <c r="N152" s="39"/>
      <c r="O152" s="39"/>
      <c r="P152" s="39"/>
      <c r="Q152" s="39"/>
      <c r="R152" s="39"/>
      <c r="S152" s="39"/>
      <c r="T152" s="39"/>
      <c r="U152" s="39"/>
      <c r="V152" s="39"/>
    </row>
    <row r="153" spans="1:22" s="19" customFormat="1" ht="12" x14ac:dyDescent="0.2">
      <c r="A153" s="39"/>
      <c r="B153" s="39"/>
      <c r="C153" s="39"/>
      <c r="E153" s="284"/>
      <c r="I153" s="39"/>
      <c r="K153" s="39"/>
      <c r="L153" s="39"/>
      <c r="M153" s="39"/>
      <c r="N153" s="39"/>
      <c r="O153" s="39"/>
      <c r="P153" s="39"/>
      <c r="Q153" s="39"/>
      <c r="R153" s="39"/>
      <c r="S153" s="39"/>
      <c r="T153" s="39"/>
      <c r="U153" s="39"/>
      <c r="V153" s="39"/>
    </row>
    <row r="154" spans="1:22" s="19" customFormat="1" ht="12" x14ac:dyDescent="0.2">
      <c r="A154" s="39"/>
      <c r="B154" s="39"/>
      <c r="C154" s="39"/>
      <c r="E154" s="284"/>
      <c r="I154" s="39"/>
      <c r="K154" s="39"/>
      <c r="L154" s="39"/>
      <c r="M154" s="39"/>
      <c r="N154" s="39"/>
      <c r="O154" s="39"/>
      <c r="P154" s="39"/>
      <c r="Q154" s="39"/>
      <c r="R154" s="39"/>
      <c r="S154" s="39"/>
      <c r="T154" s="39"/>
      <c r="U154" s="39"/>
      <c r="V154" s="39"/>
    </row>
    <row r="155" spans="1:22" s="19" customFormat="1" ht="12" x14ac:dyDescent="0.2">
      <c r="A155" s="39"/>
      <c r="B155" s="39"/>
      <c r="C155" s="39"/>
      <c r="E155" s="284"/>
      <c r="I155" s="39"/>
      <c r="K155" s="39"/>
      <c r="L155" s="39"/>
      <c r="M155" s="39"/>
      <c r="N155" s="39"/>
      <c r="O155" s="39"/>
      <c r="P155" s="39"/>
      <c r="Q155" s="39"/>
      <c r="R155" s="39"/>
      <c r="S155" s="39"/>
      <c r="T155" s="39"/>
      <c r="U155" s="39"/>
      <c r="V155" s="39"/>
    </row>
    <row r="156" spans="1:22" s="19" customFormat="1" ht="12" x14ac:dyDescent="0.2">
      <c r="A156" s="39"/>
      <c r="B156" s="39"/>
      <c r="C156" s="39"/>
      <c r="E156" s="284"/>
      <c r="I156" s="39"/>
      <c r="K156" s="39"/>
      <c r="L156" s="39"/>
      <c r="M156" s="39"/>
      <c r="N156" s="39"/>
      <c r="O156" s="39"/>
      <c r="P156" s="39"/>
      <c r="Q156" s="39"/>
      <c r="R156" s="39"/>
      <c r="S156" s="39"/>
      <c r="T156" s="39"/>
      <c r="U156" s="39"/>
      <c r="V156" s="39"/>
    </row>
    <row r="157" spans="1:22" s="19" customFormat="1" ht="12" x14ac:dyDescent="0.2">
      <c r="A157" s="39"/>
      <c r="B157" s="39"/>
      <c r="C157" s="39"/>
      <c r="E157" s="284"/>
      <c r="I157" s="39"/>
      <c r="K157" s="39"/>
      <c r="L157" s="39"/>
      <c r="M157" s="39"/>
      <c r="N157" s="39"/>
      <c r="O157" s="39"/>
      <c r="P157" s="39"/>
      <c r="Q157" s="39"/>
      <c r="R157" s="39"/>
      <c r="S157" s="39"/>
      <c r="T157" s="39"/>
      <c r="U157" s="39"/>
      <c r="V157" s="39"/>
    </row>
    <row r="158" spans="1:22" s="19" customFormat="1" ht="12" x14ac:dyDescent="0.2">
      <c r="A158" s="39"/>
      <c r="B158" s="39"/>
      <c r="C158" s="39"/>
      <c r="E158" s="284"/>
      <c r="I158" s="39"/>
      <c r="K158" s="39"/>
      <c r="L158" s="39"/>
      <c r="M158" s="39"/>
      <c r="N158" s="39"/>
      <c r="O158" s="39"/>
      <c r="P158" s="39"/>
      <c r="Q158" s="39"/>
      <c r="R158" s="39"/>
      <c r="S158" s="39"/>
      <c r="T158" s="39"/>
      <c r="U158" s="39"/>
      <c r="V158" s="39"/>
    </row>
    <row r="159" spans="1:22" s="19" customFormat="1" ht="12" x14ac:dyDescent="0.2">
      <c r="A159" s="39"/>
      <c r="B159" s="39"/>
      <c r="C159" s="39"/>
      <c r="E159" s="284"/>
      <c r="I159" s="39"/>
      <c r="K159" s="39"/>
      <c r="L159" s="39"/>
      <c r="M159" s="39"/>
      <c r="N159" s="39"/>
      <c r="O159" s="39"/>
      <c r="P159" s="39"/>
      <c r="Q159" s="39"/>
      <c r="R159" s="39"/>
      <c r="S159" s="39"/>
      <c r="T159" s="39"/>
      <c r="U159" s="39"/>
      <c r="V159" s="39"/>
    </row>
    <row r="160" spans="1:22" s="19" customFormat="1" ht="12" x14ac:dyDescent="0.2">
      <c r="A160" s="39"/>
      <c r="B160" s="39"/>
      <c r="C160" s="39"/>
      <c r="E160" s="284"/>
      <c r="I160" s="39"/>
      <c r="K160" s="39"/>
      <c r="L160" s="39"/>
      <c r="M160" s="39"/>
      <c r="N160" s="39"/>
      <c r="O160" s="39"/>
      <c r="P160" s="39"/>
      <c r="Q160" s="39"/>
      <c r="R160" s="39"/>
      <c r="S160" s="39"/>
      <c r="T160" s="39"/>
      <c r="U160" s="39"/>
      <c r="V160" s="39"/>
    </row>
    <row r="161" spans="1:22" s="19" customFormat="1" ht="12" x14ac:dyDescent="0.2">
      <c r="A161" s="39"/>
      <c r="B161" s="39"/>
      <c r="C161" s="39"/>
      <c r="E161" s="284"/>
      <c r="I161" s="39"/>
      <c r="K161" s="39"/>
      <c r="L161" s="39"/>
      <c r="M161" s="39"/>
      <c r="N161" s="39"/>
      <c r="O161" s="39"/>
      <c r="P161" s="39"/>
      <c r="Q161" s="39"/>
      <c r="R161" s="39"/>
      <c r="S161" s="39"/>
      <c r="T161" s="39"/>
      <c r="U161" s="39"/>
      <c r="V161" s="39"/>
    </row>
    <row r="162" spans="1:22" s="19" customFormat="1" ht="12" x14ac:dyDescent="0.2">
      <c r="A162" s="39"/>
      <c r="B162" s="39"/>
      <c r="C162" s="39"/>
      <c r="E162" s="284"/>
      <c r="I162" s="39"/>
      <c r="K162" s="39"/>
      <c r="L162" s="39"/>
      <c r="M162" s="39"/>
      <c r="N162" s="39"/>
      <c r="O162" s="39"/>
      <c r="P162" s="39"/>
      <c r="Q162" s="39"/>
      <c r="R162" s="39"/>
      <c r="S162" s="39"/>
      <c r="T162" s="39"/>
      <c r="U162" s="39"/>
      <c r="V162" s="39"/>
    </row>
    <row r="163" spans="1:22" s="19" customFormat="1" ht="12" x14ac:dyDescent="0.2">
      <c r="A163" s="39"/>
      <c r="B163" s="39"/>
      <c r="C163" s="39"/>
      <c r="E163" s="284"/>
      <c r="I163" s="39"/>
      <c r="K163" s="39"/>
      <c r="L163" s="39"/>
      <c r="M163" s="39"/>
      <c r="N163" s="39"/>
      <c r="O163" s="39"/>
      <c r="P163" s="39"/>
      <c r="Q163" s="39"/>
      <c r="R163" s="39"/>
      <c r="S163" s="39"/>
      <c r="T163" s="39"/>
      <c r="U163" s="39"/>
      <c r="V163" s="39"/>
    </row>
    <row r="164" spans="1:22" s="19" customFormat="1" ht="12" x14ac:dyDescent="0.2">
      <c r="A164" s="39"/>
      <c r="B164" s="39"/>
      <c r="C164" s="39"/>
      <c r="E164" s="284"/>
      <c r="I164" s="39"/>
      <c r="K164" s="39"/>
      <c r="L164" s="39"/>
      <c r="M164" s="39"/>
      <c r="N164" s="39"/>
      <c r="O164" s="39"/>
      <c r="P164" s="39"/>
      <c r="Q164" s="39"/>
      <c r="R164" s="39"/>
      <c r="S164" s="39"/>
      <c r="T164" s="39"/>
      <c r="U164" s="39"/>
      <c r="V164" s="39"/>
    </row>
    <row r="165" spans="1:22" s="19" customFormat="1" ht="12" x14ac:dyDescent="0.2">
      <c r="A165" s="39"/>
      <c r="B165" s="39"/>
      <c r="C165" s="39"/>
      <c r="E165" s="284"/>
      <c r="I165" s="39"/>
      <c r="K165" s="39"/>
      <c r="L165" s="39"/>
      <c r="M165" s="39"/>
      <c r="N165" s="39"/>
      <c r="O165" s="39"/>
      <c r="P165" s="39"/>
      <c r="Q165" s="39"/>
      <c r="R165" s="39"/>
      <c r="S165" s="39"/>
      <c r="T165" s="39"/>
      <c r="U165" s="39"/>
      <c r="V165" s="39"/>
    </row>
    <row r="166" spans="1:22" s="19" customFormat="1" ht="12" x14ac:dyDescent="0.2">
      <c r="A166" s="39"/>
      <c r="B166" s="39"/>
      <c r="C166" s="39"/>
      <c r="E166" s="284"/>
      <c r="I166" s="39"/>
      <c r="K166" s="39"/>
      <c r="L166" s="39"/>
      <c r="M166" s="39"/>
      <c r="N166" s="39"/>
      <c r="O166" s="39"/>
      <c r="P166" s="39"/>
      <c r="Q166" s="39"/>
      <c r="R166" s="39"/>
      <c r="S166" s="39"/>
      <c r="T166" s="39"/>
      <c r="U166" s="39"/>
      <c r="V166" s="39"/>
    </row>
    <row r="167" spans="1:22" s="19" customFormat="1" ht="12" x14ac:dyDescent="0.2">
      <c r="A167" s="39"/>
      <c r="B167" s="39"/>
      <c r="C167" s="39"/>
      <c r="E167" s="284"/>
      <c r="I167" s="39"/>
      <c r="K167" s="39"/>
      <c r="L167" s="39"/>
      <c r="M167" s="39"/>
      <c r="N167" s="39"/>
      <c r="O167" s="39"/>
      <c r="P167" s="39"/>
      <c r="Q167" s="39"/>
      <c r="R167" s="39"/>
      <c r="S167" s="39"/>
      <c r="T167" s="39"/>
      <c r="U167" s="39"/>
      <c r="V167" s="39"/>
    </row>
    <row r="168" spans="1:22" s="19" customFormat="1" ht="12" x14ac:dyDescent="0.2">
      <c r="A168" s="39"/>
      <c r="B168" s="39"/>
      <c r="C168" s="39"/>
      <c r="E168" s="284"/>
      <c r="I168" s="39"/>
      <c r="K168" s="39"/>
      <c r="L168" s="39"/>
      <c r="M168" s="39"/>
      <c r="N168" s="39"/>
      <c r="O168" s="39"/>
      <c r="P168" s="39"/>
      <c r="Q168" s="39"/>
      <c r="R168" s="39"/>
      <c r="S168" s="39"/>
      <c r="T168" s="39"/>
      <c r="U168" s="39"/>
      <c r="V168" s="39"/>
    </row>
    <row r="169" spans="1:22" s="19" customFormat="1" ht="12" x14ac:dyDescent="0.2">
      <c r="A169" s="39"/>
      <c r="B169" s="39"/>
      <c r="C169" s="39"/>
      <c r="E169" s="284"/>
      <c r="I169" s="39"/>
      <c r="K169" s="39"/>
      <c r="L169" s="39"/>
      <c r="M169" s="39"/>
      <c r="N169" s="39"/>
      <c r="O169" s="39"/>
      <c r="P169" s="39"/>
      <c r="Q169" s="39"/>
      <c r="R169" s="39"/>
      <c r="S169" s="39"/>
      <c r="T169" s="39"/>
      <c r="U169" s="39"/>
      <c r="V169" s="39"/>
    </row>
    <row r="170" spans="1:22" s="19" customFormat="1" ht="12" x14ac:dyDescent="0.2">
      <c r="A170" s="39"/>
      <c r="B170" s="39"/>
      <c r="C170" s="39"/>
      <c r="E170" s="284"/>
      <c r="I170" s="39"/>
      <c r="K170" s="39"/>
      <c r="L170" s="39"/>
      <c r="M170" s="39"/>
      <c r="N170" s="39"/>
      <c r="O170" s="39"/>
      <c r="P170" s="39"/>
      <c r="Q170" s="39"/>
      <c r="R170" s="39"/>
      <c r="S170" s="39"/>
      <c r="T170" s="39"/>
      <c r="U170" s="39"/>
      <c r="V170" s="39"/>
    </row>
    <row r="171" spans="1:22" s="19" customFormat="1" ht="12" x14ac:dyDescent="0.2">
      <c r="A171" s="39"/>
      <c r="B171" s="39"/>
      <c r="C171" s="39"/>
      <c r="E171" s="284"/>
      <c r="I171" s="39"/>
      <c r="K171" s="39"/>
      <c r="L171" s="39"/>
      <c r="M171" s="39"/>
      <c r="N171" s="39"/>
      <c r="O171" s="39"/>
      <c r="P171" s="39"/>
      <c r="Q171" s="39"/>
      <c r="R171" s="39"/>
      <c r="S171" s="39"/>
      <c r="T171" s="39"/>
      <c r="U171" s="39"/>
      <c r="V171" s="39"/>
    </row>
    <row r="172" spans="1:22" s="19" customFormat="1" ht="12" x14ac:dyDescent="0.2">
      <c r="A172" s="39"/>
      <c r="B172" s="39"/>
      <c r="C172" s="39"/>
      <c r="E172" s="284"/>
      <c r="I172" s="39"/>
      <c r="K172" s="39"/>
      <c r="L172" s="39"/>
      <c r="M172" s="39"/>
      <c r="N172" s="39"/>
      <c r="O172" s="39"/>
      <c r="P172" s="39"/>
      <c r="Q172" s="39"/>
      <c r="R172" s="39"/>
      <c r="S172" s="39"/>
      <c r="T172" s="39"/>
      <c r="U172" s="39"/>
      <c r="V172" s="39"/>
    </row>
    <row r="173" spans="1:22" s="19" customFormat="1" ht="12" x14ac:dyDescent="0.2">
      <c r="A173" s="39"/>
      <c r="B173" s="39"/>
      <c r="C173" s="39"/>
      <c r="E173" s="284"/>
      <c r="I173" s="39"/>
      <c r="K173" s="39"/>
      <c r="L173" s="39"/>
      <c r="M173" s="39"/>
      <c r="N173" s="39"/>
      <c r="O173" s="39"/>
      <c r="P173" s="39"/>
      <c r="Q173" s="39"/>
      <c r="R173" s="39"/>
      <c r="S173" s="39"/>
      <c r="T173" s="39"/>
      <c r="U173" s="39"/>
      <c r="V173" s="39"/>
    </row>
    <row r="174" spans="1:22" s="19" customFormat="1" ht="12" x14ac:dyDescent="0.2">
      <c r="A174" s="39"/>
      <c r="B174" s="39"/>
      <c r="C174" s="39"/>
      <c r="E174" s="284"/>
      <c r="I174" s="39"/>
      <c r="K174" s="39"/>
      <c r="L174" s="39"/>
      <c r="M174" s="39"/>
      <c r="N174" s="39"/>
      <c r="O174" s="39"/>
      <c r="P174" s="39"/>
      <c r="Q174" s="39"/>
      <c r="R174" s="39"/>
      <c r="S174" s="39"/>
      <c r="T174" s="39"/>
      <c r="U174" s="39"/>
      <c r="V174" s="39"/>
    </row>
    <row r="175" spans="1:22" s="19" customFormat="1" ht="12" x14ac:dyDescent="0.2">
      <c r="A175" s="39"/>
      <c r="B175" s="39"/>
      <c r="C175" s="39"/>
      <c r="E175" s="284"/>
      <c r="I175" s="39"/>
      <c r="K175" s="39"/>
      <c r="L175" s="39"/>
      <c r="M175" s="39"/>
      <c r="N175" s="39"/>
      <c r="O175" s="39"/>
      <c r="P175" s="39"/>
      <c r="Q175" s="39"/>
      <c r="R175" s="39"/>
      <c r="S175" s="39"/>
      <c r="T175" s="39"/>
      <c r="U175" s="39"/>
      <c r="V175" s="39"/>
    </row>
    <row r="176" spans="1:22" s="19" customFormat="1" ht="12" x14ac:dyDescent="0.2">
      <c r="A176" s="39"/>
      <c r="B176" s="39"/>
      <c r="C176" s="39"/>
      <c r="E176" s="284"/>
      <c r="I176" s="39"/>
      <c r="K176" s="39"/>
      <c r="L176" s="39"/>
      <c r="M176" s="39"/>
      <c r="N176" s="39"/>
      <c r="O176" s="39"/>
      <c r="P176" s="39"/>
      <c r="Q176" s="39"/>
      <c r="R176" s="39"/>
      <c r="S176" s="39"/>
      <c r="T176" s="39"/>
      <c r="U176" s="39"/>
      <c r="V176" s="39"/>
    </row>
    <row r="177" spans="1:22" s="19" customFormat="1" ht="12" x14ac:dyDescent="0.2">
      <c r="A177" s="39"/>
      <c r="B177" s="39"/>
      <c r="C177" s="39"/>
      <c r="E177" s="284"/>
      <c r="I177" s="39"/>
      <c r="K177" s="39"/>
      <c r="L177" s="39"/>
      <c r="M177" s="39"/>
      <c r="N177" s="39"/>
      <c r="O177" s="39"/>
      <c r="P177" s="39"/>
      <c r="Q177" s="39"/>
      <c r="R177" s="39"/>
      <c r="S177" s="39"/>
      <c r="T177" s="39"/>
      <c r="U177" s="39"/>
      <c r="V177" s="39"/>
    </row>
    <row r="178" spans="1:22" s="19" customFormat="1" ht="12" x14ac:dyDescent="0.2">
      <c r="A178" s="39"/>
      <c r="B178" s="39"/>
      <c r="C178" s="39"/>
      <c r="E178" s="284"/>
      <c r="I178" s="39"/>
      <c r="K178" s="39"/>
      <c r="L178" s="39"/>
      <c r="M178" s="39"/>
      <c r="N178" s="39"/>
      <c r="O178" s="39"/>
      <c r="P178" s="39"/>
      <c r="Q178" s="39"/>
      <c r="R178" s="39"/>
      <c r="S178" s="39"/>
      <c r="T178" s="39"/>
      <c r="U178" s="39"/>
      <c r="V178" s="39"/>
    </row>
    <row r="179" spans="1:22" s="19" customFormat="1" ht="12" x14ac:dyDescent="0.2">
      <c r="A179" s="39"/>
      <c r="B179" s="39"/>
      <c r="C179" s="39"/>
      <c r="E179" s="284"/>
      <c r="I179" s="39"/>
      <c r="K179" s="39"/>
      <c r="L179" s="39"/>
      <c r="M179" s="39"/>
      <c r="N179" s="39"/>
      <c r="O179" s="39"/>
      <c r="P179" s="39"/>
      <c r="Q179" s="39"/>
      <c r="R179" s="39"/>
      <c r="S179" s="39"/>
      <c r="T179" s="39"/>
      <c r="U179" s="39"/>
      <c r="V179" s="39"/>
    </row>
    <row r="180" spans="1:22" s="19" customFormat="1" ht="12" x14ac:dyDescent="0.2">
      <c r="A180" s="39"/>
      <c r="B180" s="39"/>
      <c r="C180" s="39"/>
      <c r="E180" s="284"/>
      <c r="I180" s="39"/>
      <c r="K180" s="39"/>
      <c r="L180" s="39"/>
      <c r="M180" s="39"/>
      <c r="N180" s="39"/>
      <c r="O180" s="39"/>
      <c r="P180" s="39"/>
      <c r="Q180" s="39"/>
      <c r="R180" s="39"/>
      <c r="S180" s="39"/>
      <c r="T180" s="39"/>
      <c r="U180" s="39"/>
      <c r="V180" s="39"/>
    </row>
    <row r="181" spans="1:22" s="19" customFormat="1" ht="12" x14ac:dyDescent="0.2">
      <c r="A181" s="39"/>
      <c r="B181" s="39"/>
      <c r="C181" s="39"/>
      <c r="E181" s="284"/>
      <c r="I181" s="39"/>
      <c r="K181" s="39"/>
      <c r="L181" s="39"/>
      <c r="M181" s="39"/>
      <c r="N181" s="39"/>
      <c r="O181" s="39"/>
      <c r="P181" s="39"/>
      <c r="Q181" s="39"/>
      <c r="R181" s="39"/>
      <c r="S181" s="39"/>
      <c r="T181" s="39"/>
      <c r="U181" s="39"/>
      <c r="V181" s="39"/>
    </row>
    <row r="182" spans="1:22" s="19" customFormat="1" ht="12" x14ac:dyDescent="0.2">
      <c r="A182" s="39"/>
      <c r="B182" s="39"/>
      <c r="C182" s="39"/>
      <c r="E182" s="284"/>
      <c r="I182" s="39"/>
      <c r="K182" s="39"/>
      <c r="L182" s="39"/>
      <c r="M182" s="39"/>
      <c r="N182" s="39"/>
      <c r="O182" s="39"/>
      <c r="P182" s="39"/>
      <c r="Q182" s="39"/>
      <c r="R182" s="39"/>
      <c r="S182" s="39"/>
      <c r="T182" s="39"/>
      <c r="U182" s="39"/>
      <c r="V182" s="39"/>
    </row>
    <row r="183" spans="1:22" s="19" customFormat="1" ht="12" x14ac:dyDescent="0.2">
      <c r="A183" s="39"/>
      <c r="B183" s="39"/>
      <c r="C183" s="39"/>
      <c r="E183" s="284"/>
      <c r="I183" s="39"/>
      <c r="K183" s="39"/>
      <c r="L183" s="39"/>
      <c r="M183" s="39"/>
      <c r="N183" s="39"/>
      <c r="O183" s="39"/>
      <c r="P183" s="39"/>
      <c r="Q183" s="39"/>
      <c r="R183" s="39"/>
      <c r="S183" s="39"/>
      <c r="T183" s="39"/>
      <c r="U183" s="39"/>
      <c r="V183" s="39"/>
    </row>
    <row r="184" spans="1:22" s="19" customFormat="1" ht="12" x14ac:dyDescent="0.2">
      <c r="A184" s="39"/>
      <c r="B184" s="39"/>
      <c r="C184" s="39"/>
      <c r="E184" s="284"/>
      <c r="I184" s="39"/>
      <c r="K184" s="39"/>
      <c r="L184" s="39"/>
      <c r="M184" s="39"/>
      <c r="N184" s="39"/>
      <c r="O184" s="39"/>
      <c r="P184" s="39"/>
      <c r="Q184" s="39"/>
      <c r="R184" s="39"/>
      <c r="S184" s="39"/>
      <c r="T184" s="39"/>
      <c r="U184" s="39"/>
      <c r="V184" s="39"/>
    </row>
    <row r="185" spans="1:22" s="19" customFormat="1" ht="12" x14ac:dyDescent="0.2">
      <c r="A185" s="39"/>
      <c r="B185" s="39"/>
      <c r="C185" s="39"/>
      <c r="E185" s="284"/>
      <c r="I185" s="39"/>
      <c r="K185" s="39"/>
      <c r="L185" s="39"/>
      <c r="M185" s="39"/>
      <c r="N185" s="39"/>
      <c r="O185" s="39"/>
      <c r="P185" s="39"/>
      <c r="Q185" s="39"/>
      <c r="R185" s="39"/>
      <c r="S185" s="39"/>
      <c r="T185" s="39"/>
      <c r="U185" s="39"/>
      <c r="V185" s="39"/>
    </row>
    <row r="186" spans="1:22" s="19" customFormat="1" ht="12" x14ac:dyDescent="0.2">
      <c r="A186" s="39"/>
      <c r="B186" s="39"/>
      <c r="C186" s="39"/>
      <c r="E186" s="284"/>
      <c r="I186" s="39"/>
      <c r="K186" s="39"/>
      <c r="L186" s="39"/>
      <c r="M186" s="39"/>
      <c r="N186" s="39"/>
      <c r="O186" s="39"/>
      <c r="P186" s="39"/>
      <c r="Q186" s="39"/>
      <c r="R186" s="39"/>
      <c r="S186" s="39"/>
      <c r="T186" s="39"/>
      <c r="U186" s="39"/>
      <c r="V186" s="39"/>
    </row>
    <row r="187" spans="1:22" s="19" customFormat="1" ht="12" x14ac:dyDescent="0.2">
      <c r="A187" s="39"/>
      <c r="B187" s="43"/>
      <c r="C187" s="43"/>
      <c r="E187" s="284"/>
      <c r="F187" s="102"/>
      <c r="G187" s="102"/>
      <c r="H187" s="102"/>
      <c r="I187" s="39"/>
      <c r="K187" s="284"/>
      <c r="L187" s="284"/>
      <c r="M187" s="284"/>
      <c r="N187" s="284"/>
      <c r="O187" s="284"/>
      <c r="P187" s="284"/>
      <c r="Q187" s="284"/>
      <c r="R187" s="284"/>
      <c r="S187" s="284"/>
      <c r="T187" s="39"/>
      <c r="U187" s="39"/>
      <c r="V187" s="39"/>
    </row>
    <row r="188" spans="1:22" s="19" customFormat="1" ht="12" x14ac:dyDescent="0.2">
      <c r="A188" s="39"/>
      <c r="B188" s="39"/>
      <c r="C188" s="39"/>
      <c r="E188" s="284"/>
      <c r="I188" s="39"/>
      <c r="K188" s="39"/>
      <c r="L188" s="39"/>
      <c r="M188" s="39"/>
      <c r="N188" s="39"/>
      <c r="O188" s="39"/>
      <c r="P188" s="39"/>
      <c r="Q188" s="39"/>
      <c r="R188" s="39"/>
      <c r="S188" s="39"/>
      <c r="T188" s="39"/>
      <c r="U188" s="39"/>
      <c r="V188" s="39"/>
    </row>
    <row r="189" spans="1:22" s="19" customFormat="1" ht="12" x14ac:dyDescent="0.2">
      <c r="A189" s="39"/>
      <c r="B189" s="39"/>
      <c r="C189" s="39"/>
      <c r="E189" s="284"/>
      <c r="I189" s="39"/>
      <c r="K189" s="39"/>
      <c r="L189" s="39"/>
      <c r="M189" s="39"/>
      <c r="N189" s="39"/>
      <c r="O189" s="39"/>
      <c r="P189" s="39"/>
      <c r="Q189" s="39"/>
      <c r="R189" s="39"/>
      <c r="S189" s="39"/>
      <c r="T189" s="39"/>
      <c r="U189" s="39"/>
      <c r="V189" s="39"/>
    </row>
    <row r="190" spans="1:22" s="19" customFormat="1" ht="12" x14ac:dyDescent="0.2">
      <c r="A190" s="39"/>
      <c r="B190" s="39"/>
      <c r="C190" s="39"/>
      <c r="E190" s="284"/>
      <c r="I190" s="39"/>
      <c r="K190" s="39"/>
      <c r="L190" s="39"/>
      <c r="M190" s="39"/>
      <c r="N190" s="39"/>
      <c r="O190" s="39"/>
      <c r="P190" s="39"/>
      <c r="Q190" s="39"/>
      <c r="R190" s="39"/>
      <c r="S190" s="39"/>
      <c r="T190" s="39"/>
      <c r="U190" s="39"/>
      <c r="V190" s="39"/>
    </row>
    <row r="191" spans="1:22" s="19" customFormat="1" ht="12" x14ac:dyDescent="0.2">
      <c r="A191" s="39"/>
      <c r="B191" s="39"/>
      <c r="C191" s="39"/>
      <c r="E191" s="284"/>
      <c r="I191" s="39"/>
      <c r="K191" s="39"/>
      <c r="L191" s="39"/>
      <c r="M191" s="39"/>
      <c r="N191" s="39"/>
      <c r="O191" s="39"/>
      <c r="P191" s="39"/>
      <c r="Q191" s="39"/>
      <c r="R191" s="39"/>
      <c r="S191" s="39"/>
      <c r="T191" s="39"/>
      <c r="U191" s="39"/>
      <c r="V191" s="39"/>
    </row>
    <row r="192" spans="1:22" s="19" customFormat="1" ht="12" x14ac:dyDescent="0.2">
      <c r="A192" s="39"/>
      <c r="B192" s="39"/>
      <c r="C192" s="39"/>
      <c r="E192" s="284"/>
      <c r="I192" s="39"/>
      <c r="K192" s="39"/>
      <c r="L192" s="39"/>
      <c r="M192" s="39"/>
      <c r="N192" s="39"/>
      <c r="O192" s="39"/>
      <c r="P192" s="39"/>
      <c r="Q192" s="39"/>
      <c r="R192" s="39"/>
      <c r="S192" s="39"/>
      <c r="T192" s="39"/>
      <c r="U192" s="39"/>
      <c r="V192" s="39"/>
    </row>
    <row r="193" spans="1:22" s="19" customFormat="1" ht="12" x14ac:dyDescent="0.2">
      <c r="A193" s="39"/>
      <c r="B193" s="39"/>
      <c r="C193" s="39"/>
      <c r="E193" s="284"/>
      <c r="I193" s="39"/>
      <c r="K193" s="39"/>
      <c r="L193" s="39"/>
      <c r="M193" s="39"/>
      <c r="N193" s="39"/>
      <c r="O193" s="39"/>
      <c r="P193" s="39"/>
      <c r="Q193" s="39"/>
      <c r="R193" s="39"/>
      <c r="S193" s="39"/>
      <c r="T193" s="39"/>
      <c r="U193" s="39"/>
      <c r="V193" s="39"/>
    </row>
    <row r="194" spans="1:22" s="19" customFormat="1" ht="12" x14ac:dyDescent="0.2">
      <c r="A194" s="39"/>
      <c r="B194" s="39"/>
      <c r="C194" s="39"/>
      <c r="E194" s="284"/>
      <c r="I194" s="39"/>
      <c r="K194" s="39"/>
      <c r="L194" s="39"/>
      <c r="M194" s="39"/>
      <c r="N194" s="39"/>
      <c r="O194" s="39"/>
      <c r="P194" s="39"/>
      <c r="Q194" s="39"/>
      <c r="R194" s="39"/>
      <c r="S194" s="39"/>
      <c r="T194" s="39"/>
      <c r="U194" s="39"/>
      <c r="V194" s="39"/>
    </row>
    <row r="195" spans="1:22" s="19" customFormat="1" ht="12" x14ac:dyDescent="0.2">
      <c r="A195" s="39"/>
      <c r="B195" s="39"/>
      <c r="C195" s="39"/>
      <c r="E195" s="284"/>
      <c r="I195" s="39"/>
      <c r="K195" s="39"/>
      <c r="L195" s="39"/>
      <c r="M195" s="39"/>
      <c r="N195" s="39"/>
      <c r="O195" s="39"/>
      <c r="P195" s="39"/>
      <c r="Q195" s="39"/>
      <c r="R195" s="39"/>
      <c r="S195" s="39"/>
      <c r="T195" s="39"/>
      <c r="U195" s="39"/>
      <c r="V195" s="39"/>
    </row>
    <row r="196" spans="1:22" s="19" customFormat="1" ht="12" x14ac:dyDescent="0.2">
      <c r="A196" s="39"/>
      <c r="B196" s="39"/>
      <c r="C196" s="39"/>
      <c r="E196" s="284"/>
      <c r="I196" s="39"/>
      <c r="K196" s="39"/>
      <c r="L196" s="39"/>
      <c r="M196" s="39"/>
      <c r="N196" s="39"/>
      <c r="O196" s="39"/>
      <c r="P196" s="39"/>
      <c r="Q196" s="39"/>
      <c r="R196" s="39"/>
      <c r="S196" s="39"/>
      <c r="T196" s="39"/>
      <c r="U196" s="39"/>
      <c r="V196" s="39"/>
    </row>
    <row r="197" spans="1:22" s="19" customFormat="1" ht="12" x14ac:dyDescent="0.2">
      <c r="A197" s="39"/>
      <c r="B197" s="39"/>
      <c r="C197" s="39"/>
      <c r="E197" s="284"/>
      <c r="I197" s="39"/>
      <c r="K197" s="39"/>
      <c r="L197" s="39"/>
      <c r="M197" s="39"/>
      <c r="N197" s="39"/>
      <c r="O197" s="39"/>
      <c r="P197" s="39"/>
      <c r="Q197" s="39"/>
      <c r="R197" s="39"/>
      <c r="S197" s="39"/>
      <c r="T197" s="39"/>
      <c r="U197" s="39"/>
      <c r="V197" s="39"/>
    </row>
    <row r="198" spans="1:22" s="19" customFormat="1" ht="12" x14ac:dyDescent="0.2">
      <c r="A198" s="39"/>
      <c r="B198" s="39"/>
      <c r="C198" s="39"/>
      <c r="E198" s="284"/>
      <c r="I198" s="39"/>
      <c r="K198" s="39"/>
      <c r="L198" s="39"/>
      <c r="M198" s="39"/>
      <c r="N198" s="39"/>
      <c r="O198" s="39"/>
      <c r="P198" s="39"/>
      <c r="Q198" s="39"/>
      <c r="R198" s="39"/>
      <c r="S198" s="39"/>
      <c r="T198" s="39"/>
      <c r="U198" s="39"/>
      <c r="V198" s="39"/>
    </row>
    <row r="199" spans="1:22" s="19" customFormat="1" ht="12" x14ac:dyDescent="0.2">
      <c r="A199" s="39"/>
      <c r="B199" s="39"/>
      <c r="C199" s="39"/>
      <c r="E199" s="284"/>
      <c r="I199" s="39"/>
      <c r="K199" s="39"/>
      <c r="L199" s="39"/>
      <c r="M199" s="39"/>
      <c r="N199" s="39"/>
      <c r="O199" s="39"/>
      <c r="P199" s="39"/>
      <c r="Q199" s="39"/>
      <c r="R199" s="39"/>
      <c r="S199" s="39"/>
      <c r="T199" s="39"/>
      <c r="U199" s="39"/>
      <c r="V199" s="39"/>
    </row>
    <row r="200" spans="1:22" s="19" customFormat="1" ht="12" x14ac:dyDescent="0.2">
      <c r="A200" s="39"/>
      <c r="B200" s="39"/>
      <c r="C200" s="39"/>
      <c r="E200" s="284"/>
      <c r="I200" s="39"/>
      <c r="K200" s="39"/>
      <c r="L200" s="39"/>
      <c r="M200" s="39"/>
      <c r="N200" s="39"/>
      <c r="O200" s="39"/>
      <c r="P200" s="39"/>
      <c r="Q200" s="39"/>
      <c r="R200" s="39"/>
      <c r="S200" s="39"/>
      <c r="T200" s="39"/>
      <c r="U200" s="39"/>
      <c r="V200" s="39"/>
    </row>
    <row r="201" spans="1:22" s="19" customFormat="1" ht="12" x14ac:dyDescent="0.2">
      <c r="A201" s="39"/>
      <c r="B201" s="39"/>
      <c r="C201" s="39"/>
      <c r="E201" s="284"/>
      <c r="I201" s="39"/>
      <c r="K201" s="39"/>
      <c r="L201" s="39"/>
      <c r="M201" s="39"/>
      <c r="N201" s="39"/>
      <c r="O201" s="39"/>
      <c r="P201" s="39"/>
      <c r="Q201" s="39"/>
      <c r="R201" s="39"/>
      <c r="S201" s="39"/>
      <c r="T201" s="39"/>
      <c r="U201" s="39"/>
      <c r="V201" s="39"/>
    </row>
    <row r="202" spans="1:22" s="19" customFormat="1" ht="12" x14ac:dyDescent="0.2">
      <c r="A202" s="39"/>
      <c r="B202" s="39"/>
      <c r="C202" s="39"/>
      <c r="E202" s="284"/>
      <c r="I202" s="39"/>
      <c r="K202" s="39"/>
      <c r="L202" s="39"/>
      <c r="M202" s="39"/>
      <c r="N202" s="39"/>
      <c r="O202" s="39"/>
      <c r="P202" s="39"/>
      <c r="Q202" s="39"/>
      <c r="R202" s="39"/>
      <c r="S202" s="39"/>
      <c r="T202" s="39"/>
      <c r="U202" s="39"/>
      <c r="V202" s="39"/>
    </row>
    <row r="203" spans="1:22" s="19" customFormat="1" ht="12" x14ac:dyDescent="0.2">
      <c r="A203" s="39"/>
      <c r="B203" s="39"/>
      <c r="C203" s="39"/>
      <c r="E203" s="284"/>
      <c r="I203" s="39"/>
      <c r="K203" s="39"/>
      <c r="L203" s="39"/>
      <c r="M203" s="39"/>
      <c r="N203" s="39"/>
      <c r="O203" s="39"/>
      <c r="P203" s="39"/>
      <c r="Q203" s="39"/>
      <c r="R203" s="39"/>
      <c r="S203" s="39"/>
      <c r="T203" s="39"/>
      <c r="U203" s="39"/>
      <c r="V203" s="39"/>
    </row>
    <row r="204" spans="1:22" s="19" customFormat="1" ht="12" x14ac:dyDescent="0.2">
      <c r="A204" s="39"/>
      <c r="B204" s="39"/>
      <c r="C204" s="39"/>
      <c r="E204" s="284"/>
      <c r="I204" s="39"/>
      <c r="K204" s="39"/>
      <c r="L204" s="39"/>
      <c r="M204" s="39"/>
      <c r="N204" s="39"/>
      <c r="O204" s="39"/>
      <c r="P204" s="39"/>
      <c r="Q204" s="39"/>
      <c r="R204" s="39"/>
      <c r="S204" s="39"/>
      <c r="T204" s="39"/>
      <c r="U204" s="39"/>
      <c r="V204" s="39"/>
    </row>
    <row r="205" spans="1:22" s="19" customFormat="1" ht="12" x14ac:dyDescent="0.2">
      <c r="A205" s="39"/>
      <c r="B205" s="39"/>
      <c r="C205" s="39"/>
      <c r="E205" s="284"/>
      <c r="I205" s="39"/>
      <c r="K205" s="39"/>
      <c r="L205" s="39"/>
      <c r="M205" s="39"/>
      <c r="N205" s="39"/>
      <c r="O205" s="39"/>
      <c r="P205" s="39"/>
      <c r="Q205" s="39"/>
      <c r="R205" s="39"/>
      <c r="S205" s="39"/>
      <c r="T205" s="39"/>
      <c r="U205" s="39"/>
      <c r="V205" s="39"/>
    </row>
    <row r="206" spans="1:22" s="19" customFormat="1" ht="12" x14ac:dyDescent="0.2">
      <c r="A206" s="39"/>
      <c r="B206" s="39"/>
      <c r="C206" s="39"/>
      <c r="E206" s="284"/>
      <c r="I206" s="39"/>
      <c r="K206" s="39"/>
      <c r="L206" s="39"/>
      <c r="M206" s="39"/>
      <c r="N206" s="39"/>
      <c r="O206" s="39"/>
      <c r="P206" s="39"/>
      <c r="Q206" s="39"/>
      <c r="R206" s="39"/>
      <c r="S206" s="39"/>
      <c r="T206" s="39"/>
      <c r="U206" s="39"/>
      <c r="V206" s="39"/>
    </row>
    <row r="207" spans="1:22" s="19" customFormat="1" ht="12" x14ac:dyDescent="0.2">
      <c r="A207" s="39"/>
      <c r="B207" s="39"/>
      <c r="C207" s="39"/>
      <c r="E207" s="284"/>
      <c r="I207" s="39"/>
      <c r="K207" s="39"/>
      <c r="L207" s="39"/>
      <c r="M207" s="39"/>
      <c r="N207" s="39"/>
      <c r="O207" s="39"/>
      <c r="P207" s="39"/>
      <c r="Q207" s="39"/>
      <c r="R207" s="39"/>
      <c r="S207" s="39"/>
      <c r="T207" s="39"/>
      <c r="U207" s="39"/>
      <c r="V207" s="39"/>
    </row>
    <row r="208" spans="1:22" s="19" customFormat="1" ht="12" x14ac:dyDescent="0.2">
      <c r="A208" s="39"/>
      <c r="B208" s="39"/>
      <c r="C208" s="39"/>
      <c r="E208" s="284"/>
      <c r="I208" s="39"/>
      <c r="K208" s="39"/>
      <c r="L208" s="39"/>
      <c r="M208" s="39"/>
      <c r="N208" s="39"/>
      <c r="O208" s="39"/>
      <c r="P208" s="39"/>
      <c r="Q208" s="39"/>
      <c r="R208" s="39"/>
      <c r="S208" s="39"/>
      <c r="T208" s="39"/>
      <c r="U208" s="39"/>
      <c r="V208" s="39"/>
    </row>
    <row r="209" spans="1:22" s="19" customFormat="1" ht="12" x14ac:dyDescent="0.2">
      <c r="A209" s="39"/>
      <c r="B209" s="39"/>
      <c r="C209" s="39"/>
      <c r="E209" s="284"/>
      <c r="I209" s="39"/>
      <c r="K209" s="39"/>
      <c r="L209" s="39"/>
      <c r="M209" s="39"/>
      <c r="N209" s="39"/>
      <c r="O209" s="39"/>
      <c r="P209" s="39"/>
      <c r="Q209" s="39"/>
      <c r="R209" s="39"/>
      <c r="S209" s="39"/>
      <c r="T209" s="39"/>
      <c r="U209" s="39"/>
      <c r="V209" s="39"/>
    </row>
    <row r="210" spans="1:22" s="19" customFormat="1" ht="12" x14ac:dyDescent="0.2">
      <c r="A210" s="39"/>
      <c r="B210" s="39"/>
      <c r="C210" s="39"/>
      <c r="E210" s="284"/>
      <c r="I210" s="39"/>
      <c r="K210" s="39"/>
      <c r="L210" s="39"/>
      <c r="M210" s="39"/>
      <c r="N210" s="39"/>
      <c r="O210" s="39"/>
      <c r="P210" s="39"/>
      <c r="Q210" s="39"/>
      <c r="R210" s="39"/>
      <c r="S210" s="39"/>
      <c r="T210" s="39"/>
      <c r="U210" s="39"/>
      <c r="V210" s="39"/>
    </row>
    <row r="211" spans="1:22" s="19" customFormat="1" ht="12" x14ac:dyDescent="0.2">
      <c r="A211" s="39"/>
      <c r="B211" s="39"/>
      <c r="C211" s="39"/>
      <c r="E211" s="284"/>
      <c r="I211" s="39"/>
      <c r="K211" s="39"/>
      <c r="L211" s="39"/>
      <c r="M211" s="39"/>
      <c r="N211" s="39"/>
      <c r="O211" s="39"/>
      <c r="P211" s="39"/>
      <c r="Q211" s="39"/>
      <c r="R211" s="39"/>
      <c r="S211" s="39"/>
      <c r="T211" s="39"/>
      <c r="U211" s="39"/>
      <c r="V211" s="39"/>
    </row>
    <row r="212" spans="1:22" s="19" customFormat="1" ht="12" x14ac:dyDescent="0.2">
      <c r="A212" s="39"/>
      <c r="B212" s="39"/>
      <c r="C212" s="39"/>
      <c r="E212" s="284"/>
      <c r="I212" s="39"/>
      <c r="K212" s="39"/>
      <c r="L212" s="39"/>
      <c r="M212" s="39"/>
      <c r="N212" s="39"/>
      <c r="O212" s="39"/>
      <c r="P212" s="39"/>
      <c r="Q212" s="39"/>
      <c r="R212" s="39"/>
      <c r="S212" s="39"/>
      <c r="T212" s="39"/>
      <c r="U212" s="39"/>
      <c r="V212" s="39"/>
    </row>
    <row r="213" spans="1:22" s="19" customFormat="1" ht="12" x14ac:dyDescent="0.2">
      <c r="A213" s="39"/>
      <c r="B213" s="39"/>
      <c r="C213" s="39"/>
      <c r="E213" s="284"/>
      <c r="I213" s="39"/>
      <c r="K213" s="39"/>
      <c r="L213" s="39"/>
      <c r="M213" s="39"/>
      <c r="N213" s="39"/>
      <c r="O213" s="39"/>
      <c r="P213" s="39"/>
      <c r="Q213" s="39"/>
      <c r="R213" s="39"/>
      <c r="S213" s="39"/>
      <c r="T213" s="39"/>
      <c r="U213" s="39"/>
      <c r="V213" s="39"/>
    </row>
    <row r="214" spans="1:22" s="19" customFormat="1" ht="12" x14ac:dyDescent="0.2">
      <c r="A214" s="39"/>
      <c r="B214" s="39"/>
      <c r="C214" s="39"/>
      <c r="E214" s="284"/>
      <c r="I214" s="39"/>
      <c r="K214" s="39"/>
      <c r="L214" s="39"/>
      <c r="M214" s="39"/>
      <c r="N214" s="39"/>
      <c r="O214" s="39"/>
      <c r="P214" s="39"/>
      <c r="Q214" s="39"/>
      <c r="R214" s="39"/>
      <c r="S214" s="39"/>
      <c r="T214" s="39"/>
      <c r="U214" s="39"/>
      <c r="V214" s="39"/>
    </row>
    <row r="215" spans="1:22" s="19" customFormat="1" ht="12" x14ac:dyDescent="0.2">
      <c r="A215" s="39"/>
      <c r="B215" s="39"/>
      <c r="C215" s="39"/>
      <c r="E215" s="284"/>
      <c r="I215" s="39"/>
      <c r="K215" s="39"/>
      <c r="L215" s="39"/>
      <c r="M215" s="39"/>
      <c r="N215" s="39"/>
      <c r="O215" s="39"/>
      <c r="P215" s="39"/>
      <c r="Q215" s="39"/>
      <c r="R215" s="39"/>
      <c r="S215" s="39"/>
      <c r="T215" s="39"/>
      <c r="U215" s="39"/>
      <c r="V215" s="39"/>
    </row>
    <row r="216" spans="1:22" s="19" customFormat="1" ht="12" x14ac:dyDescent="0.2">
      <c r="A216" s="39"/>
      <c r="B216" s="39"/>
      <c r="C216" s="39"/>
      <c r="E216" s="284"/>
      <c r="I216" s="39"/>
      <c r="K216" s="39"/>
      <c r="L216" s="39"/>
      <c r="M216" s="39"/>
      <c r="N216" s="39"/>
      <c r="O216" s="39"/>
      <c r="P216" s="39"/>
      <c r="Q216" s="39"/>
      <c r="R216" s="39"/>
      <c r="S216" s="39"/>
      <c r="T216" s="39"/>
      <c r="U216" s="39"/>
      <c r="V216" s="39"/>
    </row>
    <row r="217" spans="1:22" s="19" customFormat="1" ht="12" x14ac:dyDescent="0.2">
      <c r="A217" s="39"/>
      <c r="B217" s="39"/>
      <c r="C217" s="39"/>
      <c r="E217" s="284"/>
      <c r="I217" s="39"/>
      <c r="K217" s="39"/>
      <c r="L217" s="39"/>
      <c r="M217" s="39"/>
      <c r="N217" s="39"/>
      <c r="O217" s="39"/>
      <c r="P217" s="39"/>
      <c r="Q217" s="39"/>
      <c r="R217" s="39"/>
      <c r="S217" s="39"/>
      <c r="T217" s="39"/>
      <c r="U217" s="39"/>
      <c r="V217" s="39"/>
    </row>
    <row r="218" spans="1:22" s="19" customFormat="1" ht="12" x14ac:dyDescent="0.2">
      <c r="A218" s="39"/>
      <c r="B218" s="39"/>
      <c r="C218" s="39"/>
      <c r="E218" s="284"/>
      <c r="I218" s="39"/>
      <c r="K218" s="39"/>
      <c r="L218" s="39"/>
      <c r="M218" s="39"/>
      <c r="N218" s="39"/>
      <c r="O218" s="39"/>
      <c r="P218" s="39"/>
      <c r="Q218" s="39"/>
      <c r="R218" s="39"/>
      <c r="S218" s="39"/>
      <c r="T218" s="39"/>
      <c r="U218" s="39"/>
      <c r="V218" s="39"/>
    </row>
    <row r="219" spans="1:22" s="19" customFormat="1" ht="12" x14ac:dyDescent="0.2">
      <c r="A219" s="39"/>
      <c r="B219" s="39"/>
      <c r="C219" s="39"/>
      <c r="E219" s="284"/>
      <c r="I219" s="39"/>
      <c r="K219" s="39"/>
      <c r="L219" s="39"/>
      <c r="M219" s="39"/>
      <c r="N219" s="39"/>
      <c r="O219" s="39"/>
      <c r="P219" s="39"/>
      <c r="Q219" s="39"/>
      <c r="R219" s="39"/>
      <c r="S219" s="39"/>
      <c r="T219" s="39"/>
      <c r="U219" s="39"/>
      <c r="V219" s="39"/>
    </row>
    <row r="220" spans="1:22" s="19" customFormat="1" ht="12" x14ac:dyDescent="0.2">
      <c r="A220" s="39"/>
      <c r="B220" s="39"/>
      <c r="C220" s="39"/>
      <c r="E220" s="284"/>
      <c r="I220" s="39"/>
      <c r="K220" s="39"/>
      <c r="L220" s="39"/>
      <c r="M220" s="39"/>
      <c r="N220" s="39"/>
      <c r="O220" s="39"/>
      <c r="P220" s="39"/>
      <c r="Q220" s="39"/>
      <c r="R220" s="39"/>
      <c r="S220" s="39"/>
      <c r="T220" s="39"/>
      <c r="U220" s="39"/>
      <c r="V220" s="39"/>
    </row>
    <row r="221" spans="1:22" s="19" customFormat="1" ht="12" x14ac:dyDescent="0.2">
      <c r="A221" s="39"/>
      <c r="B221" s="39"/>
      <c r="C221" s="39"/>
      <c r="E221" s="284"/>
      <c r="I221" s="39"/>
      <c r="K221" s="39"/>
      <c r="L221" s="39"/>
      <c r="M221" s="39"/>
      <c r="N221" s="39"/>
      <c r="O221" s="39"/>
      <c r="P221" s="39"/>
      <c r="Q221" s="39"/>
      <c r="R221" s="39"/>
      <c r="S221" s="39"/>
      <c r="T221" s="39"/>
      <c r="U221" s="39"/>
      <c r="V221" s="39"/>
    </row>
    <row r="222" spans="1:22" s="19" customFormat="1" ht="12" x14ac:dyDescent="0.2">
      <c r="A222" s="39"/>
      <c r="B222" s="39"/>
      <c r="C222" s="39"/>
      <c r="E222" s="284"/>
      <c r="I222" s="39"/>
      <c r="K222" s="39"/>
      <c r="L222" s="39"/>
      <c r="M222" s="39"/>
      <c r="N222" s="39"/>
      <c r="O222" s="39"/>
      <c r="P222" s="39"/>
      <c r="Q222" s="39"/>
      <c r="R222" s="39"/>
      <c r="S222" s="39"/>
      <c r="T222" s="39"/>
      <c r="U222" s="39"/>
      <c r="V222" s="39"/>
    </row>
    <row r="400" spans="1:21" x14ac:dyDescent="0.2">
      <c r="A400" s="6"/>
      <c r="B400" s="6"/>
      <c r="C400" s="6"/>
      <c r="O400" s="6"/>
      <c r="P400" s="6"/>
      <c r="Q400" s="6"/>
      <c r="S400" s="103" t="s">
        <v>6147</v>
      </c>
      <c r="T400" s="104"/>
      <c r="U400" s="104"/>
    </row>
    <row r="401" spans="1:19" x14ac:dyDescent="0.2">
      <c r="A401" s="6"/>
      <c r="B401" s="6"/>
      <c r="C401" s="6"/>
      <c r="O401" s="105"/>
      <c r="P401" s="105"/>
      <c r="Q401" s="105"/>
      <c r="R401" s="106"/>
      <c r="S401" s="106" t="s">
        <v>6147</v>
      </c>
    </row>
    <row r="402" spans="1:19" x14ac:dyDescent="0.2">
      <c r="A402" s="6"/>
      <c r="B402" s="6"/>
      <c r="C402" s="6"/>
      <c r="O402" s="105"/>
      <c r="P402" s="105"/>
      <c r="Q402" s="105"/>
      <c r="R402" s="106"/>
      <c r="S402" s="106" t="s">
        <v>6147</v>
      </c>
    </row>
    <row r="403" spans="1:19" x14ac:dyDescent="0.2">
      <c r="A403" s="6"/>
      <c r="B403" s="6"/>
      <c r="C403" s="6"/>
      <c r="D403" s="92" t="s">
        <v>6147</v>
      </c>
      <c r="K403" s="103"/>
      <c r="L403" s="103"/>
      <c r="M403" s="103"/>
      <c r="N403" s="103" t="s">
        <v>6147</v>
      </c>
    </row>
  </sheetData>
  <mergeCells count="19">
    <mergeCell ref="J5:J6"/>
    <mergeCell ref="T5:V5"/>
    <mergeCell ref="P5:P6"/>
    <mergeCell ref="Q5:S5"/>
    <mergeCell ref="N5:N6"/>
    <mergeCell ref="O5:O6"/>
    <mergeCell ref="P2:T2"/>
    <mergeCell ref="A1:C1"/>
    <mergeCell ref="K5:M5"/>
    <mergeCell ref="I5:I6"/>
    <mergeCell ref="F5:F6"/>
    <mergeCell ref="G5:G6"/>
    <mergeCell ref="A5:A6"/>
    <mergeCell ref="B5:B6"/>
    <mergeCell ref="H5:H6"/>
    <mergeCell ref="C5:C6"/>
    <mergeCell ref="A2:B2"/>
    <mergeCell ref="D5:D6"/>
    <mergeCell ref="E5:E6"/>
  </mergeCells>
  <phoneticPr fontId="3" type="noConversion"/>
  <pageMargins left="0" right="0" top="0.78740157480314965" bottom="0" header="0.51181102362204722" footer="0.27559055118110237"/>
  <pageSetup paperSize="9" orientation="landscape" r:id="rId1"/>
  <headerFooter alignWithMargins="0"/>
  <ignoredErrors>
    <ignoredError sqref="V93"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
  <dimension ref="A1:V2237"/>
  <sheetViews>
    <sheetView view="pageBreakPreview" zoomScaleNormal="160" zoomScaleSheetLayoutView="100" workbookViewId="0">
      <pane ySplit="6" topLeftCell="A2143" activePane="bottomLeft" state="frozen"/>
      <selection pane="bottomLeft" activeCell="O2237" sqref="O2237"/>
    </sheetView>
  </sheetViews>
  <sheetFormatPr defaultColWidth="9.140625" defaultRowHeight="12" x14ac:dyDescent="0.2"/>
  <cols>
    <col min="1" max="1" width="5" style="39" customWidth="1"/>
    <col min="2" max="2" width="9.140625" style="39" customWidth="1"/>
    <col min="3" max="3" width="7.42578125" style="39" customWidth="1"/>
    <col min="4" max="4" width="15.7109375" style="122" customWidth="1"/>
    <col min="5" max="5" width="9.85546875" style="38" customWidth="1"/>
    <col min="6" max="6" width="23" style="19" customWidth="1"/>
    <col min="7" max="7" width="13.85546875" style="284" customWidth="1"/>
    <col min="8" max="8" width="11.42578125" style="39" customWidth="1"/>
    <col min="9" max="9" width="6.7109375" style="7" customWidth="1"/>
    <col min="10" max="10" width="9.42578125" style="159" customWidth="1"/>
    <col min="11" max="11" width="10" style="159" customWidth="1"/>
    <col min="12" max="12" width="9" style="7" customWidth="1"/>
    <col min="13" max="13" width="11" style="7" customWidth="1"/>
    <col min="14" max="14" width="8.28515625" style="108" customWidth="1"/>
    <col min="15" max="15" width="13.28515625" style="107" customWidth="1"/>
    <col min="16" max="16" width="13.140625" style="107" customWidth="1"/>
    <col min="17" max="17" width="12.42578125" style="107" customWidth="1"/>
    <col min="18" max="18" width="13.85546875" style="39" customWidth="1"/>
    <col min="19" max="19" width="13" style="39" customWidth="1"/>
    <col min="20" max="20" width="13.5703125" style="284" customWidth="1"/>
    <col min="21" max="21" width="9.7109375" style="19" customWidth="1"/>
    <col min="22" max="22" width="19.140625" style="19" customWidth="1"/>
    <col min="23" max="16384" width="9.140625" style="19"/>
  </cols>
  <sheetData>
    <row r="1" spans="1:20" x14ac:dyDescent="0.2">
      <c r="A1" s="306"/>
      <c r="B1" s="306"/>
      <c r="C1" s="232"/>
      <c r="D1" s="233"/>
      <c r="I1" s="39"/>
      <c r="J1" s="284"/>
      <c r="K1" s="284"/>
      <c r="L1" s="39"/>
      <c r="M1" s="39"/>
    </row>
    <row r="2" spans="1:20" ht="12.75" customHeight="1" x14ac:dyDescent="0.2">
      <c r="A2" s="306" t="s">
        <v>1775</v>
      </c>
      <c r="B2" s="306"/>
      <c r="C2" s="306"/>
      <c r="D2" s="306"/>
      <c r="E2" s="306"/>
      <c r="F2" s="307"/>
      <c r="G2" s="306"/>
      <c r="H2" s="306"/>
      <c r="I2" s="39"/>
      <c r="J2" s="284"/>
      <c r="K2" s="284"/>
      <c r="L2" s="39"/>
      <c r="M2" s="39"/>
    </row>
    <row r="3" spans="1:20" s="111" customFormat="1" ht="12.75" customHeight="1" x14ac:dyDescent="0.25">
      <c r="A3" s="308" t="s">
        <v>3167</v>
      </c>
      <c r="B3" s="308"/>
      <c r="C3" s="308"/>
      <c r="D3" s="308"/>
      <c r="E3" s="308"/>
      <c r="F3" s="309"/>
      <c r="G3" s="235"/>
      <c r="H3" s="235"/>
      <c r="I3" s="236"/>
      <c r="J3" s="299"/>
      <c r="K3" s="299"/>
      <c r="L3" s="39"/>
      <c r="N3" s="237"/>
      <c r="O3" s="238"/>
      <c r="P3" s="238"/>
      <c r="Q3" s="238"/>
      <c r="R3" s="39"/>
      <c r="S3" s="39"/>
      <c r="T3" s="284"/>
    </row>
    <row r="4" spans="1:20" x14ac:dyDescent="0.2">
      <c r="B4" s="234"/>
      <c r="C4" s="234"/>
      <c r="D4" s="233"/>
      <c r="I4" s="39" t="s">
        <v>6147</v>
      </c>
      <c r="J4" s="284"/>
      <c r="K4" s="284"/>
      <c r="L4" s="39"/>
      <c r="M4" s="39"/>
    </row>
    <row r="5" spans="1:20" ht="52.5" customHeight="1" x14ac:dyDescent="0.2">
      <c r="A5" s="316" t="s">
        <v>3972</v>
      </c>
      <c r="B5" s="316" t="s">
        <v>6165</v>
      </c>
      <c r="C5" s="316" t="s">
        <v>4298</v>
      </c>
      <c r="D5" s="316" t="s">
        <v>1995</v>
      </c>
      <c r="E5" s="638" t="s">
        <v>1285</v>
      </c>
      <c r="F5" s="316" t="s">
        <v>2631</v>
      </c>
      <c r="G5" s="316" t="s">
        <v>2417</v>
      </c>
      <c r="H5" s="316" t="s">
        <v>5331</v>
      </c>
      <c r="I5" s="316" t="s">
        <v>2418</v>
      </c>
      <c r="J5" s="316" t="s">
        <v>3130</v>
      </c>
      <c r="K5" s="316"/>
      <c r="L5" s="316"/>
      <c r="M5" s="316" t="s">
        <v>5405</v>
      </c>
      <c r="N5" s="876" t="s">
        <v>6197</v>
      </c>
      <c r="O5" s="316" t="s">
        <v>4261</v>
      </c>
      <c r="P5" s="316"/>
      <c r="Q5" s="316"/>
      <c r="R5" s="316" t="s">
        <v>6338</v>
      </c>
      <c r="S5" s="316"/>
      <c r="T5" s="316"/>
    </row>
    <row r="6" spans="1:20" ht="36.75" customHeight="1" x14ac:dyDescent="0.2">
      <c r="A6" s="316"/>
      <c r="B6" s="316"/>
      <c r="C6" s="316"/>
      <c r="D6" s="316"/>
      <c r="E6" s="638"/>
      <c r="F6" s="316"/>
      <c r="G6" s="316"/>
      <c r="H6" s="316"/>
      <c r="I6" s="316"/>
      <c r="J6" s="285" t="s">
        <v>3771</v>
      </c>
      <c r="K6" s="285" t="s">
        <v>1598</v>
      </c>
      <c r="L6" s="285" t="s">
        <v>3131</v>
      </c>
      <c r="M6" s="316"/>
      <c r="N6" s="876"/>
      <c r="O6" s="285" t="s">
        <v>38</v>
      </c>
      <c r="P6" s="285" t="s">
        <v>5794</v>
      </c>
      <c r="Q6" s="17" t="s">
        <v>2252</v>
      </c>
      <c r="R6" s="289" t="s">
        <v>3771</v>
      </c>
      <c r="S6" s="289" t="s">
        <v>1598</v>
      </c>
      <c r="T6" s="285" t="s">
        <v>3131</v>
      </c>
    </row>
    <row r="7" spans="1:20" ht="18.75" customHeight="1" x14ac:dyDescent="0.2">
      <c r="A7" s="37">
        <v>1</v>
      </c>
      <c r="B7" s="37">
        <v>2</v>
      </c>
      <c r="C7" s="37">
        <v>3</v>
      </c>
      <c r="D7" s="37">
        <v>4</v>
      </c>
      <c r="E7" s="37">
        <v>5</v>
      </c>
      <c r="F7" s="37">
        <v>6</v>
      </c>
      <c r="G7" s="37">
        <v>7</v>
      </c>
      <c r="H7" s="37">
        <v>8</v>
      </c>
      <c r="I7" s="37">
        <v>9</v>
      </c>
      <c r="J7" s="37">
        <v>10</v>
      </c>
      <c r="K7" s="37">
        <v>11</v>
      </c>
      <c r="L7" s="37">
        <v>12</v>
      </c>
      <c r="M7" s="37">
        <v>13</v>
      </c>
      <c r="N7" s="37">
        <v>14</v>
      </c>
      <c r="O7" s="37">
        <v>15</v>
      </c>
      <c r="P7" s="37">
        <v>16</v>
      </c>
      <c r="Q7" s="37">
        <v>17</v>
      </c>
      <c r="R7" s="37">
        <v>18</v>
      </c>
      <c r="S7" s="37">
        <v>19</v>
      </c>
      <c r="T7" s="37">
        <v>20</v>
      </c>
    </row>
    <row r="8" spans="1:20" ht="55.5" customHeight="1" x14ac:dyDescent="0.2">
      <c r="A8" s="113">
        <v>1</v>
      </c>
      <c r="B8" s="20" t="s">
        <v>5112</v>
      </c>
      <c r="C8" s="20"/>
      <c r="D8" s="54" t="s">
        <v>1780</v>
      </c>
      <c r="E8" s="60" t="s">
        <v>6668</v>
      </c>
      <c r="F8" s="55" t="s">
        <v>3937</v>
      </c>
      <c r="G8" s="37" t="s">
        <v>4946</v>
      </c>
      <c r="H8" s="37" t="s">
        <v>5127</v>
      </c>
      <c r="I8" s="20"/>
      <c r="J8" s="37" t="s">
        <v>3132</v>
      </c>
      <c r="K8" s="57">
        <v>40403</v>
      </c>
      <c r="L8" s="20" t="s">
        <v>2320</v>
      </c>
      <c r="M8" s="57">
        <v>39814</v>
      </c>
      <c r="N8" s="44">
        <v>1</v>
      </c>
      <c r="O8" s="34">
        <v>30826.95</v>
      </c>
      <c r="P8" s="34">
        <v>30826.95</v>
      </c>
      <c r="Q8" s="34">
        <f t="shared" ref="Q8:Q39" si="0">O8-P8</f>
        <v>0</v>
      </c>
      <c r="R8" s="37" t="s">
        <v>692</v>
      </c>
      <c r="S8" s="65" t="s">
        <v>3967</v>
      </c>
      <c r="T8" s="65" t="s">
        <v>3510</v>
      </c>
    </row>
    <row r="9" spans="1:20" ht="55.5" customHeight="1" x14ac:dyDescent="0.2">
      <c r="A9" s="21">
        <v>2</v>
      </c>
      <c r="B9" s="289" t="s">
        <v>5113</v>
      </c>
      <c r="C9" s="289"/>
      <c r="D9" s="9" t="s">
        <v>5393</v>
      </c>
      <c r="E9" s="12" t="s">
        <v>6669</v>
      </c>
      <c r="F9" s="13" t="s">
        <v>2626</v>
      </c>
      <c r="G9" s="285" t="s">
        <v>4946</v>
      </c>
      <c r="H9" s="285" t="s">
        <v>5127</v>
      </c>
      <c r="I9" s="289"/>
      <c r="J9" s="285" t="s">
        <v>3132</v>
      </c>
      <c r="K9" s="15">
        <v>40403</v>
      </c>
      <c r="L9" s="289" t="s">
        <v>2320</v>
      </c>
      <c r="M9" s="15">
        <v>39814</v>
      </c>
      <c r="N9" s="16">
        <v>1</v>
      </c>
      <c r="O9" s="17">
        <v>61909.96</v>
      </c>
      <c r="P9" s="17">
        <v>61909.96</v>
      </c>
      <c r="Q9" s="17">
        <f t="shared" si="0"/>
        <v>0</v>
      </c>
      <c r="R9" s="285" t="s">
        <v>692</v>
      </c>
      <c r="S9" s="22" t="s">
        <v>3967</v>
      </c>
      <c r="T9" s="22" t="s">
        <v>3511</v>
      </c>
    </row>
    <row r="10" spans="1:20" ht="55.5" customHeight="1" x14ac:dyDescent="0.2">
      <c r="A10" s="21">
        <v>3</v>
      </c>
      <c r="B10" s="289" t="s">
        <v>2684</v>
      </c>
      <c r="C10" s="289"/>
      <c r="D10" s="9" t="s">
        <v>5078</v>
      </c>
      <c r="E10" s="12" t="s">
        <v>3274</v>
      </c>
      <c r="F10" s="13" t="s">
        <v>3271</v>
      </c>
      <c r="G10" s="285" t="s">
        <v>8293</v>
      </c>
      <c r="H10" s="285" t="s">
        <v>5127</v>
      </c>
      <c r="I10" s="289"/>
      <c r="J10" s="285" t="s">
        <v>3686</v>
      </c>
      <c r="K10" s="15">
        <v>39400</v>
      </c>
      <c r="L10" s="289">
        <v>807</v>
      </c>
      <c r="M10" s="15">
        <v>39934</v>
      </c>
      <c r="N10" s="16">
        <v>1</v>
      </c>
      <c r="O10" s="17">
        <v>18298.63</v>
      </c>
      <c r="P10" s="17">
        <v>18298.63</v>
      </c>
      <c r="Q10" s="17">
        <f t="shared" si="0"/>
        <v>0</v>
      </c>
      <c r="R10" s="285"/>
      <c r="S10" s="289"/>
      <c r="T10" s="285"/>
    </row>
    <row r="11" spans="1:20" ht="52.5" customHeight="1" x14ac:dyDescent="0.2">
      <c r="A11" s="21">
        <v>4</v>
      </c>
      <c r="B11" s="289" t="s">
        <v>2685</v>
      </c>
      <c r="C11" s="289"/>
      <c r="D11" s="9" t="s">
        <v>3782</v>
      </c>
      <c r="E11" s="12" t="s">
        <v>3274</v>
      </c>
      <c r="F11" s="13" t="s">
        <v>3272</v>
      </c>
      <c r="G11" s="285" t="s">
        <v>8293</v>
      </c>
      <c r="H11" s="285" t="s">
        <v>5127</v>
      </c>
      <c r="I11" s="289"/>
      <c r="J11" s="285" t="s">
        <v>3686</v>
      </c>
      <c r="K11" s="15">
        <v>39400</v>
      </c>
      <c r="L11" s="289">
        <v>807</v>
      </c>
      <c r="M11" s="15">
        <v>39934</v>
      </c>
      <c r="N11" s="16">
        <v>1</v>
      </c>
      <c r="O11" s="17">
        <v>15191.54</v>
      </c>
      <c r="P11" s="17">
        <v>15191.54</v>
      </c>
      <c r="Q11" s="17">
        <f t="shared" si="0"/>
        <v>0</v>
      </c>
      <c r="R11" s="285"/>
      <c r="S11" s="289"/>
      <c r="T11" s="285"/>
    </row>
    <row r="12" spans="1:20" ht="48.75" customHeight="1" x14ac:dyDescent="0.2">
      <c r="A12" s="21">
        <v>5</v>
      </c>
      <c r="B12" s="289" t="s">
        <v>2686</v>
      </c>
      <c r="C12" s="289"/>
      <c r="D12" s="9" t="s">
        <v>5818</v>
      </c>
      <c r="E12" s="12" t="s">
        <v>918</v>
      </c>
      <c r="F12" s="13" t="s">
        <v>3273</v>
      </c>
      <c r="G12" s="285" t="s">
        <v>4296</v>
      </c>
      <c r="H12" s="285" t="s">
        <v>3793</v>
      </c>
      <c r="I12" s="285"/>
      <c r="J12" s="285" t="s">
        <v>3686</v>
      </c>
      <c r="K12" s="14">
        <v>42614</v>
      </c>
      <c r="L12" s="285">
        <v>910</v>
      </c>
      <c r="M12" s="15">
        <v>37987</v>
      </c>
      <c r="N12" s="16">
        <v>1</v>
      </c>
      <c r="O12" s="17">
        <v>32981.919999999998</v>
      </c>
      <c r="P12" s="17">
        <v>32981.919999999998</v>
      </c>
      <c r="Q12" s="17">
        <f t="shared" si="0"/>
        <v>0</v>
      </c>
      <c r="R12" s="285" t="s">
        <v>5377</v>
      </c>
      <c r="S12" s="15">
        <v>40066</v>
      </c>
      <c r="T12" s="285" t="s">
        <v>1029</v>
      </c>
    </row>
    <row r="13" spans="1:20" ht="60" customHeight="1" x14ac:dyDescent="0.2">
      <c r="A13" s="21">
        <v>6</v>
      </c>
      <c r="B13" s="289" t="s">
        <v>2687</v>
      </c>
      <c r="C13" s="289"/>
      <c r="D13" s="9" t="s">
        <v>3183</v>
      </c>
      <c r="E13" s="12" t="s">
        <v>1409</v>
      </c>
      <c r="F13" s="13" t="s">
        <v>1406</v>
      </c>
      <c r="G13" s="285" t="s">
        <v>4877</v>
      </c>
      <c r="H13" s="285" t="s">
        <v>3793</v>
      </c>
      <c r="I13" s="289"/>
      <c r="J13" s="285" t="s">
        <v>3686</v>
      </c>
      <c r="K13" s="15">
        <v>39274</v>
      </c>
      <c r="L13" s="289">
        <v>492</v>
      </c>
      <c r="M13" s="15">
        <v>39995</v>
      </c>
      <c r="N13" s="16">
        <v>1</v>
      </c>
      <c r="O13" s="17">
        <v>6587.37</v>
      </c>
      <c r="P13" s="17">
        <v>6587.37</v>
      </c>
      <c r="Q13" s="17">
        <f t="shared" si="0"/>
        <v>0</v>
      </c>
      <c r="R13" s="289"/>
      <c r="S13" s="289"/>
      <c r="T13" s="285"/>
    </row>
    <row r="14" spans="1:20" ht="54.75" customHeight="1" x14ac:dyDescent="0.2">
      <c r="A14" s="21">
        <v>7</v>
      </c>
      <c r="B14" s="289" t="s">
        <v>236</v>
      </c>
      <c r="C14" s="289"/>
      <c r="D14" s="9" t="s">
        <v>1474</v>
      </c>
      <c r="E14" s="12" t="s">
        <v>4978</v>
      </c>
      <c r="F14" s="13" t="s">
        <v>3915</v>
      </c>
      <c r="G14" s="285" t="s">
        <v>4877</v>
      </c>
      <c r="H14" s="285" t="s">
        <v>3793</v>
      </c>
      <c r="I14" s="289"/>
      <c r="J14" s="285" t="s">
        <v>3686</v>
      </c>
      <c r="K14" s="15">
        <v>39274</v>
      </c>
      <c r="L14" s="289">
        <v>492</v>
      </c>
      <c r="M14" s="15">
        <v>39995</v>
      </c>
      <c r="N14" s="16">
        <v>1</v>
      </c>
      <c r="O14" s="17">
        <v>3160.98</v>
      </c>
      <c r="P14" s="17">
        <v>3160.98</v>
      </c>
      <c r="Q14" s="17">
        <f t="shared" si="0"/>
        <v>0</v>
      </c>
      <c r="R14" s="289"/>
      <c r="S14" s="289"/>
      <c r="T14" s="285"/>
    </row>
    <row r="15" spans="1:20" ht="53.25" customHeight="1" x14ac:dyDescent="0.2">
      <c r="A15" s="21">
        <v>8</v>
      </c>
      <c r="B15" s="289" t="s">
        <v>10592</v>
      </c>
      <c r="C15" s="289"/>
      <c r="D15" s="9" t="s">
        <v>3949</v>
      </c>
      <c r="E15" s="12" t="s">
        <v>4978</v>
      </c>
      <c r="F15" s="13" t="s">
        <v>1407</v>
      </c>
      <c r="G15" s="285" t="s">
        <v>4877</v>
      </c>
      <c r="H15" s="285" t="s">
        <v>3793</v>
      </c>
      <c r="I15" s="289"/>
      <c r="J15" s="285" t="s">
        <v>3686</v>
      </c>
      <c r="K15" s="15">
        <v>39274</v>
      </c>
      <c r="L15" s="289">
        <v>492</v>
      </c>
      <c r="M15" s="15">
        <v>39995</v>
      </c>
      <c r="N15" s="16">
        <v>1</v>
      </c>
      <c r="O15" s="17">
        <v>6585.37</v>
      </c>
      <c r="P15" s="17">
        <v>6585.37</v>
      </c>
      <c r="Q15" s="17">
        <f t="shared" si="0"/>
        <v>0</v>
      </c>
      <c r="R15" s="289"/>
      <c r="S15" s="289"/>
      <c r="T15" s="285"/>
    </row>
    <row r="16" spans="1:20" ht="54.75" customHeight="1" x14ac:dyDescent="0.2">
      <c r="A16" s="21">
        <v>9</v>
      </c>
      <c r="B16" s="289" t="s">
        <v>2688</v>
      </c>
      <c r="C16" s="289"/>
      <c r="D16" s="27" t="s">
        <v>2866</v>
      </c>
      <c r="E16" s="12" t="s">
        <v>2291</v>
      </c>
      <c r="F16" s="13" t="s">
        <v>2867</v>
      </c>
      <c r="G16" s="285" t="s">
        <v>4296</v>
      </c>
      <c r="H16" s="285" t="s">
        <v>3793</v>
      </c>
      <c r="I16" s="285"/>
      <c r="J16" s="22" t="s">
        <v>3686</v>
      </c>
      <c r="K16" s="14">
        <v>42003</v>
      </c>
      <c r="L16" s="289">
        <v>1239</v>
      </c>
      <c r="M16" s="15">
        <v>40269</v>
      </c>
      <c r="N16" s="16">
        <v>1</v>
      </c>
      <c r="O16" s="17">
        <v>48622.95</v>
      </c>
      <c r="P16" s="17">
        <v>48622.95</v>
      </c>
      <c r="Q16" s="17">
        <f t="shared" si="0"/>
        <v>0</v>
      </c>
      <c r="R16" s="285" t="s">
        <v>691</v>
      </c>
      <c r="S16" s="15">
        <v>38169</v>
      </c>
      <c r="T16" s="14" t="s">
        <v>1029</v>
      </c>
    </row>
    <row r="17" spans="1:20" ht="49.5" customHeight="1" x14ac:dyDescent="0.2">
      <c r="A17" s="21">
        <v>10</v>
      </c>
      <c r="B17" s="289" t="s">
        <v>2689</v>
      </c>
      <c r="C17" s="289"/>
      <c r="D17" s="9" t="s">
        <v>3532</v>
      </c>
      <c r="E17" s="22" t="s">
        <v>3412</v>
      </c>
      <c r="F17" s="13" t="s">
        <v>3916</v>
      </c>
      <c r="G17" s="285" t="s">
        <v>4877</v>
      </c>
      <c r="H17" s="285" t="s">
        <v>3793</v>
      </c>
      <c r="I17" s="289"/>
      <c r="J17" s="285" t="s">
        <v>3686</v>
      </c>
      <c r="K17" s="15">
        <v>39274</v>
      </c>
      <c r="L17" s="289">
        <v>492</v>
      </c>
      <c r="M17" s="15">
        <v>39995</v>
      </c>
      <c r="N17" s="16">
        <v>1</v>
      </c>
      <c r="O17" s="17">
        <v>3047.41</v>
      </c>
      <c r="P17" s="17">
        <v>3047.41</v>
      </c>
      <c r="Q17" s="17">
        <f t="shared" si="0"/>
        <v>0</v>
      </c>
      <c r="R17" s="289"/>
      <c r="S17" s="289"/>
      <c r="T17" s="285"/>
    </row>
    <row r="18" spans="1:20" ht="38.25" customHeight="1" x14ac:dyDescent="0.2">
      <c r="A18" s="21">
        <v>11</v>
      </c>
      <c r="B18" s="289" t="s">
        <v>944</v>
      </c>
      <c r="C18" s="289"/>
      <c r="D18" s="23" t="s">
        <v>4253</v>
      </c>
      <c r="E18" s="22">
        <v>2012</v>
      </c>
      <c r="F18" s="66" t="s">
        <v>11907</v>
      </c>
      <c r="G18" s="285" t="s">
        <v>5718</v>
      </c>
      <c r="H18" s="285" t="s">
        <v>2614</v>
      </c>
      <c r="I18" s="289" t="s">
        <v>2207</v>
      </c>
      <c r="J18" s="285" t="s">
        <v>1937</v>
      </c>
      <c r="K18" s="285" t="s">
        <v>5051</v>
      </c>
      <c r="L18" s="285" t="s">
        <v>3634</v>
      </c>
      <c r="M18" s="15">
        <v>40360</v>
      </c>
      <c r="N18" s="16">
        <v>1</v>
      </c>
      <c r="O18" s="17">
        <v>14749.7</v>
      </c>
      <c r="P18" s="17">
        <v>14749.7</v>
      </c>
      <c r="Q18" s="17">
        <f t="shared" si="0"/>
        <v>0</v>
      </c>
      <c r="R18" s="289"/>
      <c r="S18" s="289"/>
      <c r="T18" s="285"/>
    </row>
    <row r="19" spans="1:20" ht="62.25" customHeight="1" x14ac:dyDescent="0.2">
      <c r="A19" s="21">
        <v>12</v>
      </c>
      <c r="B19" s="289" t="s">
        <v>2690</v>
      </c>
      <c r="C19" s="289"/>
      <c r="D19" s="27" t="s">
        <v>2758</v>
      </c>
      <c r="E19" s="65">
        <v>2013</v>
      </c>
      <c r="F19" s="13" t="s">
        <v>4527</v>
      </c>
      <c r="G19" s="285" t="s">
        <v>4296</v>
      </c>
      <c r="H19" s="285" t="s">
        <v>1586</v>
      </c>
      <c r="I19" s="289"/>
      <c r="J19" s="285" t="s">
        <v>3136</v>
      </c>
      <c r="K19" s="14">
        <v>41079</v>
      </c>
      <c r="L19" s="289">
        <v>591</v>
      </c>
      <c r="M19" s="15">
        <v>39448</v>
      </c>
      <c r="N19" s="16">
        <v>1</v>
      </c>
      <c r="O19" s="17">
        <v>38692.300000000003</v>
      </c>
      <c r="P19" s="17">
        <v>38692.300000000003</v>
      </c>
      <c r="Q19" s="17">
        <f t="shared" si="0"/>
        <v>0</v>
      </c>
      <c r="R19" s="285"/>
      <c r="S19" s="289"/>
      <c r="T19" s="285"/>
    </row>
    <row r="20" spans="1:20" ht="65.25" customHeight="1" x14ac:dyDescent="0.2">
      <c r="A20" s="21">
        <v>13</v>
      </c>
      <c r="B20" s="289" t="s">
        <v>2691</v>
      </c>
      <c r="C20" s="289"/>
      <c r="D20" s="27" t="s">
        <v>2977</v>
      </c>
      <c r="E20" s="65">
        <v>2013</v>
      </c>
      <c r="F20" s="13" t="s">
        <v>6171</v>
      </c>
      <c r="G20" s="285" t="s">
        <v>4296</v>
      </c>
      <c r="H20" s="285" t="s">
        <v>1586</v>
      </c>
      <c r="I20" s="289"/>
      <c r="J20" s="285" t="s">
        <v>3136</v>
      </c>
      <c r="K20" s="14">
        <v>41079</v>
      </c>
      <c r="L20" s="289">
        <v>591</v>
      </c>
      <c r="M20" s="15">
        <v>39448</v>
      </c>
      <c r="N20" s="16">
        <v>1</v>
      </c>
      <c r="O20" s="17">
        <v>34858.980000000003</v>
      </c>
      <c r="P20" s="17">
        <v>34858.980000000003</v>
      </c>
      <c r="Q20" s="17">
        <f t="shared" si="0"/>
        <v>0</v>
      </c>
      <c r="R20" s="285"/>
      <c r="S20" s="289"/>
      <c r="T20" s="285"/>
    </row>
    <row r="21" spans="1:20" ht="42.75" customHeight="1" x14ac:dyDescent="0.2">
      <c r="A21" s="21">
        <v>14</v>
      </c>
      <c r="B21" s="289" t="s">
        <v>2692</v>
      </c>
      <c r="C21" s="289"/>
      <c r="D21" s="27" t="s">
        <v>4389</v>
      </c>
      <c r="E21" s="12" t="s">
        <v>1409</v>
      </c>
      <c r="F21" s="13" t="s">
        <v>4014</v>
      </c>
      <c r="G21" s="285" t="s">
        <v>4296</v>
      </c>
      <c r="H21" s="285" t="s">
        <v>3793</v>
      </c>
      <c r="I21" s="285"/>
      <c r="J21" s="22" t="s">
        <v>3686</v>
      </c>
      <c r="K21" s="14">
        <v>42003</v>
      </c>
      <c r="L21" s="289">
        <v>1239</v>
      </c>
      <c r="M21" s="15">
        <v>40179</v>
      </c>
      <c r="N21" s="16">
        <v>1</v>
      </c>
      <c r="O21" s="17">
        <v>3476.49</v>
      </c>
      <c r="P21" s="17">
        <v>3476.49</v>
      </c>
      <c r="Q21" s="17">
        <f t="shared" si="0"/>
        <v>0</v>
      </c>
      <c r="R21" s="285"/>
      <c r="S21" s="289"/>
      <c r="T21" s="285"/>
    </row>
    <row r="22" spans="1:20" ht="54" customHeight="1" x14ac:dyDescent="0.2">
      <c r="A22" s="21">
        <v>15</v>
      </c>
      <c r="B22" s="289" t="s">
        <v>2693</v>
      </c>
      <c r="C22" s="289"/>
      <c r="D22" s="27" t="s">
        <v>4523</v>
      </c>
      <c r="E22" s="12" t="s">
        <v>2291</v>
      </c>
      <c r="F22" s="13" t="s">
        <v>6163</v>
      </c>
      <c r="G22" s="285" t="s">
        <v>4877</v>
      </c>
      <c r="H22" s="285" t="s">
        <v>2337</v>
      </c>
      <c r="I22" s="285"/>
      <c r="J22" s="285" t="s">
        <v>3136</v>
      </c>
      <c r="K22" s="14">
        <v>39051</v>
      </c>
      <c r="L22" s="285">
        <v>859</v>
      </c>
      <c r="M22" s="15">
        <v>41456</v>
      </c>
      <c r="N22" s="16">
        <v>1</v>
      </c>
      <c r="O22" s="17">
        <v>50843.78</v>
      </c>
      <c r="P22" s="17">
        <v>50843.78</v>
      </c>
      <c r="Q22" s="17">
        <f t="shared" si="0"/>
        <v>0</v>
      </c>
      <c r="R22" s="285"/>
      <c r="S22" s="289"/>
      <c r="T22" s="285"/>
    </row>
    <row r="23" spans="1:20" ht="121.5" customHeight="1" x14ac:dyDescent="0.2">
      <c r="A23" s="21">
        <v>16</v>
      </c>
      <c r="B23" s="289" t="s">
        <v>2694</v>
      </c>
      <c r="C23" s="289"/>
      <c r="D23" s="27" t="s">
        <v>4523</v>
      </c>
      <c r="E23" s="12" t="s">
        <v>2291</v>
      </c>
      <c r="F23" s="13" t="s">
        <v>8895</v>
      </c>
      <c r="G23" s="285" t="s">
        <v>4296</v>
      </c>
      <c r="H23" s="285" t="s">
        <v>3793</v>
      </c>
      <c r="I23" s="285"/>
      <c r="J23" s="22" t="s">
        <v>3686</v>
      </c>
      <c r="K23" s="14">
        <v>42003</v>
      </c>
      <c r="L23" s="289">
        <v>1239</v>
      </c>
      <c r="M23" s="15">
        <v>40179</v>
      </c>
      <c r="N23" s="16">
        <v>1</v>
      </c>
      <c r="O23" s="17">
        <v>2778.81</v>
      </c>
      <c r="P23" s="17">
        <v>2778.81</v>
      </c>
      <c r="Q23" s="17">
        <f t="shared" si="0"/>
        <v>0</v>
      </c>
      <c r="R23" s="285"/>
      <c r="S23" s="289"/>
      <c r="T23" s="285"/>
    </row>
    <row r="24" spans="1:20" ht="54.75" customHeight="1" x14ac:dyDescent="0.2">
      <c r="A24" s="21">
        <v>17</v>
      </c>
      <c r="B24" s="289" t="s">
        <v>1703</v>
      </c>
      <c r="C24" s="289"/>
      <c r="D24" s="23" t="s">
        <v>4523</v>
      </c>
      <c r="E24" s="12" t="s">
        <v>2291</v>
      </c>
      <c r="F24" s="13" t="s">
        <v>6164</v>
      </c>
      <c r="G24" s="285" t="s">
        <v>10465</v>
      </c>
      <c r="H24" s="285" t="s">
        <v>10784</v>
      </c>
      <c r="I24" s="289"/>
      <c r="J24" s="285" t="s">
        <v>10967</v>
      </c>
      <c r="K24" s="285" t="s">
        <v>10965</v>
      </c>
      <c r="L24" s="285" t="s">
        <v>10966</v>
      </c>
      <c r="M24" s="15">
        <v>39995</v>
      </c>
      <c r="N24" s="16">
        <v>1</v>
      </c>
      <c r="O24" s="17">
        <v>1544.1</v>
      </c>
      <c r="P24" s="17">
        <v>1544.1</v>
      </c>
      <c r="Q24" s="17">
        <f t="shared" si="0"/>
        <v>0</v>
      </c>
      <c r="R24" s="285"/>
      <c r="S24" s="289"/>
      <c r="T24" s="285"/>
    </row>
    <row r="25" spans="1:20" ht="53.25" customHeight="1" x14ac:dyDescent="0.2">
      <c r="A25" s="21">
        <v>18</v>
      </c>
      <c r="B25" s="289" t="s">
        <v>2695</v>
      </c>
      <c r="C25" s="289"/>
      <c r="D25" s="27" t="s">
        <v>4389</v>
      </c>
      <c r="E25" s="12" t="s">
        <v>4426</v>
      </c>
      <c r="F25" s="13" t="s">
        <v>4526</v>
      </c>
      <c r="G25" s="285" t="s">
        <v>4877</v>
      </c>
      <c r="H25" s="285" t="s">
        <v>3793</v>
      </c>
      <c r="I25" s="39"/>
      <c r="J25" s="285" t="s">
        <v>3136</v>
      </c>
      <c r="K25" s="15">
        <v>39274</v>
      </c>
      <c r="L25" s="289">
        <v>492</v>
      </c>
      <c r="M25" s="15">
        <v>41000</v>
      </c>
      <c r="N25" s="16">
        <v>1</v>
      </c>
      <c r="O25" s="17">
        <v>12941.31</v>
      </c>
      <c r="P25" s="17">
        <v>12941.31</v>
      </c>
      <c r="Q25" s="17">
        <f t="shared" si="0"/>
        <v>0</v>
      </c>
      <c r="R25" s="285"/>
      <c r="S25" s="289"/>
      <c r="T25" s="285"/>
    </row>
    <row r="26" spans="1:20" ht="45.75" customHeight="1" x14ac:dyDescent="0.2">
      <c r="A26" s="21">
        <v>20</v>
      </c>
      <c r="B26" s="289" t="s">
        <v>2696</v>
      </c>
      <c r="C26" s="289"/>
      <c r="D26" s="27" t="s">
        <v>4389</v>
      </c>
      <c r="E26" s="15" t="s">
        <v>1475</v>
      </c>
      <c r="F26" s="13" t="s">
        <v>995</v>
      </c>
      <c r="G26" s="285" t="s">
        <v>4877</v>
      </c>
      <c r="H26" s="285" t="s">
        <v>3793</v>
      </c>
      <c r="I26" s="39"/>
      <c r="J26" s="285" t="s">
        <v>3136</v>
      </c>
      <c r="K26" s="15">
        <v>39100</v>
      </c>
      <c r="L26" s="289">
        <v>28</v>
      </c>
      <c r="M26" s="15">
        <v>39995</v>
      </c>
      <c r="N26" s="16">
        <v>1</v>
      </c>
      <c r="O26" s="17">
        <v>11604.13</v>
      </c>
      <c r="P26" s="17">
        <v>11604.13</v>
      </c>
      <c r="Q26" s="17">
        <f t="shared" si="0"/>
        <v>0</v>
      </c>
      <c r="R26" s="285"/>
      <c r="S26" s="289"/>
      <c r="T26" s="285"/>
    </row>
    <row r="27" spans="1:20" ht="56.25" customHeight="1" x14ac:dyDescent="0.2">
      <c r="A27" s="21">
        <v>21</v>
      </c>
      <c r="B27" s="289" t="s">
        <v>2697</v>
      </c>
      <c r="C27" s="289"/>
      <c r="D27" s="27" t="s">
        <v>4523</v>
      </c>
      <c r="E27" s="15" t="s">
        <v>807</v>
      </c>
      <c r="F27" s="13" t="s">
        <v>996</v>
      </c>
      <c r="G27" s="285" t="s">
        <v>4877</v>
      </c>
      <c r="H27" s="285" t="s">
        <v>3793</v>
      </c>
      <c r="I27" s="289"/>
      <c r="J27" s="285" t="s">
        <v>3136</v>
      </c>
      <c r="K27" s="15">
        <v>39513</v>
      </c>
      <c r="L27" s="289">
        <v>189</v>
      </c>
      <c r="M27" s="15">
        <v>39995</v>
      </c>
      <c r="N27" s="16">
        <v>1</v>
      </c>
      <c r="O27" s="17">
        <v>11906.47</v>
      </c>
      <c r="P27" s="17">
        <v>11906.47</v>
      </c>
      <c r="Q27" s="17">
        <f t="shared" si="0"/>
        <v>0</v>
      </c>
      <c r="R27" s="285"/>
      <c r="S27" s="289"/>
      <c r="T27" s="285"/>
    </row>
    <row r="28" spans="1:20" ht="42.75" customHeight="1" x14ac:dyDescent="0.2">
      <c r="A28" s="21">
        <v>22</v>
      </c>
      <c r="B28" s="289" t="s">
        <v>3145</v>
      </c>
      <c r="C28" s="289"/>
      <c r="D28" s="27" t="s">
        <v>6273</v>
      </c>
      <c r="E28" s="15" t="s">
        <v>4716</v>
      </c>
      <c r="F28" s="13" t="s">
        <v>6123</v>
      </c>
      <c r="G28" s="285" t="s">
        <v>4296</v>
      </c>
      <c r="H28" s="285" t="s">
        <v>3793</v>
      </c>
      <c r="I28" s="39"/>
      <c r="J28" s="22" t="s">
        <v>3686</v>
      </c>
      <c r="K28" s="14">
        <v>42003</v>
      </c>
      <c r="L28" s="289">
        <v>1239</v>
      </c>
      <c r="M28" s="15">
        <v>40834</v>
      </c>
      <c r="N28" s="16">
        <v>1</v>
      </c>
      <c r="O28" s="17">
        <v>4950</v>
      </c>
      <c r="P28" s="17">
        <v>4950</v>
      </c>
      <c r="Q28" s="17">
        <f t="shared" si="0"/>
        <v>0</v>
      </c>
      <c r="R28" s="285"/>
      <c r="S28" s="289"/>
      <c r="T28" s="285"/>
    </row>
    <row r="29" spans="1:20" ht="42" customHeight="1" x14ac:dyDescent="0.2">
      <c r="A29" s="21">
        <v>23</v>
      </c>
      <c r="B29" s="289" t="s">
        <v>3146</v>
      </c>
      <c r="C29" s="289"/>
      <c r="D29" s="27" t="s">
        <v>4168</v>
      </c>
      <c r="E29" s="15" t="s">
        <v>4169</v>
      </c>
      <c r="F29" s="13" t="s">
        <v>5334</v>
      </c>
      <c r="G29" s="285" t="s">
        <v>4296</v>
      </c>
      <c r="H29" s="285" t="s">
        <v>3793</v>
      </c>
      <c r="I29" s="289"/>
      <c r="J29" s="22" t="s">
        <v>3686</v>
      </c>
      <c r="K29" s="14">
        <v>42003</v>
      </c>
      <c r="L29" s="289">
        <v>1239</v>
      </c>
      <c r="M29" s="15">
        <v>40179</v>
      </c>
      <c r="N29" s="16">
        <v>1</v>
      </c>
      <c r="O29" s="17">
        <v>59222.720000000001</v>
      </c>
      <c r="P29" s="17">
        <v>59222.720000000001</v>
      </c>
      <c r="Q29" s="17">
        <f t="shared" si="0"/>
        <v>0</v>
      </c>
      <c r="R29" s="285"/>
      <c r="S29" s="289"/>
      <c r="T29" s="285"/>
    </row>
    <row r="30" spans="1:20" ht="53.25" customHeight="1" x14ac:dyDescent="0.2">
      <c r="A30" s="21">
        <v>24</v>
      </c>
      <c r="B30" s="289" t="s">
        <v>3147</v>
      </c>
      <c r="C30" s="289"/>
      <c r="D30" s="27" t="s">
        <v>2292</v>
      </c>
      <c r="E30" s="15" t="s">
        <v>2445</v>
      </c>
      <c r="F30" s="13" t="s">
        <v>1632</v>
      </c>
      <c r="G30" s="285" t="s">
        <v>4296</v>
      </c>
      <c r="H30" s="285" t="s">
        <v>3793</v>
      </c>
      <c r="I30" s="289"/>
      <c r="J30" s="22" t="s">
        <v>3686</v>
      </c>
      <c r="K30" s="14">
        <v>42003</v>
      </c>
      <c r="L30" s="289">
        <v>1239</v>
      </c>
      <c r="M30" s="15">
        <v>40422</v>
      </c>
      <c r="N30" s="16">
        <v>1</v>
      </c>
      <c r="O30" s="17">
        <v>18000.13</v>
      </c>
      <c r="P30" s="17">
        <v>18000.13</v>
      </c>
      <c r="Q30" s="17">
        <f t="shared" si="0"/>
        <v>0</v>
      </c>
      <c r="R30" s="289"/>
      <c r="S30" s="289"/>
      <c r="T30" s="285"/>
    </row>
    <row r="31" spans="1:20" ht="33" customHeight="1" x14ac:dyDescent="0.2">
      <c r="A31" s="21">
        <v>25</v>
      </c>
      <c r="B31" s="289" t="s">
        <v>4997</v>
      </c>
      <c r="C31" s="289"/>
      <c r="D31" s="27" t="s">
        <v>2292</v>
      </c>
      <c r="E31" s="15" t="s">
        <v>2445</v>
      </c>
      <c r="F31" s="13" t="s">
        <v>6323</v>
      </c>
      <c r="G31" s="285" t="s">
        <v>4296</v>
      </c>
      <c r="H31" s="285" t="s">
        <v>3793</v>
      </c>
      <c r="I31" s="289"/>
      <c r="J31" s="22" t="s">
        <v>3686</v>
      </c>
      <c r="K31" s="14">
        <v>42003</v>
      </c>
      <c r="L31" s="289">
        <v>1239</v>
      </c>
      <c r="M31" s="15">
        <v>40422</v>
      </c>
      <c r="N31" s="16">
        <v>1</v>
      </c>
      <c r="O31" s="17">
        <v>18000.13</v>
      </c>
      <c r="P31" s="17">
        <v>18000.13</v>
      </c>
      <c r="Q31" s="17">
        <f t="shared" si="0"/>
        <v>0</v>
      </c>
      <c r="R31" s="289"/>
      <c r="S31" s="289"/>
      <c r="T31" s="285"/>
    </row>
    <row r="32" spans="1:20" ht="76.5" customHeight="1" x14ac:dyDescent="0.2">
      <c r="A32" s="21">
        <v>26</v>
      </c>
      <c r="B32" s="289" t="s">
        <v>3234</v>
      </c>
      <c r="C32" s="289"/>
      <c r="D32" s="27" t="s">
        <v>2292</v>
      </c>
      <c r="E32" s="15" t="s">
        <v>2445</v>
      </c>
      <c r="F32" s="13" t="s">
        <v>4015</v>
      </c>
      <c r="G32" s="285" t="s">
        <v>4296</v>
      </c>
      <c r="H32" s="285" t="s">
        <v>3793</v>
      </c>
      <c r="I32" s="289"/>
      <c r="J32" s="22" t="s">
        <v>3686</v>
      </c>
      <c r="K32" s="14">
        <v>42003</v>
      </c>
      <c r="L32" s="289">
        <v>1239</v>
      </c>
      <c r="M32" s="15">
        <v>40422</v>
      </c>
      <c r="N32" s="16">
        <v>1</v>
      </c>
      <c r="O32" s="17">
        <v>21083.200000000001</v>
      </c>
      <c r="P32" s="17">
        <v>21083.200000000001</v>
      </c>
      <c r="Q32" s="17">
        <f t="shared" si="0"/>
        <v>0</v>
      </c>
      <c r="R32" s="289"/>
      <c r="S32" s="289"/>
      <c r="T32" s="285"/>
    </row>
    <row r="33" spans="1:20" ht="54.75" customHeight="1" x14ac:dyDescent="0.2">
      <c r="A33" s="21">
        <v>27</v>
      </c>
      <c r="B33" s="289" t="s">
        <v>3235</v>
      </c>
      <c r="C33" s="289"/>
      <c r="D33" s="27" t="s">
        <v>3858</v>
      </c>
      <c r="E33" s="15" t="s">
        <v>2467</v>
      </c>
      <c r="F33" s="13" t="s">
        <v>2460</v>
      </c>
      <c r="G33" s="285" t="s">
        <v>4296</v>
      </c>
      <c r="H33" s="285" t="s">
        <v>3793</v>
      </c>
      <c r="I33" s="289"/>
      <c r="J33" s="22" t="s">
        <v>3686</v>
      </c>
      <c r="K33" s="14">
        <v>41079</v>
      </c>
      <c r="L33" s="289">
        <v>591</v>
      </c>
      <c r="M33" s="15">
        <v>39448</v>
      </c>
      <c r="N33" s="16">
        <v>1</v>
      </c>
      <c r="O33" s="17">
        <v>8500</v>
      </c>
      <c r="P33" s="17">
        <v>8500</v>
      </c>
      <c r="Q33" s="17">
        <f t="shared" si="0"/>
        <v>0</v>
      </c>
      <c r="R33" s="289"/>
      <c r="S33" s="289"/>
      <c r="T33" s="285"/>
    </row>
    <row r="34" spans="1:20" ht="56.25" customHeight="1" x14ac:dyDescent="0.2">
      <c r="A34" s="21">
        <v>28</v>
      </c>
      <c r="B34" s="289" t="s">
        <v>3236</v>
      </c>
      <c r="C34" s="289"/>
      <c r="D34" s="27" t="s">
        <v>2870</v>
      </c>
      <c r="E34" s="15" t="s">
        <v>2467</v>
      </c>
      <c r="F34" s="13" t="s">
        <v>2461</v>
      </c>
      <c r="G34" s="285" t="s">
        <v>4296</v>
      </c>
      <c r="H34" s="285" t="s">
        <v>1586</v>
      </c>
      <c r="I34" s="289"/>
      <c r="J34" s="22" t="s">
        <v>3686</v>
      </c>
      <c r="K34" s="14">
        <v>41079</v>
      </c>
      <c r="L34" s="289">
        <v>591</v>
      </c>
      <c r="M34" s="15">
        <v>39448</v>
      </c>
      <c r="N34" s="16">
        <v>1</v>
      </c>
      <c r="O34" s="17">
        <v>6000</v>
      </c>
      <c r="P34" s="17">
        <v>6000</v>
      </c>
      <c r="Q34" s="17">
        <f t="shared" si="0"/>
        <v>0</v>
      </c>
      <c r="R34" s="285"/>
      <c r="S34" s="289"/>
      <c r="T34" s="285"/>
    </row>
    <row r="35" spans="1:20" ht="57.75" customHeight="1" x14ac:dyDescent="0.2">
      <c r="A35" s="21">
        <v>29</v>
      </c>
      <c r="B35" s="289" t="s">
        <v>3237</v>
      </c>
      <c r="C35" s="289"/>
      <c r="D35" s="27" t="s">
        <v>4393</v>
      </c>
      <c r="E35" s="15" t="s">
        <v>6099</v>
      </c>
      <c r="F35" s="13" t="s">
        <v>3893</v>
      </c>
      <c r="G35" s="285" t="s">
        <v>4296</v>
      </c>
      <c r="H35" s="285" t="s">
        <v>3793</v>
      </c>
      <c r="I35" s="289"/>
      <c r="J35" s="22" t="s">
        <v>3686</v>
      </c>
      <c r="K35" s="14">
        <v>42003</v>
      </c>
      <c r="L35" s="289">
        <v>1239</v>
      </c>
      <c r="M35" s="15">
        <v>40834</v>
      </c>
      <c r="N35" s="16">
        <v>1</v>
      </c>
      <c r="O35" s="17">
        <v>6000</v>
      </c>
      <c r="P35" s="17">
        <v>6000</v>
      </c>
      <c r="Q35" s="17">
        <f t="shared" si="0"/>
        <v>0</v>
      </c>
      <c r="R35" s="285" t="s">
        <v>691</v>
      </c>
      <c r="S35" s="15">
        <v>38169</v>
      </c>
      <c r="T35" s="14" t="s">
        <v>1029</v>
      </c>
    </row>
    <row r="36" spans="1:20" ht="67.5" customHeight="1" x14ac:dyDescent="0.2">
      <c r="A36" s="21">
        <v>30</v>
      </c>
      <c r="B36" s="289" t="s">
        <v>3238</v>
      </c>
      <c r="C36" s="289"/>
      <c r="D36" s="27" t="s">
        <v>2629</v>
      </c>
      <c r="E36" s="15" t="s">
        <v>1274</v>
      </c>
      <c r="F36" s="13" t="s">
        <v>2401</v>
      </c>
      <c r="G36" s="285" t="s">
        <v>4296</v>
      </c>
      <c r="H36" s="285" t="s">
        <v>3793</v>
      </c>
      <c r="I36" s="289"/>
      <c r="J36" s="22" t="s">
        <v>3686</v>
      </c>
      <c r="K36" s="14">
        <v>42003</v>
      </c>
      <c r="L36" s="289">
        <v>1239</v>
      </c>
      <c r="M36" s="15">
        <v>40422</v>
      </c>
      <c r="N36" s="16">
        <v>1</v>
      </c>
      <c r="O36" s="17">
        <v>15000</v>
      </c>
      <c r="P36" s="17">
        <v>15000</v>
      </c>
      <c r="Q36" s="17">
        <f t="shared" si="0"/>
        <v>0</v>
      </c>
      <c r="R36" s="285" t="s">
        <v>691</v>
      </c>
      <c r="S36" s="15">
        <v>38169</v>
      </c>
      <c r="T36" s="14" t="s">
        <v>1029</v>
      </c>
    </row>
    <row r="37" spans="1:20" ht="68.25" customHeight="1" x14ac:dyDescent="0.2">
      <c r="A37" s="21">
        <v>31</v>
      </c>
      <c r="B37" s="289" t="s">
        <v>3239</v>
      </c>
      <c r="C37" s="289"/>
      <c r="D37" s="27" t="s">
        <v>1815</v>
      </c>
      <c r="E37" s="15" t="s">
        <v>1116</v>
      </c>
      <c r="F37" s="13" t="s">
        <v>2287</v>
      </c>
      <c r="G37" s="285" t="s">
        <v>4296</v>
      </c>
      <c r="H37" s="285" t="s">
        <v>3793</v>
      </c>
      <c r="I37" s="289"/>
      <c r="J37" s="22" t="s">
        <v>3686</v>
      </c>
      <c r="K37" s="14">
        <v>42003</v>
      </c>
      <c r="L37" s="289">
        <v>1239</v>
      </c>
      <c r="M37" s="15">
        <v>40422</v>
      </c>
      <c r="N37" s="16">
        <v>1</v>
      </c>
      <c r="O37" s="17">
        <v>18410.45</v>
      </c>
      <c r="P37" s="17">
        <v>18410.45</v>
      </c>
      <c r="Q37" s="17">
        <f t="shared" si="0"/>
        <v>0</v>
      </c>
      <c r="R37" s="285" t="s">
        <v>691</v>
      </c>
      <c r="S37" s="15">
        <v>38169</v>
      </c>
      <c r="T37" s="14" t="s">
        <v>1029</v>
      </c>
    </row>
    <row r="38" spans="1:20" ht="82.5" customHeight="1" x14ac:dyDescent="0.2">
      <c r="A38" s="21">
        <v>32</v>
      </c>
      <c r="B38" s="289" t="s">
        <v>3240</v>
      </c>
      <c r="C38" s="289"/>
      <c r="D38" s="27" t="s">
        <v>440</v>
      </c>
      <c r="E38" s="15" t="s">
        <v>3274</v>
      </c>
      <c r="F38" s="13" t="s">
        <v>2402</v>
      </c>
      <c r="G38" s="285" t="s">
        <v>4296</v>
      </c>
      <c r="H38" s="285" t="s">
        <v>3793</v>
      </c>
      <c r="I38" s="289"/>
      <c r="J38" s="22" t="s">
        <v>3686</v>
      </c>
      <c r="K38" s="14">
        <v>41079</v>
      </c>
      <c r="L38" s="289">
        <v>591</v>
      </c>
      <c r="M38" s="15">
        <v>39448</v>
      </c>
      <c r="N38" s="16">
        <v>1</v>
      </c>
      <c r="O38" s="17">
        <v>11000</v>
      </c>
      <c r="P38" s="17">
        <v>11000</v>
      </c>
      <c r="Q38" s="17">
        <f t="shared" si="0"/>
        <v>0</v>
      </c>
      <c r="R38" s="289"/>
      <c r="S38" s="289"/>
      <c r="T38" s="285"/>
    </row>
    <row r="39" spans="1:20" ht="48.75" customHeight="1" x14ac:dyDescent="0.2">
      <c r="A39" s="21">
        <v>33</v>
      </c>
      <c r="B39" s="289" t="s">
        <v>3241</v>
      </c>
      <c r="C39" s="289"/>
      <c r="D39" s="27" t="s">
        <v>2292</v>
      </c>
      <c r="E39" s="15" t="s">
        <v>4525</v>
      </c>
      <c r="F39" s="13" t="s">
        <v>2403</v>
      </c>
      <c r="G39" s="285" t="s">
        <v>4296</v>
      </c>
      <c r="H39" s="285" t="s">
        <v>3793</v>
      </c>
      <c r="I39" s="289"/>
      <c r="J39" s="22" t="s">
        <v>3686</v>
      </c>
      <c r="K39" s="14">
        <v>42003</v>
      </c>
      <c r="L39" s="289">
        <v>1239</v>
      </c>
      <c r="M39" s="15">
        <v>40179</v>
      </c>
      <c r="N39" s="16">
        <v>1</v>
      </c>
      <c r="O39" s="17">
        <v>700</v>
      </c>
      <c r="P39" s="17">
        <v>700</v>
      </c>
      <c r="Q39" s="17">
        <f t="shared" si="0"/>
        <v>0</v>
      </c>
      <c r="R39" s="289"/>
      <c r="S39" s="289"/>
      <c r="T39" s="285"/>
    </row>
    <row r="40" spans="1:20" s="223" customFormat="1" ht="48.75" customHeight="1" x14ac:dyDescent="0.2">
      <c r="A40" s="21">
        <v>34</v>
      </c>
      <c r="B40" s="289" t="s">
        <v>1670</v>
      </c>
      <c r="C40" s="289"/>
      <c r="D40" s="27" t="s">
        <v>2292</v>
      </c>
      <c r="E40" s="15" t="s">
        <v>3210</v>
      </c>
      <c r="F40" s="13" t="s">
        <v>391</v>
      </c>
      <c r="G40" s="285" t="s">
        <v>4296</v>
      </c>
      <c r="H40" s="285" t="s">
        <v>3793</v>
      </c>
      <c r="I40" s="289"/>
      <c r="J40" s="22" t="s">
        <v>3686</v>
      </c>
      <c r="K40" s="14">
        <v>42003</v>
      </c>
      <c r="L40" s="289">
        <v>1239</v>
      </c>
      <c r="M40" s="15">
        <v>40422</v>
      </c>
      <c r="N40" s="16">
        <v>1</v>
      </c>
      <c r="O40" s="17">
        <v>19000</v>
      </c>
      <c r="P40" s="17">
        <v>19000</v>
      </c>
      <c r="Q40" s="17">
        <f t="shared" ref="Q40:Q71" si="1">O40-P40</f>
        <v>0</v>
      </c>
      <c r="R40" s="285"/>
      <c r="S40" s="289"/>
      <c r="T40" s="285"/>
    </row>
    <row r="41" spans="1:20" ht="63" customHeight="1" x14ac:dyDescent="0.2">
      <c r="A41" s="21">
        <v>35</v>
      </c>
      <c r="B41" s="20" t="s">
        <v>1671</v>
      </c>
      <c r="C41" s="20"/>
      <c r="D41" s="86" t="s">
        <v>4260</v>
      </c>
      <c r="E41" s="57" t="s">
        <v>4525</v>
      </c>
      <c r="F41" s="55" t="s">
        <v>5075</v>
      </c>
      <c r="G41" s="37" t="s">
        <v>4296</v>
      </c>
      <c r="H41" s="37" t="s">
        <v>1586</v>
      </c>
      <c r="I41" s="20"/>
      <c r="J41" s="65" t="s">
        <v>3686</v>
      </c>
      <c r="K41" s="32">
        <v>41079</v>
      </c>
      <c r="L41" s="20">
        <v>591</v>
      </c>
      <c r="M41" s="57">
        <v>39448</v>
      </c>
      <c r="N41" s="44">
        <v>1</v>
      </c>
      <c r="O41" s="34">
        <v>900</v>
      </c>
      <c r="P41" s="34">
        <v>900</v>
      </c>
      <c r="Q41" s="17">
        <f t="shared" si="1"/>
        <v>0</v>
      </c>
      <c r="R41" s="20"/>
      <c r="S41" s="20"/>
      <c r="T41" s="37"/>
    </row>
    <row r="42" spans="1:20" s="223" customFormat="1" ht="66.75" customHeight="1" x14ac:dyDescent="0.2">
      <c r="A42" s="21">
        <v>36</v>
      </c>
      <c r="B42" s="289" t="s">
        <v>5711</v>
      </c>
      <c r="C42" s="289"/>
      <c r="D42" s="27" t="s">
        <v>4654</v>
      </c>
      <c r="E42" s="15"/>
      <c r="F42" s="13" t="s">
        <v>5076</v>
      </c>
      <c r="G42" s="285" t="s">
        <v>4296</v>
      </c>
      <c r="H42" s="285" t="s">
        <v>1586</v>
      </c>
      <c r="I42" s="289"/>
      <c r="J42" s="22" t="s">
        <v>3686</v>
      </c>
      <c r="K42" s="14">
        <v>41079</v>
      </c>
      <c r="L42" s="289">
        <v>591</v>
      </c>
      <c r="M42" s="15">
        <v>39448</v>
      </c>
      <c r="N42" s="16">
        <v>1</v>
      </c>
      <c r="O42" s="17">
        <v>2600</v>
      </c>
      <c r="P42" s="17">
        <v>2600</v>
      </c>
      <c r="Q42" s="17">
        <f t="shared" si="1"/>
        <v>0</v>
      </c>
      <c r="R42" s="289"/>
      <c r="S42" s="289"/>
      <c r="T42" s="285"/>
    </row>
    <row r="43" spans="1:20" s="223" customFormat="1" ht="64.5" customHeight="1" x14ac:dyDescent="0.2">
      <c r="A43" s="21">
        <v>37</v>
      </c>
      <c r="B43" s="289" t="s">
        <v>5712</v>
      </c>
      <c r="C43" s="289"/>
      <c r="D43" s="27" t="s">
        <v>2191</v>
      </c>
      <c r="E43" s="15" t="s">
        <v>32</v>
      </c>
      <c r="F43" s="9" t="s">
        <v>5077</v>
      </c>
      <c r="G43" s="285" t="s">
        <v>4877</v>
      </c>
      <c r="H43" s="285" t="s">
        <v>3793</v>
      </c>
      <c r="I43" s="289"/>
      <c r="J43" s="22" t="s">
        <v>3686</v>
      </c>
      <c r="K43" s="15">
        <v>39274</v>
      </c>
      <c r="L43" s="289">
        <v>492</v>
      </c>
      <c r="M43" s="15">
        <v>39995</v>
      </c>
      <c r="N43" s="16">
        <v>1</v>
      </c>
      <c r="O43" s="17">
        <v>7119.83</v>
      </c>
      <c r="P43" s="17">
        <v>7119.83</v>
      </c>
      <c r="Q43" s="17">
        <f t="shared" si="1"/>
        <v>0</v>
      </c>
      <c r="R43" s="285"/>
      <c r="S43" s="289"/>
      <c r="T43" s="285"/>
    </row>
    <row r="44" spans="1:20" ht="57" customHeight="1" x14ac:dyDescent="0.2">
      <c r="A44" s="21">
        <v>38</v>
      </c>
      <c r="B44" s="289" t="s">
        <v>5713</v>
      </c>
      <c r="C44" s="289"/>
      <c r="D44" s="27" t="s">
        <v>6332</v>
      </c>
      <c r="E44" s="15" t="s">
        <v>2682</v>
      </c>
      <c r="F44" s="13" t="s">
        <v>1974</v>
      </c>
      <c r="G44" s="285" t="s">
        <v>4296</v>
      </c>
      <c r="H44" s="285" t="s">
        <v>3793</v>
      </c>
      <c r="I44" s="39"/>
      <c r="J44" s="22" t="s">
        <v>3686</v>
      </c>
      <c r="K44" s="14">
        <v>42003</v>
      </c>
      <c r="L44" s="289">
        <v>1239</v>
      </c>
      <c r="M44" s="15">
        <v>40179</v>
      </c>
      <c r="N44" s="16">
        <v>1</v>
      </c>
      <c r="O44" s="17">
        <v>8260</v>
      </c>
      <c r="P44" s="17">
        <v>8260</v>
      </c>
      <c r="Q44" s="17">
        <f t="shared" si="1"/>
        <v>0</v>
      </c>
      <c r="R44" s="289"/>
      <c r="S44" s="289"/>
      <c r="T44" s="285"/>
    </row>
    <row r="45" spans="1:20" ht="54" customHeight="1" x14ac:dyDescent="0.2">
      <c r="A45" s="21">
        <v>39</v>
      </c>
      <c r="B45" s="289" t="s">
        <v>5544</v>
      </c>
      <c r="C45" s="289"/>
      <c r="D45" s="27" t="s">
        <v>1939</v>
      </c>
      <c r="E45" s="15" t="s">
        <v>2345</v>
      </c>
      <c r="F45" s="13" t="s">
        <v>405</v>
      </c>
      <c r="G45" s="285" t="s">
        <v>4296</v>
      </c>
      <c r="H45" s="285" t="s">
        <v>1586</v>
      </c>
      <c r="I45" s="289"/>
      <c r="J45" s="22" t="s">
        <v>3686</v>
      </c>
      <c r="K45" s="14">
        <v>41165</v>
      </c>
      <c r="L45" s="289">
        <v>860</v>
      </c>
      <c r="M45" s="15">
        <v>39448</v>
      </c>
      <c r="N45" s="16">
        <v>1</v>
      </c>
      <c r="O45" s="17">
        <v>5882.59</v>
      </c>
      <c r="P45" s="17">
        <v>5882.59</v>
      </c>
      <c r="Q45" s="17">
        <f t="shared" si="1"/>
        <v>0</v>
      </c>
      <c r="R45" s="285"/>
      <c r="S45" s="289"/>
      <c r="T45" s="285"/>
    </row>
    <row r="46" spans="1:20" ht="48" customHeight="1" x14ac:dyDescent="0.2">
      <c r="A46" s="21">
        <v>40</v>
      </c>
      <c r="B46" s="289" t="s">
        <v>4906</v>
      </c>
      <c r="C46" s="289"/>
      <c r="D46" s="27" t="s">
        <v>1939</v>
      </c>
      <c r="E46" s="15" t="s">
        <v>2345</v>
      </c>
      <c r="F46" s="13" t="s">
        <v>1607</v>
      </c>
      <c r="G46" s="285" t="s">
        <v>4296</v>
      </c>
      <c r="H46" s="285" t="s">
        <v>1586</v>
      </c>
      <c r="I46" s="289"/>
      <c r="J46" s="22" t="s">
        <v>3686</v>
      </c>
      <c r="K46" s="14">
        <v>41165</v>
      </c>
      <c r="L46" s="289">
        <v>860</v>
      </c>
      <c r="M46" s="15">
        <v>39448</v>
      </c>
      <c r="N46" s="16">
        <v>1</v>
      </c>
      <c r="O46" s="17">
        <v>5882.59</v>
      </c>
      <c r="P46" s="17">
        <v>5882.59</v>
      </c>
      <c r="Q46" s="17">
        <f t="shared" si="1"/>
        <v>0</v>
      </c>
      <c r="R46" s="285"/>
      <c r="S46" s="289"/>
      <c r="T46" s="285"/>
    </row>
    <row r="47" spans="1:20" ht="39" customHeight="1" x14ac:dyDescent="0.2">
      <c r="A47" s="21">
        <v>41</v>
      </c>
      <c r="B47" s="289" t="s">
        <v>1480</v>
      </c>
      <c r="C47" s="289"/>
      <c r="D47" s="27" t="s">
        <v>5913</v>
      </c>
      <c r="E47" s="15" t="s">
        <v>1279</v>
      </c>
      <c r="F47" s="13" t="s">
        <v>738</v>
      </c>
      <c r="G47" s="285" t="s">
        <v>4296</v>
      </c>
      <c r="H47" s="285" t="s">
        <v>1586</v>
      </c>
      <c r="I47" s="289"/>
      <c r="J47" s="22" t="s">
        <v>3686</v>
      </c>
      <c r="K47" s="14">
        <v>41165</v>
      </c>
      <c r="L47" s="289">
        <v>860</v>
      </c>
      <c r="M47" s="15">
        <v>39448</v>
      </c>
      <c r="N47" s="16">
        <v>1</v>
      </c>
      <c r="O47" s="17">
        <v>4992.3900000000003</v>
      </c>
      <c r="P47" s="17">
        <v>4992.3900000000003</v>
      </c>
      <c r="Q47" s="17">
        <f t="shared" si="1"/>
        <v>0</v>
      </c>
      <c r="R47" s="285"/>
      <c r="S47" s="289"/>
      <c r="T47" s="285"/>
    </row>
    <row r="48" spans="1:20" ht="39.75" customHeight="1" x14ac:dyDescent="0.2">
      <c r="A48" s="21">
        <v>42</v>
      </c>
      <c r="B48" s="289" t="s">
        <v>1481</v>
      </c>
      <c r="C48" s="289"/>
      <c r="D48" s="27" t="s">
        <v>5913</v>
      </c>
      <c r="E48" s="15" t="s">
        <v>1279</v>
      </c>
      <c r="F48" s="13" t="s">
        <v>739</v>
      </c>
      <c r="G48" s="285" t="s">
        <v>4296</v>
      </c>
      <c r="H48" s="285" t="s">
        <v>1586</v>
      </c>
      <c r="I48" s="289"/>
      <c r="J48" s="22" t="s">
        <v>3686</v>
      </c>
      <c r="K48" s="14">
        <v>41165</v>
      </c>
      <c r="L48" s="289">
        <v>860</v>
      </c>
      <c r="M48" s="15">
        <v>39448</v>
      </c>
      <c r="N48" s="16">
        <v>1</v>
      </c>
      <c r="O48" s="17">
        <v>4992.3900000000003</v>
      </c>
      <c r="P48" s="17">
        <v>4992.3900000000003</v>
      </c>
      <c r="Q48" s="17">
        <f t="shared" si="1"/>
        <v>0</v>
      </c>
      <c r="R48" s="285"/>
      <c r="S48" s="289"/>
      <c r="T48" s="285"/>
    </row>
    <row r="49" spans="1:20" ht="41.25" customHeight="1" x14ac:dyDescent="0.2">
      <c r="A49" s="21">
        <v>43</v>
      </c>
      <c r="B49" s="289" t="s">
        <v>1482</v>
      </c>
      <c r="C49" s="289"/>
      <c r="D49" s="27" t="s">
        <v>5913</v>
      </c>
      <c r="E49" s="15" t="s">
        <v>1279</v>
      </c>
      <c r="F49" s="13" t="s">
        <v>425</v>
      </c>
      <c r="G49" s="285" t="s">
        <v>4296</v>
      </c>
      <c r="H49" s="285" t="s">
        <v>1586</v>
      </c>
      <c r="I49" s="289"/>
      <c r="J49" s="22" t="s">
        <v>3686</v>
      </c>
      <c r="K49" s="14">
        <v>41165</v>
      </c>
      <c r="L49" s="289">
        <v>860</v>
      </c>
      <c r="M49" s="15">
        <v>39448</v>
      </c>
      <c r="N49" s="16">
        <v>1</v>
      </c>
      <c r="O49" s="17">
        <v>4992.3900000000003</v>
      </c>
      <c r="P49" s="17">
        <v>4992.3900000000003</v>
      </c>
      <c r="Q49" s="17">
        <f t="shared" si="1"/>
        <v>0</v>
      </c>
      <c r="R49" s="285"/>
      <c r="S49" s="289"/>
      <c r="T49" s="285"/>
    </row>
    <row r="50" spans="1:20" ht="42.75" customHeight="1" x14ac:dyDescent="0.2">
      <c r="A50" s="21">
        <v>44</v>
      </c>
      <c r="B50" s="289" t="s">
        <v>1483</v>
      </c>
      <c r="C50" s="289"/>
      <c r="D50" s="27" t="s">
        <v>5913</v>
      </c>
      <c r="E50" s="15" t="s">
        <v>1279</v>
      </c>
      <c r="F50" s="13" t="s">
        <v>426</v>
      </c>
      <c r="G50" s="285" t="s">
        <v>4296</v>
      </c>
      <c r="H50" s="285" t="s">
        <v>1586</v>
      </c>
      <c r="I50" s="289"/>
      <c r="J50" s="22" t="s">
        <v>3686</v>
      </c>
      <c r="K50" s="14">
        <v>41165</v>
      </c>
      <c r="L50" s="289">
        <v>860</v>
      </c>
      <c r="M50" s="15">
        <v>39448</v>
      </c>
      <c r="N50" s="16">
        <v>1</v>
      </c>
      <c r="O50" s="17">
        <v>4992.3900000000003</v>
      </c>
      <c r="P50" s="17">
        <v>4992.3900000000003</v>
      </c>
      <c r="Q50" s="17">
        <f t="shared" si="1"/>
        <v>0</v>
      </c>
      <c r="R50" s="285"/>
      <c r="S50" s="289"/>
      <c r="T50" s="285"/>
    </row>
    <row r="51" spans="1:20" ht="42" customHeight="1" x14ac:dyDescent="0.2">
      <c r="A51" s="21">
        <v>45</v>
      </c>
      <c r="B51" s="289" t="s">
        <v>1484</v>
      </c>
      <c r="C51" s="289"/>
      <c r="D51" s="27" t="s">
        <v>4971</v>
      </c>
      <c r="E51" s="15" t="s">
        <v>3395</v>
      </c>
      <c r="F51" s="9" t="s">
        <v>404</v>
      </c>
      <c r="G51" s="285" t="s">
        <v>4296</v>
      </c>
      <c r="H51" s="285" t="s">
        <v>3793</v>
      </c>
      <c r="I51" s="289"/>
      <c r="J51" s="22" t="s">
        <v>3686</v>
      </c>
      <c r="K51" s="14">
        <v>43032</v>
      </c>
      <c r="L51" s="289">
        <v>951</v>
      </c>
      <c r="M51" s="15">
        <v>41000</v>
      </c>
      <c r="N51" s="16">
        <v>1</v>
      </c>
      <c r="O51" s="17">
        <v>75000</v>
      </c>
      <c r="P51" s="17">
        <v>75000</v>
      </c>
      <c r="Q51" s="17">
        <f t="shared" si="1"/>
        <v>0</v>
      </c>
      <c r="R51" s="285" t="s">
        <v>3136</v>
      </c>
      <c r="S51" s="15">
        <v>38267</v>
      </c>
      <c r="T51" s="22">
        <v>780</v>
      </c>
    </row>
    <row r="52" spans="1:20" ht="39" customHeight="1" x14ac:dyDescent="0.2">
      <c r="A52" s="21">
        <v>46</v>
      </c>
      <c r="B52" s="289" t="s">
        <v>930</v>
      </c>
      <c r="C52" s="289" t="s">
        <v>5274</v>
      </c>
      <c r="D52" s="27" t="s">
        <v>3113</v>
      </c>
      <c r="E52" s="12" t="s">
        <v>2566</v>
      </c>
      <c r="F52" s="13" t="s">
        <v>1112</v>
      </c>
      <c r="G52" s="285" t="s">
        <v>9194</v>
      </c>
      <c r="H52" s="285" t="s">
        <v>5127</v>
      </c>
      <c r="I52" s="289"/>
      <c r="J52" s="22" t="s">
        <v>3132</v>
      </c>
      <c r="K52" s="15">
        <v>40337</v>
      </c>
      <c r="L52" s="289" t="s">
        <v>2318</v>
      </c>
      <c r="M52" s="15">
        <v>39934</v>
      </c>
      <c r="N52" s="16">
        <v>1</v>
      </c>
      <c r="O52" s="17">
        <v>3099.4</v>
      </c>
      <c r="P52" s="17">
        <v>3099.4</v>
      </c>
      <c r="Q52" s="17">
        <f t="shared" si="1"/>
        <v>0</v>
      </c>
      <c r="R52" s="285" t="s">
        <v>2232</v>
      </c>
      <c r="S52" s="285" t="s">
        <v>4592</v>
      </c>
      <c r="T52" s="22" t="s">
        <v>2233</v>
      </c>
    </row>
    <row r="53" spans="1:20" ht="50.25" customHeight="1" x14ac:dyDescent="0.2">
      <c r="A53" s="21">
        <v>47</v>
      </c>
      <c r="B53" s="289" t="s">
        <v>931</v>
      </c>
      <c r="C53" s="289" t="s">
        <v>5274</v>
      </c>
      <c r="D53" s="27" t="s">
        <v>3113</v>
      </c>
      <c r="E53" s="12" t="s">
        <v>2566</v>
      </c>
      <c r="F53" s="13" t="s">
        <v>1113</v>
      </c>
      <c r="G53" s="285" t="s">
        <v>9194</v>
      </c>
      <c r="H53" s="285" t="s">
        <v>5127</v>
      </c>
      <c r="I53" s="289"/>
      <c r="J53" s="22" t="s">
        <v>3132</v>
      </c>
      <c r="K53" s="15">
        <v>40337</v>
      </c>
      <c r="L53" s="289" t="s">
        <v>2318</v>
      </c>
      <c r="M53" s="15">
        <v>39934</v>
      </c>
      <c r="N53" s="16">
        <v>1</v>
      </c>
      <c r="O53" s="17">
        <v>15868.27</v>
      </c>
      <c r="P53" s="17">
        <v>15868.27</v>
      </c>
      <c r="Q53" s="17">
        <f t="shared" si="1"/>
        <v>0</v>
      </c>
      <c r="R53" s="285" t="s">
        <v>2232</v>
      </c>
      <c r="S53" s="285" t="s">
        <v>4592</v>
      </c>
      <c r="T53" s="22" t="s">
        <v>2233</v>
      </c>
    </row>
    <row r="54" spans="1:20" ht="56.25" customHeight="1" x14ac:dyDescent="0.2">
      <c r="A54" s="21">
        <v>48</v>
      </c>
      <c r="B54" s="289" t="s">
        <v>1723</v>
      </c>
      <c r="C54" s="289" t="s">
        <v>5274</v>
      </c>
      <c r="D54" s="27" t="s">
        <v>75</v>
      </c>
      <c r="E54" s="15" t="s">
        <v>3074</v>
      </c>
      <c r="F54" s="13" t="s">
        <v>6268</v>
      </c>
      <c r="G54" s="285" t="s">
        <v>8661</v>
      </c>
      <c r="H54" s="285" t="s">
        <v>5127</v>
      </c>
      <c r="I54" s="289"/>
      <c r="J54" s="22" t="s">
        <v>3132</v>
      </c>
      <c r="K54" s="15">
        <v>40337</v>
      </c>
      <c r="L54" s="289" t="s">
        <v>2318</v>
      </c>
      <c r="M54" s="15">
        <v>39934</v>
      </c>
      <c r="N54" s="16">
        <v>1</v>
      </c>
      <c r="O54" s="17">
        <v>14767.15</v>
      </c>
      <c r="P54" s="17">
        <v>14767.15</v>
      </c>
      <c r="Q54" s="17">
        <f t="shared" si="1"/>
        <v>0</v>
      </c>
      <c r="R54" s="285" t="s">
        <v>2232</v>
      </c>
      <c r="S54" s="285" t="s">
        <v>4592</v>
      </c>
      <c r="T54" s="22" t="s">
        <v>2233</v>
      </c>
    </row>
    <row r="55" spans="1:20" ht="61.5" customHeight="1" x14ac:dyDescent="0.2">
      <c r="A55" s="21">
        <v>49</v>
      </c>
      <c r="B55" s="289" t="s">
        <v>1724</v>
      </c>
      <c r="C55" s="289" t="s">
        <v>5274</v>
      </c>
      <c r="D55" s="27" t="s">
        <v>5950</v>
      </c>
      <c r="E55" s="15" t="s">
        <v>3074</v>
      </c>
      <c r="F55" s="13" t="s">
        <v>4748</v>
      </c>
      <c r="G55" s="285" t="s">
        <v>8661</v>
      </c>
      <c r="H55" s="285" t="s">
        <v>5127</v>
      </c>
      <c r="I55" s="289"/>
      <c r="J55" s="22" t="s">
        <v>3132</v>
      </c>
      <c r="K55" s="15">
        <v>40337</v>
      </c>
      <c r="L55" s="289" t="s">
        <v>2318</v>
      </c>
      <c r="M55" s="15">
        <v>39934</v>
      </c>
      <c r="N55" s="16">
        <v>1</v>
      </c>
      <c r="O55" s="17">
        <v>11081.45</v>
      </c>
      <c r="P55" s="17">
        <v>11081.45</v>
      </c>
      <c r="Q55" s="17">
        <f t="shared" si="1"/>
        <v>0</v>
      </c>
      <c r="R55" s="285" t="s">
        <v>2232</v>
      </c>
      <c r="S55" s="285" t="s">
        <v>4592</v>
      </c>
      <c r="T55" s="22" t="s">
        <v>2233</v>
      </c>
    </row>
    <row r="56" spans="1:20" ht="66.75" customHeight="1" x14ac:dyDescent="0.2">
      <c r="A56" s="21">
        <v>50</v>
      </c>
      <c r="B56" s="289" t="s">
        <v>1725</v>
      </c>
      <c r="C56" s="289"/>
      <c r="D56" s="27" t="s">
        <v>4523</v>
      </c>
      <c r="E56" s="15" t="s">
        <v>2466</v>
      </c>
      <c r="F56" s="13" t="s">
        <v>1637</v>
      </c>
      <c r="G56" s="285" t="s">
        <v>9194</v>
      </c>
      <c r="H56" s="285" t="s">
        <v>5127</v>
      </c>
      <c r="I56" s="289"/>
      <c r="J56" s="22" t="s">
        <v>3132</v>
      </c>
      <c r="K56" s="15">
        <v>40337</v>
      </c>
      <c r="L56" s="289" t="s">
        <v>2318</v>
      </c>
      <c r="M56" s="15">
        <v>39934</v>
      </c>
      <c r="N56" s="16">
        <v>1</v>
      </c>
      <c r="O56" s="17">
        <v>16242.97</v>
      </c>
      <c r="P56" s="17">
        <v>16242.97</v>
      </c>
      <c r="Q56" s="17">
        <f t="shared" si="1"/>
        <v>0</v>
      </c>
      <c r="R56" s="285" t="s">
        <v>2232</v>
      </c>
      <c r="S56" s="285" t="s">
        <v>4592</v>
      </c>
      <c r="T56" s="22" t="s">
        <v>2233</v>
      </c>
    </row>
    <row r="57" spans="1:20" ht="59.25" customHeight="1" x14ac:dyDescent="0.2">
      <c r="A57" s="21">
        <v>51</v>
      </c>
      <c r="B57" s="289" t="s">
        <v>1726</v>
      </c>
      <c r="C57" s="289"/>
      <c r="D57" s="27" t="s">
        <v>811</v>
      </c>
      <c r="E57" s="12" t="s">
        <v>2565</v>
      </c>
      <c r="F57" s="13" t="s">
        <v>1021</v>
      </c>
      <c r="G57" s="285" t="s">
        <v>9194</v>
      </c>
      <c r="H57" s="285" t="s">
        <v>5127</v>
      </c>
      <c r="I57" s="289"/>
      <c r="J57" s="22" t="s">
        <v>3132</v>
      </c>
      <c r="K57" s="15">
        <v>40337</v>
      </c>
      <c r="L57" s="289" t="s">
        <v>2318</v>
      </c>
      <c r="M57" s="15">
        <v>39934</v>
      </c>
      <c r="N57" s="16">
        <v>1</v>
      </c>
      <c r="O57" s="17">
        <v>17030.11</v>
      </c>
      <c r="P57" s="17">
        <v>17030.11</v>
      </c>
      <c r="Q57" s="17">
        <f t="shared" si="1"/>
        <v>0</v>
      </c>
      <c r="R57" s="285" t="s">
        <v>2234</v>
      </c>
      <c r="S57" s="15">
        <v>38348</v>
      </c>
      <c r="T57" s="285">
        <v>93261</v>
      </c>
    </row>
    <row r="58" spans="1:20" ht="79.5" customHeight="1" x14ac:dyDescent="0.2">
      <c r="A58" s="21">
        <v>52</v>
      </c>
      <c r="B58" s="289" t="s">
        <v>20</v>
      </c>
      <c r="C58" s="289"/>
      <c r="D58" s="9" t="s">
        <v>1881</v>
      </c>
      <c r="E58" s="14" t="s">
        <v>6147</v>
      </c>
      <c r="F58" s="13" t="s">
        <v>6581</v>
      </c>
      <c r="G58" s="285" t="s">
        <v>2074</v>
      </c>
      <c r="H58" s="285" t="s">
        <v>5127</v>
      </c>
      <c r="I58" s="289"/>
      <c r="J58" s="22" t="s">
        <v>3136</v>
      </c>
      <c r="K58" s="15">
        <v>39619</v>
      </c>
      <c r="L58" s="289">
        <v>504</v>
      </c>
      <c r="M58" s="289" t="s">
        <v>886</v>
      </c>
      <c r="N58" s="24">
        <v>1</v>
      </c>
      <c r="O58" s="17">
        <v>9979</v>
      </c>
      <c r="P58" s="17">
        <v>9979</v>
      </c>
      <c r="Q58" s="17">
        <f t="shared" si="1"/>
        <v>0</v>
      </c>
      <c r="R58" s="289"/>
      <c r="S58" s="289"/>
      <c r="T58" s="285"/>
    </row>
    <row r="59" spans="1:20" ht="54" customHeight="1" x14ac:dyDescent="0.2">
      <c r="A59" s="21">
        <v>53</v>
      </c>
      <c r="B59" s="289" t="s">
        <v>21</v>
      </c>
      <c r="C59" s="289" t="s">
        <v>5274</v>
      </c>
      <c r="D59" s="9" t="s">
        <v>5990</v>
      </c>
      <c r="E59" s="14" t="s">
        <v>6147</v>
      </c>
      <c r="F59" s="13" t="s">
        <v>6582</v>
      </c>
      <c r="G59" s="285" t="s">
        <v>2074</v>
      </c>
      <c r="H59" s="285" t="s">
        <v>5127</v>
      </c>
      <c r="I59" s="289"/>
      <c r="J59" s="22" t="s">
        <v>3136</v>
      </c>
      <c r="K59" s="15">
        <v>39619</v>
      </c>
      <c r="L59" s="289">
        <v>504</v>
      </c>
      <c r="M59" s="289" t="s">
        <v>886</v>
      </c>
      <c r="N59" s="24">
        <v>1</v>
      </c>
      <c r="O59" s="17">
        <v>7850</v>
      </c>
      <c r="P59" s="17">
        <v>7850</v>
      </c>
      <c r="Q59" s="17">
        <f t="shared" si="1"/>
        <v>0</v>
      </c>
      <c r="R59" s="289"/>
      <c r="S59" s="289"/>
      <c r="T59" s="285"/>
    </row>
    <row r="60" spans="1:20" ht="39.75" customHeight="1" x14ac:dyDescent="0.2">
      <c r="A60" s="21">
        <v>54</v>
      </c>
      <c r="B60" s="289" t="s">
        <v>22</v>
      </c>
      <c r="C60" s="289" t="s">
        <v>5274</v>
      </c>
      <c r="D60" s="9" t="s">
        <v>5908</v>
      </c>
      <c r="E60" s="15">
        <v>40544</v>
      </c>
      <c r="F60" s="13" t="s">
        <v>822</v>
      </c>
      <c r="G60" s="285" t="s">
        <v>7981</v>
      </c>
      <c r="H60" s="285" t="s">
        <v>5127</v>
      </c>
      <c r="I60" s="289"/>
      <c r="J60" s="22" t="s">
        <v>3136</v>
      </c>
      <c r="K60" s="15">
        <v>39240</v>
      </c>
      <c r="L60" s="289">
        <v>423</v>
      </c>
      <c r="M60" s="15">
        <v>40544</v>
      </c>
      <c r="N60" s="16">
        <v>1</v>
      </c>
      <c r="O60" s="17">
        <v>19471.2</v>
      </c>
      <c r="P60" s="17">
        <v>19471.2</v>
      </c>
      <c r="Q60" s="17">
        <f t="shared" si="1"/>
        <v>0</v>
      </c>
      <c r="R60" s="22"/>
      <c r="S60" s="22"/>
      <c r="T60" s="22"/>
    </row>
    <row r="61" spans="1:20" ht="63.75" customHeight="1" x14ac:dyDescent="0.2">
      <c r="A61" s="21">
        <v>55</v>
      </c>
      <c r="B61" s="289" t="s">
        <v>235</v>
      </c>
      <c r="C61" s="289"/>
      <c r="D61" s="9" t="s">
        <v>5908</v>
      </c>
      <c r="E61" s="289">
        <v>2003</v>
      </c>
      <c r="F61" s="13" t="s">
        <v>828</v>
      </c>
      <c r="G61" s="285" t="s">
        <v>7982</v>
      </c>
      <c r="H61" s="285" t="s">
        <v>5127</v>
      </c>
      <c r="I61" s="289"/>
      <c r="J61" s="22" t="s">
        <v>3136</v>
      </c>
      <c r="K61" s="15">
        <v>39240</v>
      </c>
      <c r="L61" s="289">
        <v>423</v>
      </c>
      <c r="M61" s="15">
        <v>40544</v>
      </c>
      <c r="N61" s="16">
        <v>1</v>
      </c>
      <c r="O61" s="17">
        <v>19471.2</v>
      </c>
      <c r="P61" s="17">
        <v>19471.2</v>
      </c>
      <c r="Q61" s="17">
        <f t="shared" si="1"/>
        <v>0</v>
      </c>
      <c r="R61" s="22"/>
      <c r="S61" s="22"/>
      <c r="T61" s="22"/>
    </row>
    <row r="62" spans="1:20" ht="72.75" customHeight="1" x14ac:dyDescent="0.2">
      <c r="A62" s="21">
        <v>56</v>
      </c>
      <c r="B62" s="289" t="s">
        <v>23</v>
      </c>
      <c r="C62" s="289" t="s">
        <v>5274</v>
      </c>
      <c r="D62" s="9" t="s">
        <v>2628</v>
      </c>
      <c r="E62" s="12">
        <v>2003</v>
      </c>
      <c r="F62" s="13" t="s">
        <v>401</v>
      </c>
      <c r="G62" s="285" t="s">
        <v>7846</v>
      </c>
      <c r="H62" s="285" t="s">
        <v>5127</v>
      </c>
      <c r="I62" s="289"/>
      <c r="J62" s="285"/>
      <c r="K62" s="289"/>
      <c r="L62" s="289"/>
      <c r="M62" s="15">
        <v>39814</v>
      </c>
      <c r="N62" s="16">
        <v>1</v>
      </c>
      <c r="O62" s="17">
        <v>17964.5</v>
      </c>
      <c r="P62" s="17">
        <v>17964.5</v>
      </c>
      <c r="Q62" s="17">
        <f t="shared" si="1"/>
        <v>0</v>
      </c>
      <c r="R62" s="285" t="s">
        <v>2236</v>
      </c>
      <c r="S62" s="22" t="s">
        <v>3967</v>
      </c>
      <c r="T62" s="22" t="s">
        <v>2235</v>
      </c>
    </row>
    <row r="63" spans="1:20" ht="99.75" customHeight="1" x14ac:dyDescent="0.2">
      <c r="A63" s="21">
        <v>57</v>
      </c>
      <c r="B63" s="289" t="s">
        <v>5343</v>
      </c>
      <c r="C63" s="289"/>
      <c r="D63" s="9" t="s">
        <v>4237</v>
      </c>
      <c r="E63" s="12">
        <v>2003</v>
      </c>
      <c r="F63" s="13" t="s">
        <v>6119</v>
      </c>
      <c r="G63" s="285" t="s">
        <v>4946</v>
      </c>
      <c r="H63" s="285" t="s">
        <v>5127</v>
      </c>
      <c r="I63" s="289"/>
      <c r="J63" s="22" t="s">
        <v>3132</v>
      </c>
      <c r="K63" s="15">
        <v>40403</v>
      </c>
      <c r="L63" s="289" t="s">
        <v>2320</v>
      </c>
      <c r="M63" s="15">
        <v>39814</v>
      </c>
      <c r="N63" s="16">
        <v>1</v>
      </c>
      <c r="O63" s="17">
        <v>10024.56</v>
      </c>
      <c r="P63" s="17">
        <v>10024.56</v>
      </c>
      <c r="Q63" s="17">
        <f t="shared" si="1"/>
        <v>0</v>
      </c>
      <c r="R63" s="285" t="s">
        <v>2236</v>
      </c>
      <c r="S63" s="22" t="s">
        <v>3967</v>
      </c>
      <c r="T63" s="22" t="s">
        <v>2235</v>
      </c>
    </row>
    <row r="64" spans="1:20" ht="107.25" customHeight="1" x14ac:dyDescent="0.2">
      <c r="A64" s="21">
        <v>58</v>
      </c>
      <c r="B64" s="289" t="s">
        <v>3912</v>
      </c>
      <c r="C64" s="289" t="s">
        <v>5274</v>
      </c>
      <c r="D64" s="9" t="s">
        <v>2494</v>
      </c>
      <c r="E64" s="12" t="s">
        <v>4979</v>
      </c>
      <c r="F64" s="13" t="s">
        <v>6672</v>
      </c>
      <c r="G64" s="285" t="s">
        <v>4946</v>
      </c>
      <c r="H64" s="285" t="s">
        <v>5127</v>
      </c>
      <c r="I64" s="289"/>
      <c r="J64" s="22" t="s">
        <v>3132</v>
      </c>
      <c r="K64" s="15">
        <v>40403</v>
      </c>
      <c r="L64" s="289" t="s">
        <v>2320</v>
      </c>
      <c r="M64" s="15">
        <v>40360</v>
      </c>
      <c r="N64" s="16">
        <v>1</v>
      </c>
      <c r="O64" s="17">
        <v>16416</v>
      </c>
      <c r="P64" s="17">
        <v>16416</v>
      </c>
      <c r="Q64" s="17">
        <f t="shared" si="1"/>
        <v>0</v>
      </c>
      <c r="R64" s="285" t="s">
        <v>2236</v>
      </c>
      <c r="S64" s="22" t="s">
        <v>3967</v>
      </c>
      <c r="T64" s="22" t="s">
        <v>5902</v>
      </c>
    </row>
    <row r="65" spans="1:20" ht="57" customHeight="1" x14ac:dyDescent="0.2">
      <c r="A65" s="21">
        <v>59</v>
      </c>
      <c r="B65" s="289" t="s">
        <v>275</v>
      </c>
      <c r="C65" s="289" t="s">
        <v>5274</v>
      </c>
      <c r="D65" s="9" t="s">
        <v>4948</v>
      </c>
      <c r="E65" s="12" t="s">
        <v>4979</v>
      </c>
      <c r="F65" s="13" t="s">
        <v>984</v>
      </c>
      <c r="G65" s="285" t="s">
        <v>4946</v>
      </c>
      <c r="H65" s="285" t="s">
        <v>5127</v>
      </c>
      <c r="I65" s="289"/>
      <c r="J65" s="22" t="s">
        <v>3132</v>
      </c>
      <c r="K65" s="15">
        <v>40403</v>
      </c>
      <c r="L65" s="289" t="s">
        <v>2320</v>
      </c>
      <c r="M65" s="15">
        <v>39814</v>
      </c>
      <c r="N65" s="16">
        <v>1</v>
      </c>
      <c r="O65" s="17">
        <v>18240</v>
      </c>
      <c r="P65" s="17">
        <v>18240</v>
      </c>
      <c r="Q65" s="17">
        <f t="shared" si="1"/>
        <v>0</v>
      </c>
      <c r="R65" s="285" t="s">
        <v>2236</v>
      </c>
      <c r="S65" s="22" t="s">
        <v>3967</v>
      </c>
      <c r="T65" s="22" t="s">
        <v>5904</v>
      </c>
    </row>
    <row r="66" spans="1:20" ht="57" customHeight="1" x14ac:dyDescent="0.2">
      <c r="A66" s="21">
        <v>60</v>
      </c>
      <c r="B66" s="289" t="s">
        <v>276</v>
      </c>
      <c r="C66" s="289"/>
      <c r="D66" s="9" t="s">
        <v>2147</v>
      </c>
      <c r="E66" s="12" t="s">
        <v>1680</v>
      </c>
      <c r="F66" s="26" t="s">
        <v>6002</v>
      </c>
      <c r="G66" s="285" t="s">
        <v>4946</v>
      </c>
      <c r="H66" s="285" t="s">
        <v>5127</v>
      </c>
      <c r="I66" s="289"/>
      <c r="J66" s="22" t="s">
        <v>3132</v>
      </c>
      <c r="K66" s="15">
        <v>40403</v>
      </c>
      <c r="L66" s="289" t="s">
        <v>2320</v>
      </c>
      <c r="M66" s="15">
        <v>40360</v>
      </c>
      <c r="N66" s="16">
        <v>1</v>
      </c>
      <c r="O66" s="17">
        <v>16611.599999999999</v>
      </c>
      <c r="P66" s="17">
        <v>16611.599999999999</v>
      </c>
      <c r="Q66" s="17">
        <f t="shared" si="1"/>
        <v>0</v>
      </c>
      <c r="R66" s="285" t="s">
        <v>2236</v>
      </c>
      <c r="S66" s="22" t="s">
        <v>3967</v>
      </c>
      <c r="T66" s="22" t="s">
        <v>5905</v>
      </c>
    </row>
    <row r="67" spans="1:20" ht="55.5" customHeight="1" x14ac:dyDescent="0.2">
      <c r="A67" s="21">
        <v>62</v>
      </c>
      <c r="B67" s="289" t="s">
        <v>2391</v>
      </c>
      <c r="C67" s="289" t="s">
        <v>5274</v>
      </c>
      <c r="D67" s="9" t="s">
        <v>4437</v>
      </c>
      <c r="E67" s="12" t="s">
        <v>2408</v>
      </c>
      <c r="F67" s="13" t="s">
        <v>5234</v>
      </c>
      <c r="G67" s="285" t="s">
        <v>4946</v>
      </c>
      <c r="H67" s="285" t="s">
        <v>5127</v>
      </c>
      <c r="I67" s="289"/>
      <c r="J67" s="22" t="s">
        <v>3132</v>
      </c>
      <c r="K67" s="15">
        <v>40403</v>
      </c>
      <c r="L67" s="289" t="s">
        <v>2320</v>
      </c>
      <c r="M67" s="15">
        <v>39814</v>
      </c>
      <c r="N67" s="16">
        <v>1</v>
      </c>
      <c r="O67" s="17">
        <v>39650</v>
      </c>
      <c r="P67" s="17">
        <v>39650</v>
      </c>
      <c r="Q67" s="17">
        <f t="shared" si="1"/>
        <v>0</v>
      </c>
      <c r="R67" s="285" t="s">
        <v>2236</v>
      </c>
      <c r="S67" s="22" t="s">
        <v>3967</v>
      </c>
      <c r="T67" s="22" t="s">
        <v>5619</v>
      </c>
    </row>
    <row r="68" spans="1:20" ht="55.5" customHeight="1" x14ac:dyDescent="0.2">
      <c r="A68" s="21">
        <v>63</v>
      </c>
      <c r="B68" s="289" t="s">
        <v>2392</v>
      </c>
      <c r="C68" s="289" t="s">
        <v>5274</v>
      </c>
      <c r="D68" s="9" t="s">
        <v>1876</v>
      </c>
      <c r="E68" s="12">
        <v>2003</v>
      </c>
      <c r="F68" s="13" t="s">
        <v>5235</v>
      </c>
      <c r="G68" s="285" t="s">
        <v>4946</v>
      </c>
      <c r="H68" s="285" t="s">
        <v>5127</v>
      </c>
      <c r="I68" s="289"/>
      <c r="J68" s="22" t="s">
        <v>3132</v>
      </c>
      <c r="K68" s="15">
        <v>40403</v>
      </c>
      <c r="L68" s="289" t="s">
        <v>2320</v>
      </c>
      <c r="M68" s="15">
        <v>39814</v>
      </c>
      <c r="N68" s="16">
        <v>1</v>
      </c>
      <c r="O68" s="17">
        <v>55510</v>
      </c>
      <c r="P68" s="17">
        <v>55510</v>
      </c>
      <c r="Q68" s="17">
        <f t="shared" si="1"/>
        <v>0</v>
      </c>
      <c r="R68" s="285" t="s">
        <v>2236</v>
      </c>
      <c r="S68" s="22" t="s">
        <v>3967</v>
      </c>
      <c r="T68" s="22" t="s">
        <v>5620</v>
      </c>
    </row>
    <row r="69" spans="1:20" ht="64.5" customHeight="1" x14ac:dyDescent="0.2">
      <c r="A69" s="21">
        <v>64</v>
      </c>
      <c r="B69" s="289" t="s">
        <v>2393</v>
      </c>
      <c r="C69" s="289" t="s">
        <v>5274</v>
      </c>
      <c r="D69" s="9" t="s">
        <v>3180</v>
      </c>
      <c r="E69" s="12">
        <v>2003</v>
      </c>
      <c r="F69" s="26" t="s">
        <v>7976</v>
      </c>
      <c r="G69" s="285" t="s">
        <v>4946</v>
      </c>
      <c r="H69" s="285" t="s">
        <v>5127</v>
      </c>
      <c r="I69" s="289"/>
      <c r="J69" s="22" t="s">
        <v>3132</v>
      </c>
      <c r="K69" s="15">
        <v>40403</v>
      </c>
      <c r="L69" s="289" t="s">
        <v>2320</v>
      </c>
      <c r="M69" s="15">
        <v>39814</v>
      </c>
      <c r="N69" s="16">
        <v>1</v>
      </c>
      <c r="O69" s="17">
        <v>11300.86</v>
      </c>
      <c r="P69" s="17">
        <v>11300.86</v>
      </c>
      <c r="Q69" s="17">
        <f t="shared" si="1"/>
        <v>0</v>
      </c>
      <c r="R69" s="285" t="s">
        <v>2236</v>
      </c>
      <c r="S69" s="22" t="s">
        <v>3967</v>
      </c>
      <c r="T69" s="22" t="s">
        <v>5621</v>
      </c>
    </row>
    <row r="70" spans="1:20" ht="61.5" customHeight="1" x14ac:dyDescent="0.2">
      <c r="A70" s="21">
        <v>65</v>
      </c>
      <c r="B70" s="289" t="s">
        <v>6075</v>
      </c>
      <c r="C70" s="289"/>
      <c r="D70" s="9" t="s">
        <v>5233</v>
      </c>
      <c r="E70" s="12">
        <v>2003</v>
      </c>
      <c r="F70" s="13" t="s">
        <v>917</v>
      </c>
      <c r="G70" s="285" t="s">
        <v>4946</v>
      </c>
      <c r="H70" s="285" t="s">
        <v>5127</v>
      </c>
      <c r="I70" s="289"/>
      <c r="J70" s="22" t="s">
        <v>3132</v>
      </c>
      <c r="K70" s="15">
        <v>40403</v>
      </c>
      <c r="L70" s="289" t="s">
        <v>2320</v>
      </c>
      <c r="M70" s="15">
        <v>40360</v>
      </c>
      <c r="N70" s="16">
        <v>1</v>
      </c>
      <c r="O70" s="17">
        <v>12688</v>
      </c>
      <c r="P70" s="17">
        <v>12688</v>
      </c>
      <c r="Q70" s="17">
        <f t="shared" si="1"/>
        <v>0</v>
      </c>
      <c r="R70" s="285" t="s">
        <v>2236</v>
      </c>
      <c r="S70" s="22" t="s">
        <v>3967</v>
      </c>
      <c r="T70" s="22" t="s">
        <v>2803</v>
      </c>
    </row>
    <row r="71" spans="1:20" ht="61.5" customHeight="1" x14ac:dyDescent="0.2">
      <c r="A71" s="21">
        <v>66</v>
      </c>
      <c r="B71" s="289" t="s">
        <v>6076</v>
      </c>
      <c r="C71" s="289"/>
      <c r="D71" s="9" t="s">
        <v>361</v>
      </c>
      <c r="E71" s="12">
        <v>2003</v>
      </c>
      <c r="F71" s="13" t="s">
        <v>3857</v>
      </c>
      <c r="G71" s="285" t="s">
        <v>4946</v>
      </c>
      <c r="H71" s="285" t="s">
        <v>5127</v>
      </c>
      <c r="I71" s="289"/>
      <c r="J71" s="22" t="s">
        <v>3132</v>
      </c>
      <c r="K71" s="15">
        <v>40403</v>
      </c>
      <c r="L71" s="289" t="s">
        <v>2320</v>
      </c>
      <c r="M71" s="15">
        <v>40360</v>
      </c>
      <c r="N71" s="16">
        <v>1</v>
      </c>
      <c r="O71" s="17">
        <v>14908.4</v>
      </c>
      <c r="P71" s="17">
        <v>14908.4</v>
      </c>
      <c r="Q71" s="17">
        <f t="shared" si="1"/>
        <v>0</v>
      </c>
      <c r="R71" s="285" t="s">
        <v>2236</v>
      </c>
      <c r="S71" s="22" t="s">
        <v>3967</v>
      </c>
      <c r="T71" s="22" t="s">
        <v>5622</v>
      </c>
    </row>
    <row r="72" spans="1:20" ht="62.25" customHeight="1" x14ac:dyDescent="0.2">
      <c r="A72" s="21">
        <v>67</v>
      </c>
      <c r="B72" s="289" t="s">
        <v>5734</v>
      </c>
      <c r="C72" s="289"/>
      <c r="D72" s="9" t="s">
        <v>751</v>
      </c>
      <c r="E72" s="12" t="s">
        <v>4979</v>
      </c>
      <c r="F72" s="9" t="s">
        <v>6679</v>
      </c>
      <c r="G72" s="285" t="s">
        <v>4946</v>
      </c>
      <c r="H72" s="285" t="s">
        <v>5127</v>
      </c>
      <c r="I72" s="289"/>
      <c r="J72" s="285" t="s">
        <v>3136</v>
      </c>
      <c r="K72" s="15">
        <v>42156</v>
      </c>
      <c r="L72" s="289">
        <v>449</v>
      </c>
      <c r="M72" s="15">
        <v>41214</v>
      </c>
      <c r="N72" s="16">
        <v>1</v>
      </c>
      <c r="O72" s="17">
        <v>51436.800000000003</v>
      </c>
      <c r="P72" s="17">
        <v>51436.800000000003</v>
      </c>
      <c r="Q72" s="17">
        <f t="shared" ref="Q72:Q103" si="2">O72-P72</f>
        <v>0</v>
      </c>
      <c r="R72" s="285" t="s">
        <v>2236</v>
      </c>
      <c r="S72" s="22" t="s">
        <v>3967</v>
      </c>
      <c r="T72" s="22" t="s">
        <v>4041</v>
      </c>
    </row>
    <row r="73" spans="1:20" ht="55.5" customHeight="1" x14ac:dyDescent="0.2">
      <c r="A73" s="21">
        <v>68</v>
      </c>
      <c r="B73" s="289" t="s">
        <v>5735</v>
      </c>
      <c r="C73" s="289"/>
      <c r="D73" s="9" t="s">
        <v>1708</v>
      </c>
      <c r="E73" s="12" t="s">
        <v>3746</v>
      </c>
      <c r="F73" s="13" t="s">
        <v>6680</v>
      </c>
      <c r="G73" s="285" t="s">
        <v>4946</v>
      </c>
      <c r="H73" s="285" t="s">
        <v>5127</v>
      </c>
      <c r="I73" s="289"/>
      <c r="J73" s="285" t="s">
        <v>3136</v>
      </c>
      <c r="K73" s="15">
        <v>42156</v>
      </c>
      <c r="L73" s="289">
        <v>449</v>
      </c>
      <c r="M73" s="15">
        <v>39814</v>
      </c>
      <c r="N73" s="16">
        <v>1</v>
      </c>
      <c r="O73" s="17">
        <v>25088.77</v>
      </c>
      <c r="P73" s="17">
        <v>25088.77</v>
      </c>
      <c r="Q73" s="17">
        <f t="shared" si="2"/>
        <v>0</v>
      </c>
      <c r="R73" s="285" t="s">
        <v>2236</v>
      </c>
      <c r="S73" s="22" t="s">
        <v>3967</v>
      </c>
      <c r="T73" s="22" t="s">
        <v>4042</v>
      </c>
    </row>
    <row r="74" spans="1:20" ht="52.5" customHeight="1" x14ac:dyDescent="0.2">
      <c r="A74" s="21">
        <v>69</v>
      </c>
      <c r="B74" s="289" t="s">
        <v>5736</v>
      </c>
      <c r="C74" s="289"/>
      <c r="D74" s="27" t="s">
        <v>4099</v>
      </c>
      <c r="E74" s="15" t="s">
        <v>3825</v>
      </c>
      <c r="F74" s="13" t="s">
        <v>5733</v>
      </c>
      <c r="G74" s="285" t="s">
        <v>4296</v>
      </c>
      <c r="H74" s="285" t="s">
        <v>3793</v>
      </c>
      <c r="I74" s="289"/>
      <c r="J74" s="22" t="s">
        <v>3686</v>
      </c>
      <c r="K74" s="14">
        <v>42003</v>
      </c>
      <c r="L74" s="289">
        <v>1239</v>
      </c>
      <c r="M74" s="15">
        <v>40834</v>
      </c>
      <c r="N74" s="16">
        <v>1</v>
      </c>
      <c r="O74" s="17">
        <v>24800</v>
      </c>
      <c r="P74" s="17">
        <v>24800</v>
      </c>
      <c r="Q74" s="17">
        <f t="shared" si="2"/>
        <v>0</v>
      </c>
      <c r="R74" s="285" t="s">
        <v>2236</v>
      </c>
      <c r="S74" s="15">
        <v>38526</v>
      </c>
      <c r="T74" s="22">
        <v>50</v>
      </c>
    </row>
    <row r="75" spans="1:20" ht="57.75" customHeight="1" x14ac:dyDescent="0.2">
      <c r="A75" s="21">
        <v>70</v>
      </c>
      <c r="B75" s="289" t="s">
        <v>5737</v>
      </c>
      <c r="C75" s="289"/>
      <c r="D75" s="27" t="s">
        <v>4099</v>
      </c>
      <c r="E75" s="15" t="s">
        <v>3825</v>
      </c>
      <c r="F75" s="13" t="s">
        <v>427</v>
      </c>
      <c r="G75" s="285" t="s">
        <v>4296</v>
      </c>
      <c r="H75" s="285" t="s">
        <v>3793</v>
      </c>
      <c r="I75" s="289"/>
      <c r="J75" s="22" t="s">
        <v>3686</v>
      </c>
      <c r="K75" s="14">
        <v>42003</v>
      </c>
      <c r="L75" s="289">
        <v>1239</v>
      </c>
      <c r="M75" s="15">
        <v>40834</v>
      </c>
      <c r="N75" s="16">
        <v>1</v>
      </c>
      <c r="O75" s="17">
        <v>24800</v>
      </c>
      <c r="P75" s="17">
        <v>24800</v>
      </c>
      <c r="Q75" s="17">
        <f t="shared" si="2"/>
        <v>0</v>
      </c>
      <c r="R75" s="285" t="s">
        <v>2236</v>
      </c>
      <c r="S75" s="15">
        <v>38526</v>
      </c>
      <c r="T75" s="22">
        <v>52</v>
      </c>
    </row>
    <row r="76" spans="1:20" ht="63.75" customHeight="1" x14ac:dyDescent="0.2">
      <c r="A76" s="21">
        <v>71</v>
      </c>
      <c r="B76" s="289" t="s">
        <v>5738</v>
      </c>
      <c r="C76" s="289"/>
      <c r="D76" s="27" t="s">
        <v>4099</v>
      </c>
      <c r="E76" s="15" t="s">
        <v>3825</v>
      </c>
      <c r="F76" s="26" t="s">
        <v>428</v>
      </c>
      <c r="G76" s="285" t="s">
        <v>4296</v>
      </c>
      <c r="H76" s="285" t="s">
        <v>3793</v>
      </c>
      <c r="I76" s="289"/>
      <c r="J76" s="22" t="s">
        <v>3686</v>
      </c>
      <c r="K76" s="14">
        <v>42003</v>
      </c>
      <c r="L76" s="289">
        <v>1239</v>
      </c>
      <c r="M76" s="15">
        <v>40834</v>
      </c>
      <c r="N76" s="16">
        <v>1</v>
      </c>
      <c r="O76" s="17">
        <v>24800</v>
      </c>
      <c r="P76" s="17">
        <v>24800</v>
      </c>
      <c r="Q76" s="17">
        <f t="shared" si="2"/>
        <v>0</v>
      </c>
      <c r="R76" s="285" t="s">
        <v>2236</v>
      </c>
      <c r="S76" s="15">
        <v>38526</v>
      </c>
      <c r="T76" s="22" t="s">
        <v>1234</v>
      </c>
    </row>
    <row r="77" spans="1:20" ht="56.25" customHeight="1" x14ac:dyDescent="0.2">
      <c r="A77" s="21">
        <v>72</v>
      </c>
      <c r="B77" s="289" t="s">
        <v>5739</v>
      </c>
      <c r="C77" s="289"/>
      <c r="D77" s="27" t="s">
        <v>4099</v>
      </c>
      <c r="E77" s="15" t="s">
        <v>2549</v>
      </c>
      <c r="F77" s="13" t="s">
        <v>457</v>
      </c>
      <c r="G77" s="285" t="s">
        <v>4296</v>
      </c>
      <c r="H77" s="285" t="s">
        <v>3793</v>
      </c>
      <c r="I77" s="289"/>
      <c r="J77" s="22" t="s">
        <v>3686</v>
      </c>
      <c r="K77" s="14">
        <v>42003</v>
      </c>
      <c r="L77" s="289">
        <v>1239</v>
      </c>
      <c r="M77" s="15">
        <v>40834</v>
      </c>
      <c r="N77" s="16">
        <v>1</v>
      </c>
      <c r="O77" s="17">
        <v>28900</v>
      </c>
      <c r="P77" s="17">
        <v>28900</v>
      </c>
      <c r="Q77" s="17">
        <f t="shared" si="2"/>
        <v>0</v>
      </c>
      <c r="R77" s="285" t="s">
        <v>2236</v>
      </c>
      <c r="S77" s="15">
        <v>38940</v>
      </c>
      <c r="T77" s="22" t="s">
        <v>5622</v>
      </c>
    </row>
    <row r="78" spans="1:20" ht="69.75" customHeight="1" x14ac:dyDescent="0.2">
      <c r="A78" s="21">
        <v>73</v>
      </c>
      <c r="B78" s="289" t="s">
        <v>1088</v>
      </c>
      <c r="C78" s="289"/>
      <c r="D78" s="27" t="s">
        <v>3626</v>
      </c>
      <c r="E78" s="14" t="s">
        <v>1873</v>
      </c>
      <c r="F78" s="13" t="s">
        <v>1691</v>
      </c>
      <c r="G78" s="285" t="s">
        <v>4296</v>
      </c>
      <c r="H78" s="285" t="s">
        <v>3793</v>
      </c>
      <c r="I78" s="289"/>
      <c r="J78" s="22" t="s">
        <v>3686</v>
      </c>
      <c r="K78" s="14">
        <v>42003</v>
      </c>
      <c r="L78" s="289">
        <v>1239</v>
      </c>
      <c r="M78" s="15">
        <v>40834</v>
      </c>
      <c r="N78" s="24">
        <v>1</v>
      </c>
      <c r="O78" s="17">
        <v>17340</v>
      </c>
      <c r="P78" s="17">
        <v>17340</v>
      </c>
      <c r="Q78" s="17">
        <f t="shared" si="2"/>
        <v>0</v>
      </c>
      <c r="R78" s="285" t="s">
        <v>2236</v>
      </c>
      <c r="S78" s="15">
        <v>38169</v>
      </c>
      <c r="T78" s="22" t="s">
        <v>1029</v>
      </c>
    </row>
    <row r="79" spans="1:20" ht="66.75" customHeight="1" x14ac:dyDescent="0.2">
      <c r="A79" s="21">
        <v>74</v>
      </c>
      <c r="B79" s="289" t="s">
        <v>6100</v>
      </c>
      <c r="C79" s="289"/>
      <c r="D79" s="23" t="s">
        <v>2857</v>
      </c>
      <c r="E79" s="22" t="s">
        <v>8863</v>
      </c>
      <c r="F79" s="227" t="s">
        <v>4172</v>
      </c>
      <c r="G79" s="285" t="s">
        <v>2550</v>
      </c>
      <c r="H79" s="285" t="s">
        <v>2614</v>
      </c>
      <c r="I79" s="285" t="s">
        <v>2207</v>
      </c>
      <c r="J79" s="285" t="s">
        <v>1937</v>
      </c>
      <c r="K79" s="285" t="s">
        <v>5051</v>
      </c>
      <c r="L79" s="285" t="s">
        <v>2572</v>
      </c>
      <c r="M79" s="15">
        <v>40360</v>
      </c>
      <c r="N79" s="24">
        <v>1</v>
      </c>
      <c r="O79" s="17">
        <v>104777.77</v>
      </c>
      <c r="P79" s="17">
        <v>93265.919999999998</v>
      </c>
      <c r="Q79" s="17">
        <f t="shared" si="2"/>
        <v>11511.850000000006</v>
      </c>
      <c r="R79" s="285" t="s">
        <v>2236</v>
      </c>
      <c r="S79" s="15">
        <v>38169</v>
      </c>
      <c r="T79" s="22" t="s">
        <v>1029</v>
      </c>
    </row>
    <row r="80" spans="1:20" ht="75.75" customHeight="1" x14ac:dyDescent="0.2">
      <c r="A80" s="21">
        <v>75</v>
      </c>
      <c r="B80" s="289" t="s">
        <v>6388</v>
      </c>
      <c r="C80" s="289"/>
      <c r="D80" s="23" t="s">
        <v>2994</v>
      </c>
      <c r="E80" s="14" t="s">
        <v>5155</v>
      </c>
      <c r="F80" s="13" t="s">
        <v>4532</v>
      </c>
      <c r="G80" s="285" t="s">
        <v>4877</v>
      </c>
      <c r="H80" s="285" t="s">
        <v>3793</v>
      </c>
      <c r="I80" s="285"/>
      <c r="J80" s="22" t="s">
        <v>3686</v>
      </c>
      <c r="K80" s="14">
        <v>42501</v>
      </c>
      <c r="L80" s="285">
        <v>429</v>
      </c>
      <c r="M80" s="15">
        <v>39934</v>
      </c>
      <c r="N80" s="24">
        <v>1</v>
      </c>
      <c r="O80" s="17">
        <v>12406.05</v>
      </c>
      <c r="P80" s="17">
        <v>12406.05</v>
      </c>
      <c r="Q80" s="17">
        <f t="shared" si="2"/>
        <v>0</v>
      </c>
      <c r="R80" s="285" t="s">
        <v>2236</v>
      </c>
      <c r="S80" s="15">
        <v>38169</v>
      </c>
      <c r="T80" s="22" t="s">
        <v>1029</v>
      </c>
    </row>
    <row r="81" spans="1:20" ht="48.75" customHeight="1" x14ac:dyDescent="0.2">
      <c r="A81" s="21">
        <v>76</v>
      </c>
      <c r="B81" s="289" t="s">
        <v>546</v>
      </c>
      <c r="C81" s="289"/>
      <c r="D81" s="27" t="s">
        <v>1295</v>
      </c>
      <c r="E81" s="15" t="s">
        <v>3702</v>
      </c>
      <c r="F81" s="13" t="s">
        <v>849</v>
      </c>
      <c r="G81" s="285" t="s">
        <v>4296</v>
      </c>
      <c r="H81" s="285" t="s">
        <v>3793</v>
      </c>
      <c r="I81" s="289"/>
      <c r="J81" s="22" t="s">
        <v>3686</v>
      </c>
      <c r="K81" s="14">
        <v>42003</v>
      </c>
      <c r="L81" s="289">
        <v>1239</v>
      </c>
      <c r="M81" s="15">
        <v>40834</v>
      </c>
      <c r="N81" s="16">
        <v>1</v>
      </c>
      <c r="O81" s="17">
        <v>33330</v>
      </c>
      <c r="P81" s="17">
        <v>33330</v>
      </c>
      <c r="Q81" s="17">
        <f t="shared" si="2"/>
        <v>0</v>
      </c>
      <c r="R81" s="285" t="s">
        <v>2236</v>
      </c>
      <c r="S81" s="15">
        <v>38169</v>
      </c>
      <c r="T81" s="22" t="s">
        <v>1029</v>
      </c>
    </row>
    <row r="82" spans="1:20" ht="48.75" customHeight="1" x14ac:dyDescent="0.2">
      <c r="A82" s="21">
        <v>77</v>
      </c>
      <c r="B82" s="289" t="s">
        <v>547</v>
      </c>
      <c r="C82" s="289"/>
      <c r="D82" s="27" t="s">
        <v>1297</v>
      </c>
      <c r="E82" s="15" t="s">
        <v>3667</v>
      </c>
      <c r="F82" s="26" t="s">
        <v>4170</v>
      </c>
      <c r="G82" s="285" t="s">
        <v>4296</v>
      </c>
      <c r="H82" s="285" t="s">
        <v>3793</v>
      </c>
      <c r="I82" s="289"/>
      <c r="J82" s="22" t="s">
        <v>3686</v>
      </c>
      <c r="K82" s="14">
        <v>42003</v>
      </c>
      <c r="L82" s="289">
        <v>1239</v>
      </c>
      <c r="M82" s="15">
        <v>40834</v>
      </c>
      <c r="N82" s="16">
        <v>1</v>
      </c>
      <c r="O82" s="17">
        <v>29520</v>
      </c>
      <c r="P82" s="17">
        <v>29520</v>
      </c>
      <c r="Q82" s="17">
        <f t="shared" si="2"/>
        <v>0</v>
      </c>
      <c r="R82" s="285" t="s">
        <v>2236</v>
      </c>
      <c r="S82" s="15">
        <v>38169</v>
      </c>
      <c r="T82" s="22" t="s">
        <v>1029</v>
      </c>
    </row>
    <row r="83" spans="1:20" ht="55.5" customHeight="1" x14ac:dyDescent="0.2">
      <c r="A83" s="21">
        <v>78</v>
      </c>
      <c r="B83" s="289" t="s">
        <v>548</v>
      </c>
      <c r="C83" s="289"/>
      <c r="D83" s="27" t="s">
        <v>1297</v>
      </c>
      <c r="E83" s="15" t="s">
        <v>3667</v>
      </c>
      <c r="F83" s="13" t="s">
        <v>4171</v>
      </c>
      <c r="G83" s="285" t="s">
        <v>4296</v>
      </c>
      <c r="H83" s="285" t="s">
        <v>3793</v>
      </c>
      <c r="I83" s="289"/>
      <c r="J83" s="22" t="s">
        <v>3686</v>
      </c>
      <c r="K83" s="14">
        <v>42003</v>
      </c>
      <c r="L83" s="289">
        <v>1239</v>
      </c>
      <c r="M83" s="15">
        <v>40834</v>
      </c>
      <c r="N83" s="16">
        <v>1</v>
      </c>
      <c r="O83" s="17">
        <v>28425</v>
      </c>
      <c r="P83" s="17">
        <v>28425</v>
      </c>
      <c r="Q83" s="17">
        <f t="shared" si="2"/>
        <v>0</v>
      </c>
      <c r="R83" s="285" t="s">
        <v>2236</v>
      </c>
      <c r="S83" s="15">
        <v>38169</v>
      </c>
      <c r="T83" s="22" t="s">
        <v>1029</v>
      </c>
    </row>
    <row r="84" spans="1:20" ht="41.25" customHeight="1" x14ac:dyDescent="0.2">
      <c r="A84" s="21">
        <v>79</v>
      </c>
      <c r="B84" s="289" t="s">
        <v>1730</v>
      </c>
      <c r="C84" s="289"/>
      <c r="D84" s="23" t="s">
        <v>4942</v>
      </c>
      <c r="E84" s="12" t="s">
        <v>8864</v>
      </c>
      <c r="F84" s="13" t="s">
        <v>4531</v>
      </c>
      <c r="G84" s="285" t="s">
        <v>5718</v>
      </c>
      <c r="H84" s="289" t="s">
        <v>2614</v>
      </c>
      <c r="I84" s="285" t="s">
        <v>2207</v>
      </c>
      <c r="J84" s="285" t="s">
        <v>2641</v>
      </c>
      <c r="K84" s="14">
        <v>41498</v>
      </c>
      <c r="L84" s="22" t="s">
        <v>1938</v>
      </c>
      <c r="M84" s="15">
        <v>39934</v>
      </c>
      <c r="N84" s="16">
        <v>1</v>
      </c>
      <c r="O84" s="17">
        <v>20900</v>
      </c>
      <c r="P84" s="17">
        <v>20900</v>
      </c>
      <c r="Q84" s="17">
        <f t="shared" si="2"/>
        <v>0</v>
      </c>
      <c r="R84" s="285" t="s">
        <v>2236</v>
      </c>
      <c r="S84" s="15">
        <v>38169</v>
      </c>
      <c r="T84" s="22" t="s">
        <v>1029</v>
      </c>
    </row>
    <row r="85" spans="1:20" ht="63.75" customHeight="1" x14ac:dyDescent="0.2">
      <c r="A85" s="21">
        <v>80</v>
      </c>
      <c r="B85" s="289" t="s">
        <v>549</v>
      </c>
      <c r="C85" s="289"/>
      <c r="D85" s="27" t="s">
        <v>3684</v>
      </c>
      <c r="E85" s="12" t="s">
        <v>918</v>
      </c>
      <c r="F85" s="9" t="s">
        <v>820</v>
      </c>
      <c r="G85" s="285" t="s">
        <v>10690</v>
      </c>
      <c r="H85" s="285" t="s">
        <v>5127</v>
      </c>
      <c r="I85" s="289"/>
      <c r="J85" s="22" t="s">
        <v>3686</v>
      </c>
      <c r="K85" s="15" t="s">
        <v>10691</v>
      </c>
      <c r="L85" s="289" t="s">
        <v>10692</v>
      </c>
      <c r="M85" s="15">
        <v>39934</v>
      </c>
      <c r="N85" s="16">
        <v>1</v>
      </c>
      <c r="O85" s="17">
        <v>7140</v>
      </c>
      <c r="P85" s="17">
        <v>7140</v>
      </c>
      <c r="Q85" s="17">
        <f t="shared" si="2"/>
        <v>0</v>
      </c>
      <c r="R85" s="285" t="s">
        <v>2236</v>
      </c>
      <c r="S85" s="15">
        <v>38868</v>
      </c>
      <c r="T85" s="22">
        <v>1</v>
      </c>
    </row>
    <row r="86" spans="1:20" ht="59.25" customHeight="1" x14ac:dyDescent="0.2">
      <c r="A86" s="21">
        <v>81</v>
      </c>
      <c r="B86" s="289" t="s">
        <v>550</v>
      </c>
      <c r="C86" s="289"/>
      <c r="D86" s="9" t="s">
        <v>1342</v>
      </c>
      <c r="E86" s="15" t="s">
        <v>1653</v>
      </c>
      <c r="F86" s="13" t="s">
        <v>2613</v>
      </c>
      <c r="G86" s="285" t="s">
        <v>792</v>
      </c>
      <c r="H86" s="285" t="s">
        <v>5127</v>
      </c>
      <c r="I86" s="289"/>
      <c r="J86" s="285" t="s">
        <v>3136</v>
      </c>
      <c r="K86" s="15">
        <v>41781</v>
      </c>
      <c r="L86" s="289">
        <v>433</v>
      </c>
      <c r="M86" s="15">
        <v>40360</v>
      </c>
      <c r="N86" s="16">
        <v>1</v>
      </c>
      <c r="O86" s="17">
        <v>17888</v>
      </c>
      <c r="P86" s="17">
        <v>17888</v>
      </c>
      <c r="Q86" s="17">
        <f>O86-P86</f>
        <v>0</v>
      </c>
      <c r="R86" s="285" t="s">
        <v>2236</v>
      </c>
      <c r="S86" s="22" t="s">
        <v>1663</v>
      </c>
      <c r="T86" s="22" t="s">
        <v>4044</v>
      </c>
    </row>
    <row r="87" spans="1:20" ht="112.5" customHeight="1" x14ac:dyDescent="0.2">
      <c r="A87" s="21">
        <v>82</v>
      </c>
      <c r="B87" s="289" t="s">
        <v>551</v>
      </c>
      <c r="C87" s="289" t="s">
        <v>5274</v>
      </c>
      <c r="D87" s="9" t="s">
        <v>3287</v>
      </c>
      <c r="E87" s="15" t="s">
        <v>1907</v>
      </c>
      <c r="F87" s="13" t="s">
        <v>6673</v>
      </c>
      <c r="G87" s="285" t="s">
        <v>4946</v>
      </c>
      <c r="H87" s="285" t="s">
        <v>5127</v>
      </c>
      <c r="I87" s="289"/>
      <c r="J87" s="22" t="s">
        <v>3132</v>
      </c>
      <c r="K87" s="15">
        <v>40403</v>
      </c>
      <c r="L87" s="289" t="s">
        <v>2320</v>
      </c>
      <c r="M87" s="15">
        <v>39814</v>
      </c>
      <c r="N87" s="16">
        <v>1</v>
      </c>
      <c r="O87" s="17">
        <v>10228.14</v>
      </c>
      <c r="P87" s="17">
        <v>10228.14</v>
      </c>
      <c r="Q87" s="17">
        <f t="shared" si="2"/>
        <v>0</v>
      </c>
      <c r="R87" s="285"/>
      <c r="S87" s="22"/>
      <c r="T87" s="22"/>
    </row>
    <row r="88" spans="1:20" ht="60" customHeight="1" x14ac:dyDescent="0.2">
      <c r="A88" s="21">
        <v>83</v>
      </c>
      <c r="B88" s="289" t="s">
        <v>552</v>
      </c>
      <c r="C88" s="289"/>
      <c r="D88" s="9" t="s">
        <v>3339</v>
      </c>
      <c r="E88" s="15" t="s">
        <v>5396</v>
      </c>
      <c r="F88" s="13" t="s">
        <v>6674</v>
      </c>
      <c r="G88" s="285" t="s">
        <v>4946</v>
      </c>
      <c r="H88" s="285" t="s">
        <v>5127</v>
      </c>
      <c r="I88" s="289"/>
      <c r="J88" s="22" t="s">
        <v>3132</v>
      </c>
      <c r="K88" s="15">
        <v>40403</v>
      </c>
      <c r="L88" s="289" t="s">
        <v>2320</v>
      </c>
      <c r="M88" s="15">
        <v>39814</v>
      </c>
      <c r="N88" s="16">
        <v>1</v>
      </c>
      <c r="O88" s="17">
        <v>22697.279999999999</v>
      </c>
      <c r="P88" s="17">
        <v>22697.279999999999</v>
      </c>
      <c r="Q88" s="17">
        <f t="shared" si="2"/>
        <v>0</v>
      </c>
      <c r="R88" s="285"/>
      <c r="S88" s="22"/>
      <c r="T88" s="22"/>
    </row>
    <row r="89" spans="1:20" ht="63.75" customHeight="1" x14ac:dyDescent="0.2">
      <c r="A89" s="21">
        <v>84</v>
      </c>
      <c r="B89" s="289" t="s">
        <v>553</v>
      </c>
      <c r="C89" s="289"/>
      <c r="D89" s="9" t="s">
        <v>369</v>
      </c>
      <c r="E89" s="15" t="s">
        <v>2964</v>
      </c>
      <c r="F89" s="13" t="s">
        <v>6681</v>
      </c>
      <c r="G89" s="285" t="s">
        <v>4946</v>
      </c>
      <c r="H89" s="285" t="s">
        <v>5127</v>
      </c>
      <c r="I89" s="289"/>
      <c r="J89" s="285" t="s">
        <v>3136</v>
      </c>
      <c r="K89" s="15">
        <v>42156</v>
      </c>
      <c r="L89" s="289">
        <v>449</v>
      </c>
      <c r="M89" s="15">
        <v>40360</v>
      </c>
      <c r="N89" s="16">
        <v>1</v>
      </c>
      <c r="O89" s="17">
        <v>13480.5</v>
      </c>
      <c r="P89" s="17">
        <v>13480.5</v>
      </c>
      <c r="Q89" s="17">
        <f t="shared" si="2"/>
        <v>0</v>
      </c>
      <c r="R89" s="285"/>
      <c r="S89" s="22"/>
      <c r="T89" s="22"/>
    </row>
    <row r="90" spans="1:20" ht="55.5" customHeight="1" x14ac:dyDescent="0.2">
      <c r="A90" s="21">
        <v>85</v>
      </c>
      <c r="B90" s="289" t="s">
        <v>554</v>
      </c>
      <c r="C90" s="289"/>
      <c r="D90" s="9" t="s">
        <v>1410</v>
      </c>
      <c r="E90" s="15" t="s">
        <v>5999</v>
      </c>
      <c r="F90" s="26" t="s">
        <v>6682</v>
      </c>
      <c r="G90" s="285" t="s">
        <v>4946</v>
      </c>
      <c r="H90" s="285" t="s">
        <v>5127</v>
      </c>
      <c r="I90" s="39"/>
      <c r="J90" s="285" t="s">
        <v>3136</v>
      </c>
      <c r="K90" s="15">
        <v>42156</v>
      </c>
      <c r="L90" s="289">
        <v>449</v>
      </c>
      <c r="M90" s="15">
        <v>39814</v>
      </c>
      <c r="N90" s="16">
        <v>1</v>
      </c>
      <c r="O90" s="17">
        <v>3210</v>
      </c>
      <c r="P90" s="17">
        <v>3210</v>
      </c>
      <c r="Q90" s="17">
        <f t="shared" si="2"/>
        <v>0</v>
      </c>
      <c r="R90" s="285"/>
      <c r="S90" s="22"/>
      <c r="T90" s="22"/>
    </row>
    <row r="91" spans="1:20" ht="49.5" customHeight="1" x14ac:dyDescent="0.2">
      <c r="A91" s="21">
        <v>86</v>
      </c>
      <c r="B91" s="289" t="s">
        <v>1516</v>
      </c>
      <c r="C91" s="289"/>
      <c r="D91" s="9" t="s">
        <v>1621</v>
      </c>
      <c r="E91" s="15" t="s">
        <v>6207</v>
      </c>
      <c r="F91" s="26" t="s">
        <v>6683</v>
      </c>
      <c r="G91" s="285" t="s">
        <v>4946</v>
      </c>
      <c r="H91" s="285" t="s">
        <v>5127</v>
      </c>
      <c r="I91" s="289"/>
      <c r="J91" s="285" t="s">
        <v>3136</v>
      </c>
      <c r="K91" s="15">
        <v>42156</v>
      </c>
      <c r="L91" s="289">
        <v>449</v>
      </c>
      <c r="M91" s="15">
        <v>40360</v>
      </c>
      <c r="N91" s="16">
        <v>2</v>
      </c>
      <c r="O91" s="17">
        <v>27600</v>
      </c>
      <c r="P91" s="17">
        <v>27600</v>
      </c>
      <c r="Q91" s="17">
        <f t="shared" si="2"/>
        <v>0</v>
      </c>
      <c r="R91" s="285"/>
      <c r="S91" s="22"/>
      <c r="T91" s="22"/>
    </row>
    <row r="92" spans="1:20" ht="56.25" customHeight="1" x14ac:dyDescent="0.2">
      <c r="A92" s="21">
        <v>87</v>
      </c>
      <c r="B92" s="289" t="s">
        <v>1517</v>
      </c>
      <c r="C92" s="289"/>
      <c r="D92" s="9" t="s">
        <v>5165</v>
      </c>
      <c r="E92" s="15" t="s">
        <v>6207</v>
      </c>
      <c r="F92" s="26" t="s">
        <v>6684</v>
      </c>
      <c r="G92" s="285" t="s">
        <v>4946</v>
      </c>
      <c r="H92" s="285" t="s">
        <v>5127</v>
      </c>
      <c r="I92" s="289"/>
      <c r="J92" s="285" t="s">
        <v>3136</v>
      </c>
      <c r="K92" s="15">
        <v>42156</v>
      </c>
      <c r="L92" s="289">
        <v>449</v>
      </c>
      <c r="M92" s="15">
        <v>40360</v>
      </c>
      <c r="N92" s="16">
        <v>1</v>
      </c>
      <c r="O92" s="17">
        <v>10570</v>
      </c>
      <c r="P92" s="17">
        <v>10570</v>
      </c>
      <c r="Q92" s="17">
        <f t="shared" si="2"/>
        <v>0</v>
      </c>
      <c r="R92" s="285"/>
      <c r="S92" s="22"/>
      <c r="T92" s="22"/>
    </row>
    <row r="93" spans="1:20" ht="66.75" customHeight="1" x14ac:dyDescent="0.2">
      <c r="A93" s="21">
        <v>88</v>
      </c>
      <c r="B93" s="289" t="s">
        <v>834</v>
      </c>
      <c r="C93" s="289"/>
      <c r="D93" s="9" t="s">
        <v>2966</v>
      </c>
      <c r="E93" s="12" t="s">
        <v>2567</v>
      </c>
      <c r="F93" s="26" t="s">
        <v>524</v>
      </c>
      <c r="G93" s="285" t="s">
        <v>3090</v>
      </c>
      <c r="H93" s="285" t="s">
        <v>5127</v>
      </c>
      <c r="I93" s="289"/>
      <c r="J93" s="22" t="s">
        <v>3132</v>
      </c>
      <c r="K93" s="15">
        <v>40403</v>
      </c>
      <c r="L93" s="289" t="s">
        <v>2320</v>
      </c>
      <c r="M93" s="15">
        <v>39814</v>
      </c>
      <c r="N93" s="16">
        <v>1</v>
      </c>
      <c r="O93" s="17">
        <v>25522.560000000001</v>
      </c>
      <c r="P93" s="17">
        <v>25522.560000000001</v>
      </c>
      <c r="Q93" s="17">
        <f t="shared" si="2"/>
        <v>0</v>
      </c>
      <c r="R93" s="285"/>
      <c r="S93" s="22"/>
      <c r="T93" s="22"/>
    </row>
    <row r="94" spans="1:20" ht="51.75" customHeight="1" x14ac:dyDescent="0.2">
      <c r="A94" s="21">
        <v>89</v>
      </c>
      <c r="B94" s="289" t="s">
        <v>835</v>
      </c>
      <c r="C94" s="289"/>
      <c r="D94" s="9" t="s">
        <v>203</v>
      </c>
      <c r="E94" s="12" t="s">
        <v>2567</v>
      </c>
      <c r="F94" s="26" t="s">
        <v>525</v>
      </c>
      <c r="G94" s="285" t="s">
        <v>3090</v>
      </c>
      <c r="H94" s="285" t="s">
        <v>5127</v>
      </c>
      <c r="I94" s="289"/>
      <c r="J94" s="22" t="s">
        <v>3132</v>
      </c>
      <c r="K94" s="15">
        <v>40403</v>
      </c>
      <c r="L94" s="289" t="s">
        <v>2320</v>
      </c>
      <c r="M94" s="15">
        <v>39814</v>
      </c>
      <c r="N94" s="16">
        <v>1</v>
      </c>
      <c r="O94" s="17">
        <v>24105.599999999999</v>
      </c>
      <c r="P94" s="17">
        <v>24105.599999999999</v>
      </c>
      <c r="Q94" s="17">
        <f t="shared" si="2"/>
        <v>0</v>
      </c>
      <c r="R94" s="285"/>
      <c r="S94" s="22"/>
      <c r="T94" s="22"/>
    </row>
    <row r="95" spans="1:20" ht="56.25" customHeight="1" x14ac:dyDescent="0.2">
      <c r="A95" s="21">
        <v>90</v>
      </c>
      <c r="B95" s="289" t="s">
        <v>836</v>
      </c>
      <c r="C95" s="289"/>
      <c r="D95" s="9" t="s">
        <v>5727</v>
      </c>
      <c r="E95" s="12" t="s">
        <v>2009</v>
      </c>
      <c r="F95" s="26" t="s">
        <v>3465</v>
      </c>
      <c r="G95" s="285" t="s">
        <v>7464</v>
      </c>
      <c r="H95" s="285" t="s">
        <v>5127</v>
      </c>
      <c r="I95" s="289"/>
      <c r="J95" s="285"/>
      <c r="K95" s="289"/>
      <c r="L95" s="289"/>
      <c r="M95" s="15">
        <v>39814</v>
      </c>
      <c r="N95" s="16">
        <v>1</v>
      </c>
      <c r="O95" s="17">
        <v>5051</v>
      </c>
      <c r="P95" s="17">
        <v>5051</v>
      </c>
      <c r="Q95" s="17">
        <f t="shared" si="2"/>
        <v>0</v>
      </c>
      <c r="R95" s="285"/>
      <c r="S95" s="22"/>
      <c r="T95" s="22"/>
    </row>
    <row r="96" spans="1:20" ht="52.5" customHeight="1" x14ac:dyDescent="0.2">
      <c r="A96" s="21">
        <v>91</v>
      </c>
      <c r="B96" s="289" t="s">
        <v>837</v>
      </c>
      <c r="C96" s="289"/>
      <c r="D96" s="9" t="s">
        <v>2946</v>
      </c>
      <c r="E96" s="15" t="s">
        <v>4547</v>
      </c>
      <c r="F96" s="26" t="s">
        <v>6676</v>
      </c>
      <c r="G96" s="285" t="s">
        <v>4946</v>
      </c>
      <c r="H96" s="285" t="s">
        <v>5127</v>
      </c>
      <c r="I96" s="289"/>
      <c r="J96" s="22" t="s">
        <v>3132</v>
      </c>
      <c r="K96" s="15">
        <v>40403</v>
      </c>
      <c r="L96" s="289" t="s">
        <v>2320</v>
      </c>
      <c r="M96" s="15">
        <v>41183</v>
      </c>
      <c r="N96" s="16">
        <v>1</v>
      </c>
      <c r="O96" s="17">
        <v>20094</v>
      </c>
      <c r="P96" s="17">
        <v>20094</v>
      </c>
      <c r="Q96" s="17">
        <f t="shared" si="2"/>
        <v>0</v>
      </c>
      <c r="R96" s="285"/>
      <c r="S96" s="22"/>
      <c r="T96" s="22"/>
    </row>
    <row r="97" spans="1:20" ht="60" customHeight="1" x14ac:dyDescent="0.2">
      <c r="A97" s="21">
        <v>92</v>
      </c>
      <c r="B97" s="289" t="s">
        <v>838</v>
      </c>
      <c r="C97" s="289"/>
      <c r="D97" s="27" t="s">
        <v>2945</v>
      </c>
      <c r="E97" s="12" t="s">
        <v>1409</v>
      </c>
      <c r="F97" s="26" t="s">
        <v>3389</v>
      </c>
      <c r="G97" s="285" t="s">
        <v>8293</v>
      </c>
      <c r="H97" s="285" t="s">
        <v>5127</v>
      </c>
      <c r="I97" s="289"/>
      <c r="J97" s="285"/>
      <c r="K97" s="289"/>
      <c r="L97" s="289"/>
      <c r="M97" s="15">
        <v>39934</v>
      </c>
      <c r="N97" s="16">
        <v>1</v>
      </c>
      <c r="O97" s="17">
        <v>18835.580000000002</v>
      </c>
      <c r="P97" s="17">
        <v>18835.580000000002</v>
      </c>
      <c r="Q97" s="17">
        <f t="shared" si="2"/>
        <v>0</v>
      </c>
      <c r="R97" s="285"/>
      <c r="S97" s="15"/>
      <c r="T97" s="14"/>
    </row>
    <row r="98" spans="1:20" ht="55.5" customHeight="1" x14ac:dyDescent="0.2">
      <c r="A98" s="21">
        <v>93</v>
      </c>
      <c r="B98" s="289" t="s">
        <v>839</v>
      </c>
      <c r="C98" s="289"/>
      <c r="D98" s="27" t="s">
        <v>5653</v>
      </c>
      <c r="E98" s="12" t="s">
        <v>4978</v>
      </c>
      <c r="F98" s="26" t="s">
        <v>3390</v>
      </c>
      <c r="G98" s="285" t="s">
        <v>8293</v>
      </c>
      <c r="H98" s="285" t="s">
        <v>5127</v>
      </c>
      <c r="I98" s="289"/>
      <c r="J98" s="285"/>
      <c r="K98" s="289"/>
      <c r="L98" s="289"/>
      <c r="M98" s="15">
        <v>41226</v>
      </c>
      <c r="N98" s="16">
        <v>1</v>
      </c>
      <c r="O98" s="17">
        <v>21400</v>
      </c>
      <c r="P98" s="17">
        <v>21400</v>
      </c>
      <c r="Q98" s="17">
        <f t="shared" si="2"/>
        <v>0</v>
      </c>
      <c r="R98" s="285"/>
      <c r="S98" s="15"/>
      <c r="T98" s="14"/>
    </row>
    <row r="99" spans="1:20" ht="55.5" customHeight="1" x14ac:dyDescent="0.2">
      <c r="A99" s="21">
        <v>94</v>
      </c>
      <c r="B99" s="289" t="s">
        <v>840</v>
      </c>
      <c r="C99" s="289"/>
      <c r="D99" s="27" t="s">
        <v>5653</v>
      </c>
      <c r="E99" s="12" t="s">
        <v>4978</v>
      </c>
      <c r="F99" s="26" t="s">
        <v>305</v>
      </c>
      <c r="G99" s="285" t="s">
        <v>8293</v>
      </c>
      <c r="H99" s="285" t="s">
        <v>5127</v>
      </c>
      <c r="I99" s="289"/>
      <c r="J99" s="285"/>
      <c r="K99" s="289"/>
      <c r="L99" s="289"/>
      <c r="M99" s="15">
        <v>41226</v>
      </c>
      <c r="N99" s="16">
        <v>1</v>
      </c>
      <c r="O99" s="17">
        <v>20400</v>
      </c>
      <c r="P99" s="17">
        <v>20400</v>
      </c>
      <c r="Q99" s="17">
        <f t="shared" si="2"/>
        <v>0</v>
      </c>
      <c r="R99" s="285"/>
      <c r="S99" s="15"/>
      <c r="T99" s="14"/>
    </row>
    <row r="100" spans="1:20" ht="102.75" customHeight="1" x14ac:dyDescent="0.2">
      <c r="A100" s="21">
        <v>95</v>
      </c>
      <c r="B100" s="289" t="s">
        <v>466</v>
      </c>
      <c r="C100" s="289"/>
      <c r="D100" s="9" t="s">
        <v>907</v>
      </c>
      <c r="E100" s="15">
        <v>39441</v>
      </c>
      <c r="F100" s="26" t="s">
        <v>2288</v>
      </c>
      <c r="G100" s="285" t="s">
        <v>7981</v>
      </c>
      <c r="H100" s="285" t="s">
        <v>5127</v>
      </c>
      <c r="I100" s="289"/>
      <c r="J100" s="22" t="s">
        <v>9411</v>
      </c>
      <c r="K100" s="15">
        <v>40544</v>
      </c>
      <c r="L100" s="289" t="s">
        <v>1029</v>
      </c>
      <c r="M100" s="15">
        <v>39441</v>
      </c>
      <c r="N100" s="16">
        <v>1</v>
      </c>
      <c r="O100" s="17">
        <v>15613</v>
      </c>
      <c r="P100" s="17">
        <v>15613</v>
      </c>
      <c r="Q100" s="17">
        <f t="shared" si="2"/>
        <v>0</v>
      </c>
      <c r="R100" s="22"/>
      <c r="S100" s="22"/>
      <c r="T100" s="22"/>
    </row>
    <row r="101" spans="1:20" ht="53.25" customHeight="1" x14ac:dyDescent="0.2">
      <c r="A101" s="21">
        <v>96</v>
      </c>
      <c r="B101" s="289" t="s">
        <v>467</v>
      </c>
      <c r="C101" s="289" t="s">
        <v>5274</v>
      </c>
      <c r="D101" s="9" t="s">
        <v>5608</v>
      </c>
      <c r="E101" s="15">
        <v>39441</v>
      </c>
      <c r="F101" s="76" t="s">
        <v>823</v>
      </c>
      <c r="G101" s="285" t="s">
        <v>7981</v>
      </c>
      <c r="H101" s="285" t="s">
        <v>5127</v>
      </c>
      <c r="I101" s="289"/>
      <c r="J101" s="22" t="s">
        <v>9411</v>
      </c>
      <c r="K101" s="15">
        <v>40544</v>
      </c>
      <c r="L101" s="289" t="s">
        <v>1029</v>
      </c>
      <c r="M101" s="15">
        <v>39441</v>
      </c>
      <c r="N101" s="16">
        <v>1</v>
      </c>
      <c r="O101" s="17">
        <v>17538</v>
      </c>
      <c r="P101" s="17">
        <v>17538</v>
      </c>
      <c r="Q101" s="17">
        <f t="shared" si="2"/>
        <v>0</v>
      </c>
      <c r="R101" s="22" t="s">
        <v>5071</v>
      </c>
      <c r="S101" s="22" t="s">
        <v>4046</v>
      </c>
      <c r="T101" s="22" t="s">
        <v>4045</v>
      </c>
    </row>
    <row r="102" spans="1:20" ht="57.75" customHeight="1" x14ac:dyDescent="0.2">
      <c r="A102" s="21">
        <v>97</v>
      </c>
      <c r="B102" s="289" t="s">
        <v>2956</v>
      </c>
      <c r="C102" s="289" t="s">
        <v>5274</v>
      </c>
      <c r="D102" s="9" t="s">
        <v>2206</v>
      </c>
      <c r="E102" s="15">
        <v>39441</v>
      </c>
      <c r="F102" s="76" t="s">
        <v>824</v>
      </c>
      <c r="G102" s="285" t="s">
        <v>7981</v>
      </c>
      <c r="H102" s="285" t="s">
        <v>5127</v>
      </c>
      <c r="I102" s="289"/>
      <c r="J102" s="22" t="s">
        <v>9411</v>
      </c>
      <c r="K102" s="15">
        <v>40544</v>
      </c>
      <c r="L102" s="289" t="s">
        <v>1029</v>
      </c>
      <c r="M102" s="15">
        <v>39441</v>
      </c>
      <c r="N102" s="16">
        <v>1</v>
      </c>
      <c r="O102" s="17">
        <v>23538</v>
      </c>
      <c r="P102" s="17">
        <v>23538</v>
      </c>
      <c r="Q102" s="17">
        <f t="shared" si="2"/>
        <v>0</v>
      </c>
      <c r="R102" s="22"/>
      <c r="S102" s="22"/>
      <c r="T102" s="22"/>
    </row>
    <row r="103" spans="1:20" ht="53.25" customHeight="1" x14ac:dyDescent="0.2">
      <c r="A103" s="21">
        <v>98</v>
      </c>
      <c r="B103" s="289" t="s">
        <v>2957</v>
      </c>
      <c r="C103" s="289" t="s">
        <v>5274</v>
      </c>
      <c r="D103" s="27" t="s">
        <v>5060</v>
      </c>
      <c r="E103" s="15">
        <v>39713</v>
      </c>
      <c r="F103" s="26" t="s">
        <v>6583</v>
      </c>
      <c r="G103" s="285" t="s">
        <v>2074</v>
      </c>
      <c r="H103" s="285" t="s">
        <v>5127</v>
      </c>
      <c r="I103" s="289"/>
      <c r="J103" s="22" t="s">
        <v>3136</v>
      </c>
      <c r="K103" s="15">
        <v>39619</v>
      </c>
      <c r="L103" s="289">
        <v>504</v>
      </c>
      <c r="M103" s="289" t="s">
        <v>2450</v>
      </c>
      <c r="N103" s="24">
        <v>1</v>
      </c>
      <c r="O103" s="24">
        <v>92093.1</v>
      </c>
      <c r="P103" s="17">
        <v>92093.1</v>
      </c>
      <c r="Q103" s="17">
        <f t="shared" si="2"/>
        <v>0</v>
      </c>
      <c r="R103" s="22"/>
      <c r="S103" s="22"/>
      <c r="T103" s="22"/>
    </row>
    <row r="104" spans="1:20" ht="53.25" customHeight="1" x14ac:dyDescent="0.2">
      <c r="A104" s="21">
        <v>99</v>
      </c>
      <c r="B104" s="289" t="s">
        <v>2958</v>
      </c>
      <c r="C104" s="289"/>
      <c r="D104" s="27" t="s">
        <v>1729</v>
      </c>
      <c r="E104" s="15">
        <v>39713</v>
      </c>
      <c r="F104" s="76" t="s">
        <v>6584</v>
      </c>
      <c r="G104" s="285" t="s">
        <v>2074</v>
      </c>
      <c r="H104" s="285" t="s">
        <v>5127</v>
      </c>
      <c r="I104" s="289"/>
      <c r="J104" s="22" t="s">
        <v>3136</v>
      </c>
      <c r="K104" s="15">
        <v>39619</v>
      </c>
      <c r="L104" s="289">
        <v>504</v>
      </c>
      <c r="M104" s="289" t="s">
        <v>2450</v>
      </c>
      <c r="N104" s="24">
        <v>1</v>
      </c>
      <c r="O104" s="285">
        <v>17102.919999999998</v>
      </c>
      <c r="P104" s="17">
        <v>17102.919999999998</v>
      </c>
      <c r="Q104" s="17">
        <f t="shared" ref="Q104:Q132" si="3">O104-P104</f>
        <v>0</v>
      </c>
      <c r="R104" s="22"/>
      <c r="S104" s="22"/>
      <c r="T104" s="22"/>
    </row>
    <row r="105" spans="1:20" ht="45" customHeight="1" x14ac:dyDescent="0.2">
      <c r="A105" s="21">
        <v>100</v>
      </c>
      <c r="B105" s="289" t="s">
        <v>445</v>
      </c>
      <c r="C105" s="289"/>
      <c r="D105" s="27" t="s">
        <v>1051</v>
      </c>
      <c r="E105" s="14" t="s">
        <v>5061</v>
      </c>
      <c r="F105" s="26" t="s">
        <v>6585</v>
      </c>
      <c r="G105" s="285" t="s">
        <v>2074</v>
      </c>
      <c r="H105" s="285" t="s">
        <v>5127</v>
      </c>
      <c r="I105" s="289"/>
      <c r="J105" s="22" t="s">
        <v>3136</v>
      </c>
      <c r="K105" s="15">
        <v>39619</v>
      </c>
      <c r="L105" s="289">
        <v>504</v>
      </c>
      <c r="M105" s="289" t="s">
        <v>2450</v>
      </c>
      <c r="N105" s="24">
        <v>1</v>
      </c>
      <c r="O105" s="17">
        <v>11841.3</v>
      </c>
      <c r="P105" s="17">
        <v>11841.3</v>
      </c>
      <c r="Q105" s="17">
        <f t="shared" si="3"/>
        <v>0</v>
      </c>
      <c r="R105" s="22"/>
      <c r="S105" s="22"/>
      <c r="T105" s="22"/>
    </row>
    <row r="106" spans="1:20" ht="45.75" customHeight="1" x14ac:dyDescent="0.2">
      <c r="A106" s="21">
        <v>101</v>
      </c>
      <c r="B106" s="289" t="s">
        <v>446</v>
      </c>
      <c r="C106" s="289"/>
      <c r="D106" s="27" t="s">
        <v>2756</v>
      </c>
      <c r="E106" s="15" t="s">
        <v>2757</v>
      </c>
      <c r="F106" s="26" t="s">
        <v>2286</v>
      </c>
      <c r="G106" s="285" t="s">
        <v>4877</v>
      </c>
      <c r="H106" s="285" t="s">
        <v>3793</v>
      </c>
      <c r="I106" s="289"/>
      <c r="J106" s="22" t="s">
        <v>3136</v>
      </c>
      <c r="K106" s="15">
        <v>39645</v>
      </c>
      <c r="L106" s="289">
        <v>569</v>
      </c>
      <c r="M106" s="15">
        <v>39995</v>
      </c>
      <c r="N106" s="16">
        <v>14</v>
      </c>
      <c r="O106" s="17">
        <v>29400</v>
      </c>
      <c r="P106" s="17">
        <v>29400</v>
      </c>
      <c r="Q106" s="17">
        <f t="shared" si="3"/>
        <v>0</v>
      </c>
      <c r="R106" s="22" t="s">
        <v>458</v>
      </c>
      <c r="S106" s="22" t="s">
        <v>2180</v>
      </c>
      <c r="T106" s="22" t="s">
        <v>1197</v>
      </c>
    </row>
    <row r="107" spans="1:20" ht="40.5" customHeight="1" x14ac:dyDescent="0.2">
      <c r="A107" s="21">
        <v>102</v>
      </c>
      <c r="B107" s="289" t="s">
        <v>1139</v>
      </c>
      <c r="C107" s="18"/>
      <c r="D107" s="27" t="s">
        <v>2756</v>
      </c>
      <c r="E107" s="285">
        <v>2008</v>
      </c>
      <c r="F107" s="26" t="s">
        <v>3156</v>
      </c>
      <c r="G107" s="285" t="s">
        <v>4877</v>
      </c>
      <c r="H107" s="285" t="s">
        <v>3793</v>
      </c>
      <c r="I107" s="289"/>
      <c r="J107" s="22" t="s">
        <v>3686</v>
      </c>
      <c r="K107" s="15">
        <v>39673</v>
      </c>
      <c r="L107" s="289">
        <v>635</v>
      </c>
      <c r="M107" s="15">
        <v>39995</v>
      </c>
      <c r="N107" s="16">
        <f>5-2</f>
        <v>3</v>
      </c>
      <c r="O107" s="17">
        <f>13376-5350.4</f>
        <v>8025.6</v>
      </c>
      <c r="P107" s="17">
        <f>13376-5350.4</f>
        <v>8025.6</v>
      </c>
      <c r="Q107" s="17">
        <f t="shared" si="3"/>
        <v>0</v>
      </c>
      <c r="R107" s="22" t="s">
        <v>458</v>
      </c>
      <c r="S107" s="22" t="s">
        <v>460</v>
      </c>
      <c r="T107" s="22" t="s">
        <v>459</v>
      </c>
    </row>
    <row r="108" spans="1:20" ht="75.75" customHeight="1" x14ac:dyDescent="0.2">
      <c r="A108" s="21">
        <v>103</v>
      </c>
      <c r="B108" s="289" t="s">
        <v>1140</v>
      </c>
      <c r="C108" s="289"/>
      <c r="D108" s="27" t="s">
        <v>7476</v>
      </c>
      <c r="E108" s="15">
        <v>39661</v>
      </c>
      <c r="F108" s="13" t="s">
        <v>3934</v>
      </c>
      <c r="G108" s="285" t="s">
        <v>4877</v>
      </c>
      <c r="H108" s="285" t="s">
        <v>3793</v>
      </c>
      <c r="I108" s="289"/>
      <c r="J108" s="22" t="s">
        <v>3136</v>
      </c>
      <c r="K108" s="15">
        <v>39710</v>
      </c>
      <c r="L108" s="289">
        <v>721</v>
      </c>
      <c r="M108" s="15">
        <v>39995</v>
      </c>
      <c r="N108" s="16">
        <v>10</v>
      </c>
      <c r="O108" s="17">
        <v>26752</v>
      </c>
      <c r="P108" s="17">
        <v>26752</v>
      </c>
      <c r="Q108" s="17">
        <f t="shared" si="3"/>
        <v>0</v>
      </c>
      <c r="R108" s="22" t="s">
        <v>458</v>
      </c>
      <c r="S108" s="22" t="s">
        <v>4449</v>
      </c>
      <c r="T108" s="22" t="s">
        <v>5610</v>
      </c>
    </row>
    <row r="109" spans="1:20" ht="60" customHeight="1" x14ac:dyDescent="0.2">
      <c r="A109" s="21">
        <v>104</v>
      </c>
      <c r="B109" s="289" t="s">
        <v>1141</v>
      </c>
      <c r="C109" s="289"/>
      <c r="D109" s="9" t="s">
        <v>3411</v>
      </c>
      <c r="E109" s="15"/>
      <c r="F109" s="13" t="s">
        <v>6685</v>
      </c>
      <c r="G109" s="285" t="s">
        <v>4946</v>
      </c>
      <c r="H109" s="285" t="s">
        <v>5127</v>
      </c>
      <c r="I109" s="289"/>
      <c r="J109" s="285" t="s">
        <v>3136</v>
      </c>
      <c r="K109" s="15">
        <v>42156</v>
      </c>
      <c r="L109" s="289">
        <v>449</v>
      </c>
      <c r="M109" s="15">
        <v>40360</v>
      </c>
      <c r="N109" s="16">
        <v>1</v>
      </c>
      <c r="O109" s="17">
        <v>11300</v>
      </c>
      <c r="P109" s="17">
        <v>11300</v>
      </c>
      <c r="Q109" s="17">
        <f t="shared" si="3"/>
        <v>0</v>
      </c>
      <c r="R109" s="285"/>
      <c r="S109" s="22"/>
      <c r="T109" s="22"/>
    </row>
    <row r="110" spans="1:20" ht="63.75" customHeight="1" x14ac:dyDescent="0.2">
      <c r="A110" s="21">
        <v>105</v>
      </c>
      <c r="B110" s="289" t="s">
        <v>1142</v>
      </c>
      <c r="C110" s="289"/>
      <c r="D110" s="9" t="s">
        <v>964</v>
      </c>
      <c r="E110" s="15"/>
      <c r="F110" s="9" t="s">
        <v>6686</v>
      </c>
      <c r="G110" s="285" t="s">
        <v>4946</v>
      </c>
      <c r="H110" s="285" t="s">
        <v>5127</v>
      </c>
      <c r="I110" s="289"/>
      <c r="J110" s="22" t="s">
        <v>3132</v>
      </c>
      <c r="K110" s="15">
        <v>40403</v>
      </c>
      <c r="L110" s="289" t="s">
        <v>2320</v>
      </c>
      <c r="M110" s="15">
        <v>41183</v>
      </c>
      <c r="N110" s="16">
        <v>1</v>
      </c>
      <c r="O110" s="17">
        <v>37000</v>
      </c>
      <c r="P110" s="17">
        <v>37000</v>
      </c>
      <c r="Q110" s="17">
        <f t="shared" si="3"/>
        <v>0</v>
      </c>
      <c r="R110" s="285"/>
      <c r="S110" s="22"/>
      <c r="T110" s="22"/>
    </row>
    <row r="111" spans="1:20" ht="55.5" customHeight="1" x14ac:dyDescent="0.2">
      <c r="A111" s="21">
        <v>107</v>
      </c>
      <c r="B111" s="289" t="s">
        <v>1143</v>
      </c>
      <c r="C111" s="289"/>
      <c r="D111" s="9" t="s">
        <v>5843</v>
      </c>
      <c r="E111" s="15">
        <v>39706</v>
      </c>
      <c r="F111" s="26" t="s">
        <v>6687</v>
      </c>
      <c r="G111" s="285" t="s">
        <v>4946</v>
      </c>
      <c r="H111" s="285" t="s">
        <v>5127</v>
      </c>
      <c r="I111" s="289"/>
      <c r="J111" s="285" t="s">
        <v>3136</v>
      </c>
      <c r="K111" s="15">
        <v>42156</v>
      </c>
      <c r="L111" s="289">
        <v>449</v>
      </c>
      <c r="M111" s="15">
        <v>41214</v>
      </c>
      <c r="N111" s="16">
        <v>1</v>
      </c>
      <c r="O111" s="17">
        <v>283000</v>
      </c>
      <c r="P111" s="17">
        <v>283000</v>
      </c>
      <c r="Q111" s="17">
        <f t="shared" si="3"/>
        <v>0</v>
      </c>
      <c r="R111" s="285"/>
      <c r="S111" s="22"/>
      <c r="T111" s="22"/>
    </row>
    <row r="112" spans="1:20" ht="52.5" customHeight="1" x14ac:dyDescent="0.2">
      <c r="A112" s="21">
        <v>108</v>
      </c>
      <c r="B112" s="289" t="s">
        <v>1144</v>
      </c>
      <c r="D112" s="9" t="s">
        <v>2791</v>
      </c>
      <c r="E112" s="15">
        <v>39716</v>
      </c>
      <c r="F112" s="26" t="s">
        <v>6688</v>
      </c>
      <c r="G112" s="285" t="s">
        <v>4946</v>
      </c>
      <c r="H112" s="285" t="s">
        <v>5127</v>
      </c>
      <c r="I112" s="289"/>
      <c r="J112" s="285" t="s">
        <v>3136</v>
      </c>
      <c r="K112" s="15">
        <v>42156</v>
      </c>
      <c r="L112" s="289">
        <v>449</v>
      </c>
      <c r="M112" s="15">
        <v>40360</v>
      </c>
      <c r="N112" s="16">
        <v>1</v>
      </c>
      <c r="O112" s="17">
        <v>11292</v>
      </c>
      <c r="P112" s="17">
        <v>11292</v>
      </c>
      <c r="Q112" s="17">
        <f t="shared" si="3"/>
        <v>0</v>
      </c>
      <c r="R112" s="285"/>
      <c r="S112" s="22"/>
      <c r="T112" s="22"/>
    </row>
    <row r="113" spans="1:20" ht="49.5" customHeight="1" x14ac:dyDescent="0.2">
      <c r="A113" s="21">
        <v>109</v>
      </c>
      <c r="B113" s="289" t="s">
        <v>1145</v>
      </c>
      <c r="C113" s="289"/>
      <c r="D113" s="9" t="s">
        <v>1874</v>
      </c>
      <c r="E113" s="15">
        <v>39716</v>
      </c>
      <c r="F113" s="26" t="s">
        <v>6689</v>
      </c>
      <c r="G113" s="285" t="s">
        <v>4946</v>
      </c>
      <c r="H113" s="285" t="s">
        <v>5127</v>
      </c>
      <c r="I113" s="289"/>
      <c r="J113" s="285" t="s">
        <v>3136</v>
      </c>
      <c r="K113" s="15">
        <v>42156</v>
      </c>
      <c r="L113" s="289">
        <v>449</v>
      </c>
      <c r="M113" s="15">
        <v>40360</v>
      </c>
      <c r="N113" s="16">
        <v>1</v>
      </c>
      <c r="O113" s="17">
        <v>18350</v>
      </c>
      <c r="P113" s="17">
        <v>18350</v>
      </c>
      <c r="Q113" s="17">
        <f t="shared" si="3"/>
        <v>0</v>
      </c>
      <c r="R113" s="285"/>
      <c r="S113" s="22"/>
      <c r="T113" s="22"/>
    </row>
    <row r="114" spans="1:20" ht="53.25" customHeight="1" x14ac:dyDescent="0.2">
      <c r="A114" s="21">
        <v>110</v>
      </c>
      <c r="B114" s="289" t="s">
        <v>1146</v>
      </c>
      <c r="C114" s="289"/>
      <c r="D114" s="9" t="s">
        <v>571</v>
      </c>
      <c r="E114" s="15"/>
      <c r="F114" s="26" t="s">
        <v>6690</v>
      </c>
      <c r="G114" s="285" t="s">
        <v>4946</v>
      </c>
      <c r="H114" s="285" t="s">
        <v>5127</v>
      </c>
      <c r="I114" s="289"/>
      <c r="J114" s="285" t="s">
        <v>3136</v>
      </c>
      <c r="K114" s="15">
        <v>42156</v>
      </c>
      <c r="L114" s="289">
        <v>449</v>
      </c>
      <c r="M114" s="15">
        <v>41214</v>
      </c>
      <c r="N114" s="16">
        <v>1</v>
      </c>
      <c r="O114" s="17">
        <v>20128</v>
      </c>
      <c r="P114" s="17">
        <v>20128</v>
      </c>
      <c r="Q114" s="17">
        <f t="shared" si="3"/>
        <v>0</v>
      </c>
      <c r="R114" s="285"/>
      <c r="S114" s="22"/>
      <c r="T114" s="22"/>
    </row>
    <row r="115" spans="1:20" ht="62.25" customHeight="1" x14ac:dyDescent="0.2">
      <c r="A115" s="21">
        <v>111</v>
      </c>
      <c r="B115" s="289" t="s">
        <v>1147</v>
      </c>
      <c r="C115" s="289"/>
      <c r="D115" s="27" t="s">
        <v>1297</v>
      </c>
      <c r="E115" s="12" t="s">
        <v>5025</v>
      </c>
      <c r="F115" s="25" t="s">
        <v>868</v>
      </c>
      <c r="G115" s="285" t="s">
        <v>4296</v>
      </c>
      <c r="H115" s="285" t="s">
        <v>3793</v>
      </c>
      <c r="I115" s="289"/>
      <c r="J115" s="22" t="s">
        <v>3686</v>
      </c>
      <c r="K115" s="14">
        <v>42003</v>
      </c>
      <c r="L115" s="289">
        <v>1239</v>
      </c>
      <c r="M115" s="15">
        <v>40834</v>
      </c>
      <c r="N115" s="16">
        <v>1</v>
      </c>
      <c r="O115" s="17">
        <v>2880</v>
      </c>
      <c r="P115" s="17">
        <v>2880</v>
      </c>
      <c r="Q115" s="17">
        <f t="shared" si="3"/>
        <v>0</v>
      </c>
      <c r="R115" s="285"/>
      <c r="S115" s="15"/>
      <c r="T115" s="14"/>
    </row>
    <row r="116" spans="1:20" ht="57.75" customHeight="1" x14ac:dyDescent="0.2">
      <c r="A116" s="21">
        <v>112</v>
      </c>
      <c r="B116" s="289" t="s">
        <v>1148</v>
      </c>
      <c r="C116" s="289"/>
      <c r="D116" s="27" t="s">
        <v>1297</v>
      </c>
      <c r="E116" s="12" t="s">
        <v>5025</v>
      </c>
      <c r="F116" s="25" t="s">
        <v>3046</v>
      </c>
      <c r="G116" s="285" t="s">
        <v>4296</v>
      </c>
      <c r="H116" s="285" t="s">
        <v>3793</v>
      </c>
      <c r="I116" s="289"/>
      <c r="J116" s="22" t="s">
        <v>3686</v>
      </c>
      <c r="K116" s="14">
        <v>42003</v>
      </c>
      <c r="L116" s="289">
        <v>1239</v>
      </c>
      <c r="M116" s="15">
        <v>40834</v>
      </c>
      <c r="N116" s="16">
        <v>1</v>
      </c>
      <c r="O116" s="17">
        <v>2880</v>
      </c>
      <c r="P116" s="17">
        <v>2880</v>
      </c>
      <c r="Q116" s="17">
        <f t="shared" si="3"/>
        <v>0</v>
      </c>
      <c r="R116" s="285"/>
      <c r="S116" s="15"/>
      <c r="T116" s="14"/>
    </row>
    <row r="117" spans="1:20" ht="53.25" customHeight="1" x14ac:dyDescent="0.2">
      <c r="A117" s="21">
        <v>113</v>
      </c>
      <c r="B117" s="289" t="s">
        <v>1149</v>
      </c>
      <c r="C117" s="289"/>
      <c r="D117" s="27" t="s">
        <v>2851</v>
      </c>
      <c r="E117" s="12" t="s">
        <v>5026</v>
      </c>
      <c r="F117" s="25" t="s">
        <v>392</v>
      </c>
      <c r="G117" s="285" t="s">
        <v>4296</v>
      </c>
      <c r="H117" s="285" t="s">
        <v>3793</v>
      </c>
      <c r="I117" s="289"/>
      <c r="J117" s="22" t="s">
        <v>3686</v>
      </c>
      <c r="K117" s="14">
        <v>42003</v>
      </c>
      <c r="L117" s="289">
        <v>1239</v>
      </c>
      <c r="M117" s="15">
        <v>40834</v>
      </c>
      <c r="N117" s="16">
        <v>1</v>
      </c>
      <c r="O117" s="17">
        <v>1080</v>
      </c>
      <c r="P117" s="17">
        <v>1080</v>
      </c>
      <c r="Q117" s="17">
        <f t="shared" si="3"/>
        <v>0</v>
      </c>
      <c r="R117" s="285"/>
      <c r="S117" s="15"/>
      <c r="T117" s="14"/>
    </row>
    <row r="118" spans="1:20" ht="54" customHeight="1" x14ac:dyDescent="0.2">
      <c r="A118" s="21">
        <v>114</v>
      </c>
      <c r="B118" s="289" t="s">
        <v>5930</v>
      </c>
      <c r="C118" s="289"/>
      <c r="D118" s="27" t="s">
        <v>1296</v>
      </c>
      <c r="E118" s="15"/>
      <c r="F118" s="25" t="s">
        <v>867</v>
      </c>
      <c r="G118" s="285" t="s">
        <v>4296</v>
      </c>
      <c r="H118" s="285" t="s">
        <v>3793</v>
      </c>
      <c r="I118" s="289"/>
      <c r="J118" s="22" t="s">
        <v>3686</v>
      </c>
      <c r="K118" s="14">
        <v>42003</v>
      </c>
      <c r="L118" s="289">
        <v>1239</v>
      </c>
      <c r="M118" s="15">
        <v>40834</v>
      </c>
      <c r="N118" s="16">
        <v>1</v>
      </c>
      <c r="O118" s="17">
        <v>1935</v>
      </c>
      <c r="P118" s="17">
        <v>1935</v>
      </c>
      <c r="Q118" s="17">
        <f t="shared" si="3"/>
        <v>0</v>
      </c>
      <c r="R118" s="289"/>
      <c r="S118" s="289"/>
      <c r="T118" s="285"/>
    </row>
    <row r="119" spans="1:20" ht="54.75" customHeight="1" x14ac:dyDescent="0.2">
      <c r="A119" s="21">
        <v>115</v>
      </c>
      <c r="B119" s="289" t="s">
        <v>5931</v>
      </c>
      <c r="C119" s="289"/>
      <c r="D119" s="27" t="s">
        <v>1297</v>
      </c>
      <c r="E119" s="15"/>
      <c r="F119" s="25" t="s">
        <v>3748</v>
      </c>
      <c r="G119" s="285" t="s">
        <v>4296</v>
      </c>
      <c r="H119" s="285" t="s">
        <v>3793</v>
      </c>
      <c r="I119" s="289"/>
      <c r="J119" s="22" t="s">
        <v>3686</v>
      </c>
      <c r="K119" s="14">
        <v>42003</v>
      </c>
      <c r="L119" s="289">
        <v>1239</v>
      </c>
      <c r="M119" s="15">
        <v>40834</v>
      </c>
      <c r="N119" s="16">
        <v>1</v>
      </c>
      <c r="O119" s="17">
        <v>1935</v>
      </c>
      <c r="P119" s="17">
        <v>1935</v>
      </c>
      <c r="Q119" s="17">
        <f t="shared" si="3"/>
        <v>0</v>
      </c>
      <c r="R119" s="289"/>
      <c r="S119" s="289"/>
      <c r="T119" s="285"/>
    </row>
    <row r="120" spans="1:20" ht="57.75" customHeight="1" x14ac:dyDescent="0.2">
      <c r="A120" s="21">
        <v>116</v>
      </c>
      <c r="B120" s="289" t="s">
        <v>5932</v>
      </c>
      <c r="C120" s="289"/>
      <c r="D120" s="27" t="s">
        <v>2154</v>
      </c>
      <c r="E120" s="15"/>
      <c r="F120" s="25" t="s">
        <v>4764</v>
      </c>
      <c r="G120" s="285" t="s">
        <v>4296</v>
      </c>
      <c r="H120" s="285" t="s">
        <v>3793</v>
      </c>
      <c r="I120" s="289"/>
      <c r="J120" s="22" t="s">
        <v>3686</v>
      </c>
      <c r="K120" s="14">
        <v>42003</v>
      </c>
      <c r="L120" s="289">
        <v>1239</v>
      </c>
      <c r="M120" s="15">
        <v>40834</v>
      </c>
      <c r="N120" s="16">
        <v>1</v>
      </c>
      <c r="O120" s="17">
        <v>1935</v>
      </c>
      <c r="P120" s="17">
        <v>1935</v>
      </c>
      <c r="Q120" s="17">
        <f t="shared" si="3"/>
        <v>0</v>
      </c>
      <c r="R120" s="289"/>
      <c r="S120" s="289"/>
      <c r="T120" s="285"/>
    </row>
    <row r="121" spans="1:20" ht="41.25" customHeight="1" x14ac:dyDescent="0.2">
      <c r="A121" s="21">
        <v>117</v>
      </c>
      <c r="B121" s="289" t="s">
        <v>5933</v>
      </c>
      <c r="C121" s="289"/>
      <c r="D121" s="27" t="s">
        <v>2155</v>
      </c>
      <c r="E121" s="15"/>
      <c r="F121" s="25" t="s">
        <v>1769</v>
      </c>
      <c r="G121" s="285" t="s">
        <v>4296</v>
      </c>
      <c r="H121" s="285" t="s">
        <v>3793</v>
      </c>
      <c r="I121" s="289"/>
      <c r="J121" s="22" t="s">
        <v>3686</v>
      </c>
      <c r="K121" s="14">
        <v>42003</v>
      </c>
      <c r="L121" s="289">
        <v>1239</v>
      </c>
      <c r="M121" s="15">
        <v>40834</v>
      </c>
      <c r="N121" s="16">
        <v>1</v>
      </c>
      <c r="O121" s="17">
        <v>1935</v>
      </c>
      <c r="P121" s="17">
        <v>1935</v>
      </c>
      <c r="Q121" s="17">
        <f t="shared" si="3"/>
        <v>0</v>
      </c>
      <c r="R121" s="289"/>
      <c r="S121" s="289"/>
      <c r="T121" s="285"/>
    </row>
    <row r="122" spans="1:20" ht="34.5" customHeight="1" x14ac:dyDescent="0.2">
      <c r="A122" s="21">
        <v>118</v>
      </c>
      <c r="B122" s="289" t="s">
        <v>5934</v>
      </c>
      <c r="C122" s="289"/>
      <c r="D122" s="27" t="s">
        <v>1297</v>
      </c>
      <c r="E122" s="15"/>
      <c r="F122" s="25" t="s">
        <v>4301</v>
      </c>
      <c r="G122" s="285" t="s">
        <v>4296</v>
      </c>
      <c r="H122" s="285" t="s">
        <v>3793</v>
      </c>
      <c r="I122" s="289"/>
      <c r="J122" s="22" t="s">
        <v>3686</v>
      </c>
      <c r="K122" s="14">
        <v>42003</v>
      </c>
      <c r="L122" s="289">
        <v>1239</v>
      </c>
      <c r="M122" s="15">
        <v>40834</v>
      </c>
      <c r="N122" s="16">
        <v>1</v>
      </c>
      <c r="O122" s="17">
        <v>1935</v>
      </c>
      <c r="P122" s="17">
        <v>1935</v>
      </c>
      <c r="Q122" s="17">
        <f t="shared" si="3"/>
        <v>0</v>
      </c>
      <c r="R122" s="289"/>
      <c r="S122" s="289"/>
      <c r="T122" s="285"/>
    </row>
    <row r="123" spans="1:20" ht="35.25" customHeight="1" x14ac:dyDescent="0.2">
      <c r="A123" s="21">
        <v>119</v>
      </c>
      <c r="B123" s="289" t="s">
        <v>5935</v>
      </c>
      <c r="C123" s="289"/>
      <c r="D123" s="27" t="s">
        <v>1297</v>
      </c>
      <c r="E123" s="15"/>
      <c r="F123" s="25" t="s">
        <v>1150</v>
      </c>
      <c r="G123" s="285" t="s">
        <v>4296</v>
      </c>
      <c r="H123" s="285" t="s">
        <v>3793</v>
      </c>
      <c r="I123" s="289"/>
      <c r="J123" s="22" t="s">
        <v>3686</v>
      </c>
      <c r="K123" s="14">
        <v>42003</v>
      </c>
      <c r="L123" s="289">
        <v>1239</v>
      </c>
      <c r="M123" s="15">
        <v>40834</v>
      </c>
      <c r="N123" s="16">
        <v>1</v>
      </c>
      <c r="O123" s="17">
        <v>1935</v>
      </c>
      <c r="P123" s="17">
        <v>1935</v>
      </c>
      <c r="Q123" s="17">
        <f t="shared" si="3"/>
        <v>0</v>
      </c>
      <c r="R123" s="289"/>
      <c r="S123" s="289"/>
      <c r="T123" s="285"/>
    </row>
    <row r="124" spans="1:20" ht="39" customHeight="1" x14ac:dyDescent="0.2">
      <c r="A124" s="21">
        <v>120</v>
      </c>
      <c r="B124" s="289" t="s">
        <v>5936</v>
      </c>
      <c r="C124" s="289"/>
      <c r="D124" s="27" t="s">
        <v>1297</v>
      </c>
      <c r="E124" s="15"/>
      <c r="F124" s="25" t="s">
        <v>3137</v>
      </c>
      <c r="G124" s="285" t="s">
        <v>4296</v>
      </c>
      <c r="H124" s="285" t="s">
        <v>3793</v>
      </c>
      <c r="I124" s="289"/>
      <c r="J124" s="22" t="s">
        <v>3686</v>
      </c>
      <c r="K124" s="14">
        <v>42003</v>
      </c>
      <c r="L124" s="289">
        <v>1239</v>
      </c>
      <c r="M124" s="15">
        <v>40834</v>
      </c>
      <c r="N124" s="16">
        <v>1</v>
      </c>
      <c r="O124" s="17">
        <v>1935</v>
      </c>
      <c r="P124" s="17">
        <v>1935</v>
      </c>
      <c r="Q124" s="17">
        <f t="shared" si="3"/>
        <v>0</v>
      </c>
      <c r="R124" s="289"/>
      <c r="S124" s="289"/>
      <c r="T124" s="285"/>
    </row>
    <row r="125" spans="1:20" ht="42" customHeight="1" x14ac:dyDescent="0.2">
      <c r="A125" s="21">
        <v>121</v>
      </c>
      <c r="B125" s="289" t="s">
        <v>5937</v>
      </c>
      <c r="C125" s="289"/>
      <c r="D125" s="27" t="s">
        <v>1297</v>
      </c>
      <c r="E125" s="15"/>
      <c r="F125" s="25" t="s">
        <v>3138</v>
      </c>
      <c r="G125" s="285" t="s">
        <v>4296</v>
      </c>
      <c r="H125" s="285" t="s">
        <v>3793</v>
      </c>
      <c r="I125" s="289"/>
      <c r="J125" s="22" t="s">
        <v>3686</v>
      </c>
      <c r="K125" s="14">
        <v>42003</v>
      </c>
      <c r="L125" s="289">
        <v>1239</v>
      </c>
      <c r="M125" s="15">
        <v>40834</v>
      </c>
      <c r="N125" s="16">
        <v>1</v>
      </c>
      <c r="O125" s="17">
        <v>1935</v>
      </c>
      <c r="P125" s="17">
        <v>1935</v>
      </c>
      <c r="Q125" s="17">
        <f t="shared" si="3"/>
        <v>0</v>
      </c>
      <c r="R125" s="289"/>
      <c r="S125" s="289"/>
      <c r="T125" s="285"/>
    </row>
    <row r="126" spans="1:20" ht="38.25" customHeight="1" x14ac:dyDescent="0.2">
      <c r="A126" s="21">
        <v>122</v>
      </c>
      <c r="B126" s="289" t="s">
        <v>5938</v>
      </c>
      <c r="C126" s="289"/>
      <c r="D126" s="27" t="s">
        <v>1297</v>
      </c>
      <c r="E126" s="15"/>
      <c r="F126" s="25" t="s">
        <v>5176</v>
      </c>
      <c r="G126" s="285" t="s">
        <v>4296</v>
      </c>
      <c r="H126" s="285" t="s">
        <v>3793</v>
      </c>
      <c r="I126" s="289"/>
      <c r="J126" s="22" t="s">
        <v>3686</v>
      </c>
      <c r="K126" s="14">
        <v>42003</v>
      </c>
      <c r="L126" s="289">
        <v>1239</v>
      </c>
      <c r="M126" s="15">
        <v>40834</v>
      </c>
      <c r="N126" s="16">
        <v>1</v>
      </c>
      <c r="O126" s="17">
        <v>1962</v>
      </c>
      <c r="P126" s="17">
        <v>1962</v>
      </c>
      <c r="Q126" s="17">
        <f t="shared" si="3"/>
        <v>0</v>
      </c>
      <c r="R126" s="289"/>
      <c r="S126" s="289"/>
      <c r="T126" s="285"/>
    </row>
    <row r="127" spans="1:20" ht="41.25" customHeight="1" x14ac:dyDescent="0.2">
      <c r="A127" s="21">
        <v>123</v>
      </c>
      <c r="B127" s="289" t="s">
        <v>5939</v>
      </c>
      <c r="C127" s="289"/>
      <c r="D127" s="27" t="s">
        <v>4099</v>
      </c>
      <c r="E127" s="12" t="s">
        <v>3977</v>
      </c>
      <c r="F127" s="25" t="s">
        <v>1664</v>
      </c>
      <c r="G127" s="285" t="s">
        <v>4296</v>
      </c>
      <c r="H127" s="285" t="s">
        <v>3793</v>
      </c>
      <c r="I127" s="289"/>
      <c r="J127" s="22" t="s">
        <v>3686</v>
      </c>
      <c r="K127" s="14">
        <v>42003</v>
      </c>
      <c r="L127" s="289">
        <v>1239</v>
      </c>
      <c r="M127" s="15">
        <v>40834</v>
      </c>
      <c r="N127" s="16">
        <v>1</v>
      </c>
      <c r="O127" s="17">
        <v>11400</v>
      </c>
      <c r="P127" s="17">
        <v>11400</v>
      </c>
      <c r="Q127" s="17">
        <f t="shared" si="3"/>
        <v>0</v>
      </c>
      <c r="R127" s="289" t="s">
        <v>5071</v>
      </c>
      <c r="S127" s="289"/>
      <c r="T127" s="285"/>
    </row>
    <row r="128" spans="1:20" ht="46.5" customHeight="1" x14ac:dyDescent="0.2">
      <c r="A128" s="21">
        <v>124</v>
      </c>
      <c r="B128" s="289" t="s">
        <v>5940</v>
      </c>
      <c r="C128" s="289"/>
      <c r="D128" s="27" t="s">
        <v>4099</v>
      </c>
      <c r="E128" s="12" t="s">
        <v>3977</v>
      </c>
      <c r="F128" s="25" t="s">
        <v>1665</v>
      </c>
      <c r="G128" s="285" t="s">
        <v>4296</v>
      </c>
      <c r="H128" s="285" t="s">
        <v>3793</v>
      </c>
      <c r="I128" s="289"/>
      <c r="J128" s="22" t="s">
        <v>3686</v>
      </c>
      <c r="K128" s="14">
        <v>42003</v>
      </c>
      <c r="L128" s="289">
        <v>1239</v>
      </c>
      <c r="M128" s="15">
        <v>40834</v>
      </c>
      <c r="N128" s="16">
        <v>1</v>
      </c>
      <c r="O128" s="17">
        <v>11400</v>
      </c>
      <c r="P128" s="17">
        <v>11400</v>
      </c>
      <c r="Q128" s="17">
        <f t="shared" si="3"/>
        <v>0</v>
      </c>
      <c r="R128" s="289" t="s">
        <v>5071</v>
      </c>
      <c r="S128" s="289"/>
      <c r="T128" s="285"/>
    </row>
    <row r="129" spans="1:20" ht="40.5" customHeight="1" x14ac:dyDescent="0.2">
      <c r="A129" s="21">
        <v>125</v>
      </c>
      <c r="B129" s="289" t="s">
        <v>4717</v>
      </c>
      <c r="C129" s="289"/>
      <c r="D129" s="27" t="s">
        <v>4099</v>
      </c>
      <c r="E129" s="12" t="s">
        <v>3977</v>
      </c>
      <c r="F129" s="25" t="s">
        <v>985</v>
      </c>
      <c r="G129" s="285" t="s">
        <v>4296</v>
      </c>
      <c r="H129" s="285" t="s">
        <v>3793</v>
      </c>
      <c r="I129" s="289"/>
      <c r="J129" s="22" t="s">
        <v>3686</v>
      </c>
      <c r="K129" s="14">
        <v>42003</v>
      </c>
      <c r="L129" s="289">
        <v>1239</v>
      </c>
      <c r="M129" s="15">
        <v>40422</v>
      </c>
      <c r="N129" s="16">
        <v>1</v>
      </c>
      <c r="O129" s="17">
        <v>11400</v>
      </c>
      <c r="P129" s="17">
        <v>11400</v>
      </c>
      <c r="Q129" s="17">
        <f t="shared" si="3"/>
        <v>0</v>
      </c>
      <c r="R129" s="289" t="s">
        <v>5071</v>
      </c>
      <c r="S129" s="289"/>
      <c r="T129" s="285"/>
    </row>
    <row r="130" spans="1:20" ht="40.5" customHeight="1" x14ac:dyDescent="0.2">
      <c r="A130" s="21">
        <v>126</v>
      </c>
      <c r="B130" s="289" t="s">
        <v>4718</v>
      </c>
      <c r="C130" s="289"/>
      <c r="D130" s="27" t="s">
        <v>3978</v>
      </c>
      <c r="E130" s="12" t="s">
        <v>3976</v>
      </c>
      <c r="F130" s="25" t="s">
        <v>1666</v>
      </c>
      <c r="G130" s="285" t="s">
        <v>4296</v>
      </c>
      <c r="H130" s="285" t="s">
        <v>3793</v>
      </c>
      <c r="I130" s="289"/>
      <c r="J130" s="22" t="s">
        <v>3686</v>
      </c>
      <c r="K130" s="14">
        <v>42003</v>
      </c>
      <c r="L130" s="289">
        <v>1239</v>
      </c>
      <c r="M130" s="15">
        <v>40422</v>
      </c>
      <c r="N130" s="16">
        <v>1</v>
      </c>
      <c r="O130" s="17">
        <v>9600</v>
      </c>
      <c r="P130" s="17">
        <v>9600</v>
      </c>
      <c r="Q130" s="17">
        <f t="shared" si="3"/>
        <v>0</v>
      </c>
      <c r="R130" s="289" t="s">
        <v>5071</v>
      </c>
      <c r="S130" s="289"/>
      <c r="T130" s="285"/>
    </row>
    <row r="131" spans="1:20" ht="39.75" customHeight="1" x14ac:dyDescent="0.2">
      <c r="A131" s="21">
        <v>127</v>
      </c>
      <c r="B131" s="289" t="s">
        <v>1024</v>
      </c>
      <c r="C131" s="289"/>
      <c r="D131" s="27" t="s">
        <v>10</v>
      </c>
      <c r="E131" s="15">
        <v>39920</v>
      </c>
      <c r="F131" s="25" t="s">
        <v>4423</v>
      </c>
      <c r="G131" s="285" t="s">
        <v>7982</v>
      </c>
      <c r="H131" s="285" t="s">
        <v>5127</v>
      </c>
      <c r="I131" s="289"/>
      <c r="J131" s="285" t="s">
        <v>3132</v>
      </c>
      <c r="K131" s="15">
        <v>39920</v>
      </c>
      <c r="L131" s="289" t="s">
        <v>5676</v>
      </c>
      <c r="M131" s="15">
        <v>39920</v>
      </c>
      <c r="N131" s="16">
        <v>1</v>
      </c>
      <c r="O131" s="17">
        <v>5369.79</v>
      </c>
      <c r="P131" s="17">
        <v>5369.79</v>
      </c>
      <c r="Q131" s="17">
        <f t="shared" si="3"/>
        <v>0</v>
      </c>
      <c r="R131" s="289" t="s">
        <v>5071</v>
      </c>
      <c r="S131" s="289"/>
      <c r="T131" s="285"/>
    </row>
    <row r="132" spans="1:20" ht="55.5" customHeight="1" x14ac:dyDescent="0.2">
      <c r="A132" s="21">
        <v>128</v>
      </c>
      <c r="B132" s="289" t="s">
        <v>1280</v>
      </c>
      <c r="C132" s="289"/>
      <c r="D132" s="23" t="s">
        <v>3140</v>
      </c>
      <c r="E132" s="15">
        <v>41000</v>
      </c>
      <c r="F132" s="25" t="s">
        <v>6245</v>
      </c>
      <c r="G132" s="285" t="s">
        <v>2550</v>
      </c>
      <c r="H132" s="285" t="s">
        <v>2614</v>
      </c>
      <c r="I132" s="285" t="s">
        <v>2207</v>
      </c>
      <c r="J132" s="285" t="s">
        <v>1937</v>
      </c>
      <c r="K132" s="285" t="s">
        <v>5051</v>
      </c>
      <c r="L132" s="285" t="s">
        <v>2572</v>
      </c>
      <c r="M132" s="15">
        <v>39995</v>
      </c>
      <c r="N132" s="16">
        <v>1</v>
      </c>
      <c r="O132" s="17">
        <v>200</v>
      </c>
      <c r="P132" s="17">
        <v>200</v>
      </c>
      <c r="Q132" s="17">
        <f t="shared" si="3"/>
        <v>0</v>
      </c>
      <c r="R132" s="285"/>
      <c r="S132" s="289"/>
      <c r="T132" s="285"/>
    </row>
    <row r="133" spans="1:20" ht="59.25" customHeight="1" x14ac:dyDescent="0.2">
      <c r="A133" s="21">
        <v>129</v>
      </c>
      <c r="B133" s="289" t="s">
        <v>1281</v>
      </c>
      <c r="C133" s="289"/>
      <c r="D133" s="23" t="s">
        <v>623</v>
      </c>
      <c r="E133" s="15">
        <v>41000</v>
      </c>
      <c r="F133" s="227" t="s">
        <v>6246</v>
      </c>
      <c r="G133" s="285" t="s">
        <v>2550</v>
      </c>
      <c r="H133" s="285" t="s">
        <v>2614</v>
      </c>
      <c r="I133" s="285" t="s">
        <v>2207</v>
      </c>
      <c r="J133" s="285" t="s">
        <v>1937</v>
      </c>
      <c r="K133" s="285" t="s">
        <v>5051</v>
      </c>
      <c r="L133" s="285" t="s">
        <v>2572</v>
      </c>
      <c r="M133" s="15">
        <v>40360</v>
      </c>
      <c r="N133" s="16">
        <v>1</v>
      </c>
      <c r="O133" s="17">
        <v>8591.5</v>
      </c>
      <c r="P133" s="17">
        <v>8591.5</v>
      </c>
      <c r="Q133" s="17">
        <f t="shared" ref="Q133:Q196" si="4">O133-P133</f>
        <v>0</v>
      </c>
      <c r="R133" s="285"/>
      <c r="S133" s="289"/>
      <c r="T133" s="285"/>
    </row>
    <row r="134" spans="1:20" ht="59.25" customHeight="1" x14ac:dyDescent="0.2">
      <c r="A134" s="21">
        <v>130</v>
      </c>
      <c r="B134" s="289" t="s">
        <v>5538</v>
      </c>
      <c r="C134" s="289"/>
      <c r="D134" s="23" t="s">
        <v>7617</v>
      </c>
      <c r="E134" s="15">
        <v>41000</v>
      </c>
      <c r="F134" s="227" t="s">
        <v>7616</v>
      </c>
      <c r="G134" s="285" t="s">
        <v>7605</v>
      </c>
      <c r="H134" s="285" t="s">
        <v>7613</v>
      </c>
      <c r="I134" s="285"/>
      <c r="J134" s="285" t="s">
        <v>1937</v>
      </c>
      <c r="K134" s="14" t="s">
        <v>7618</v>
      </c>
      <c r="L134" s="285" t="s">
        <v>7619</v>
      </c>
      <c r="M134" s="15">
        <v>40360</v>
      </c>
      <c r="N134" s="16">
        <v>1</v>
      </c>
      <c r="O134" s="17">
        <v>9448.9</v>
      </c>
      <c r="P134" s="17">
        <v>9448.9</v>
      </c>
      <c r="Q134" s="17">
        <f t="shared" si="4"/>
        <v>0</v>
      </c>
      <c r="R134" s="285"/>
      <c r="S134" s="289"/>
      <c r="T134" s="285"/>
    </row>
    <row r="135" spans="1:20" ht="41.25" customHeight="1" x14ac:dyDescent="0.2">
      <c r="A135" s="21">
        <v>131</v>
      </c>
      <c r="B135" s="289" t="s">
        <v>7144</v>
      </c>
      <c r="C135" s="289"/>
      <c r="D135" s="23" t="s">
        <v>623</v>
      </c>
      <c r="E135" s="15">
        <v>41244</v>
      </c>
      <c r="F135" s="25" t="s">
        <v>6244</v>
      </c>
      <c r="G135" s="285" t="s">
        <v>4877</v>
      </c>
      <c r="H135" s="285" t="s">
        <v>3793</v>
      </c>
      <c r="I135" s="285"/>
      <c r="J135" s="285" t="s">
        <v>3136</v>
      </c>
      <c r="K135" s="14">
        <v>42619</v>
      </c>
      <c r="L135" s="285">
        <v>924</v>
      </c>
      <c r="M135" s="15">
        <v>40360</v>
      </c>
      <c r="N135" s="16">
        <v>1</v>
      </c>
      <c r="O135" s="17">
        <v>8713.98</v>
      </c>
      <c r="P135" s="17">
        <v>8713.98</v>
      </c>
      <c r="Q135" s="17">
        <f t="shared" si="4"/>
        <v>0</v>
      </c>
      <c r="R135" s="285"/>
      <c r="S135" s="289"/>
      <c r="T135" s="285"/>
    </row>
    <row r="136" spans="1:20" ht="44.25" customHeight="1" x14ac:dyDescent="0.2">
      <c r="A136" s="21">
        <v>132</v>
      </c>
      <c r="B136" s="289" t="s">
        <v>4719</v>
      </c>
      <c r="C136" s="289"/>
      <c r="D136" s="27" t="s">
        <v>5837</v>
      </c>
      <c r="E136" s="15">
        <v>41244</v>
      </c>
      <c r="F136" s="25"/>
      <c r="G136" s="285" t="s">
        <v>7983</v>
      </c>
      <c r="H136" s="285" t="s">
        <v>5127</v>
      </c>
      <c r="I136" s="289"/>
      <c r="J136" s="285" t="s">
        <v>4992</v>
      </c>
      <c r="K136" s="14" t="s">
        <v>3276</v>
      </c>
      <c r="L136" s="289" t="s">
        <v>5677</v>
      </c>
      <c r="M136" s="15">
        <v>39872</v>
      </c>
      <c r="N136" s="16">
        <v>1</v>
      </c>
      <c r="O136" s="17">
        <v>4136</v>
      </c>
      <c r="P136" s="17">
        <v>4136</v>
      </c>
      <c r="Q136" s="17">
        <f t="shared" si="4"/>
        <v>0</v>
      </c>
      <c r="R136" s="285"/>
      <c r="S136" s="289"/>
      <c r="T136" s="285"/>
    </row>
    <row r="137" spans="1:20" ht="37.5" customHeight="1" x14ac:dyDescent="0.2">
      <c r="A137" s="21">
        <v>133</v>
      </c>
      <c r="B137" s="289" t="s">
        <v>943</v>
      </c>
      <c r="C137" s="289"/>
      <c r="D137" s="27" t="s">
        <v>194</v>
      </c>
      <c r="E137" s="15">
        <v>40544</v>
      </c>
      <c r="F137" s="240"/>
      <c r="G137" s="285" t="s">
        <v>7983</v>
      </c>
      <c r="H137" s="285" t="s">
        <v>5127</v>
      </c>
      <c r="I137" s="289"/>
      <c r="J137" s="285" t="s">
        <v>2571</v>
      </c>
      <c r="K137" s="14" t="s">
        <v>3276</v>
      </c>
      <c r="L137" s="289" t="s">
        <v>4991</v>
      </c>
      <c r="M137" s="15">
        <v>39872</v>
      </c>
      <c r="N137" s="16">
        <v>1</v>
      </c>
      <c r="O137" s="17">
        <v>22648</v>
      </c>
      <c r="P137" s="17">
        <v>22648</v>
      </c>
      <c r="Q137" s="17">
        <f t="shared" si="4"/>
        <v>0</v>
      </c>
      <c r="R137" s="285"/>
      <c r="S137" s="289"/>
      <c r="T137" s="285"/>
    </row>
    <row r="138" spans="1:20" ht="33.75" customHeight="1" x14ac:dyDescent="0.2">
      <c r="A138" s="21">
        <v>134</v>
      </c>
      <c r="B138" s="289" t="s">
        <v>6385</v>
      </c>
      <c r="C138" s="289"/>
      <c r="D138" s="23" t="s">
        <v>623</v>
      </c>
      <c r="E138" s="15">
        <v>40544</v>
      </c>
      <c r="F138" s="26" t="s">
        <v>6242</v>
      </c>
      <c r="G138" s="285" t="s">
        <v>4877</v>
      </c>
      <c r="H138" s="285" t="s">
        <v>3793</v>
      </c>
      <c r="I138" s="285"/>
      <c r="J138" s="285" t="s">
        <v>3136</v>
      </c>
      <c r="K138" s="14">
        <v>42501</v>
      </c>
      <c r="L138" s="285">
        <v>429</v>
      </c>
      <c r="M138" s="15">
        <v>40360</v>
      </c>
      <c r="N138" s="16">
        <v>1</v>
      </c>
      <c r="O138" s="17">
        <v>8027.84</v>
      </c>
      <c r="P138" s="17">
        <v>8027.84</v>
      </c>
      <c r="Q138" s="17">
        <f t="shared" si="4"/>
        <v>0</v>
      </c>
      <c r="R138" s="285"/>
      <c r="S138" s="289"/>
      <c r="T138" s="285"/>
    </row>
    <row r="139" spans="1:20" ht="56.25" customHeight="1" x14ac:dyDescent="0.2">
      <c r="A139" s="21">
        <v>135</v>
      </c>
      <c r="B139" s="289" t="s">
        <v>1282</v>
      </c>
      <c r="C139" s="289"/>
      <c r="D139" s="23" t="s">
        <v>410</v>
      </c>
      <c r="E139" s="15">
        <v>40544</v>
      </c>
      <c r="F139" s="13" t="s">
        <v>6243</v>
      </c>
      <c r="G139" s="285" t="s">
        <v>10465</v>
      </c>
      <c r="H139" s="285" t="s">
        <v>10784</v>
      </c>
      <c r="I139" s="285"/>
      <c r="J139" s="285" t="s">
        <v>10964</v>
      </c>
      <c r="K139" s="285" t="s">
        <v>10965</v>
      </c>
      <c r="L139" s="285" t="s">
        <v>10966</v>
      </c>
      <c r="M139" s="15">
        <v>40360</v>
      </c>
      <c r="N139" s="16">
        <v>1</v>
      </c>
      <c r="O139" s="17">
        <v>6124.29</v>
      </c>
      <c r="P139" s="17">
        <v>5688.83</v>
      </c>
      <c r="Q139" s="17">
        <f t="shared" si="4"/>
        <v>435.46000000000004</v>
      </c>
      <c r="R139" s="285"/>
      <c r="S139" s="289"/>
      <c r="T139" s="285"/>
    </row>
    <row r="140" spans="1:20" ht="38.25" customHeight="1" x14ac:dyDescent="0.2">
      <c r="A140" s="21">
        <v>136</v>
      </c>
      <c r="B140" s="289" t="s">
        <v>5577</v>
      </c>
      <c r="C140" s="289"/>
      <c r="D140" s="27" t="s">
        <v>4993</v>
      </c>
      <c r="E140" s="15">
        <v>40544</v>
      </c>
      <c r="F140" s="26" t="s">
        <v>3605</v>
      </c>
      <c r="G140" s="285" t="s">
        <v>9194</v>
      </c>
      <c r="H140" s="285" t="s">
        <v>5127</v>
      </c>
      <c r="I140" s="289"/>
      <c r="J140" s="285" t="s">
        <v>3132</v>
      </c>
      <c r="K140" s="15">
        <v>40337</v>
      </c>
      <c r="L140" s="289" t="s">
        <v>2318</v>
      </c>
      <c r="M140" s="15">
        <v>39934</v>
      </c>
      <c r="N140" s="16">
        <v>1</v>
      </c>
      <c r="O140" s="17">
        <v>9300</v>
      </c>
      <c r="P140" s="17">
        <v>9300</v>
      </c>
      <c r="Q140" s="17">
        <f t="shared" si="4"/>
        <v>0</v>
      </c>
      <c r="R140" s="285" t="s">
        <v>5071</v>
      </c>
      <c r="S140" s="15">
        <v>39511</v>
      </c>
      <c r="T140" s="285">
        <v>11</v>
      </c>
    </row>
    <row r="141" spans="1:20" ht="53.25" customHeight="1" x14ac:dyDescent="0.2">
      <c r="A141" s="21">
        <v>137</v>
      </c>
      <c r="B141" s="289" t="s">
        <v>1701</v>
      </c>
      <c r="C141" s="289"/>
      <c r="D141" s="23" t="s">
        <v>4679</v>
      </c>
      <c r="E141" s="15">
        <v>41244</v>
      </c>
      <c r="F141" s="26" t="s">
        <v>6247</v>
      </c>
      <c r="G141" s="285" t="s">
        <v>5718</v>
      </c>
      <c r="H141" s="289" t="s">
        <v>2614</v>
      </c>
      <c r="I141" s="285" t="s">
        <v>2207</v>
      </c>
      <c r="J141" s="285" t="s">
        <v>2641</v>
      </c>
      <c r="K141" s="14">
        <v>41498</v>
      </c>
      <c r="L141" s="22" t="s">
        <v>1938</v>
      </c>
      <c r="M141" s="15">
        <v>39934</v>
      </c>
      <c r="N141" s="16">
        <v>1</v>
      </c>
      <c r="O141" s="17">
        <v>5750</v>
      </c>
      <c r="P141" s="17">
        <v>5750</v>
      </c>
      <c r="Q141" s="17">
        <f t="shared" si="4"/>
        <v>0</v>
      </c>
      <c r="R141" s="285"/>
      <c r="S141" s="289"/>
      <c r="T141" s="285"/>
    </row>
    <row r="142" spans="1:20" ht="71.25" customHeight="1" x14ac:dyDescent="0.2">
      <c r="A142" s="21">
        <v>138</v>
      </c>
      <c r="B142" s="289" t="s">
        <v>6386</v>
      </c>
      <c r="C142" s="289"/>
      <c r="D142" s="23" t="s">
        <v>623</v>
      </c>
      <c r="E142" s="15">
        <v>41244</v>
      </c>
      <c r="F142" s="26" t="s">
        <v>6248</v>
      </c>
      <c r="G142" s="285" t="s">
        <v>4877</v>
      </c>
      <c r="H142" s="285" t="s">
        <v>3793</v>
      </c>
      <c r="I142" s="285"/>
      <c r="J142" s="285" t="s">
        <v>3136</v>
      </c>
      <c r="K142" s="14">
        <v>42501</v>
      </c>
      <c r="L142" s="22" t="s">
        <v>6387</v>
      </c>
      <c r="M142" s="15">
        <v>39934</v>
      </c>
      <c r="N142" s="16">
        <v>1</v>
      </c>
      <c r="O142" s="17">
        <v>5721.83</v>
      </c>
      <c r="P142" s="17">
        <v>5721.83</v>
      </c>
      <c r="Q142" s="17">
        <f t="shared" si="4"/>
        <v>0</v>
      </c>
      <c r="R142" s="285"/>
      <c r="S142" s="289"/>
      <c r="T142" s="285"/>
    </row>
    <row r="143" spans="1:20" ht="42.75" customHeight="1" x14ac:dyDescent="0.2">
      <c r="A143" s="21">
        <v>139</v>
      </c>
      <c r="B143" s="289" t="s">
        <v>5578</v>
      </c>
      <c r="C143" s="289"/>
      <c r="D143" s="27" t="s">
        <v>9416</v>
      </c>
      <c r="E143" s="15">
        <v>41244</v>
      </c>
      <c r="F143" s="26"/>
      <c r="G143" s="285" t="s">
        <v>7983</v>
      </c>
      <c r="H143" s="285" t="s">
        <v>5127</v>
      </c>
      <c r="I143" s="289"/>
      <c r="J143" s="285" t="s">
        <v>9408</v>
      </c>
      <c r="K143" s="15">
        <v>43831</v>
      </c>
      <c r="L143" s="289" t="s">
        <v>1029</v>
      </c>
      <c r="M143" s="15">
        <v>39660</v>
      </c>
      <c r="N143" s="16">
        <v>1</v>
      </c>
      <c r="O143" s="17">
        <v>18913</v>
      </c>
      <c r="P143" s="17">
        <v>18913</v>
      </c>
      <c r="Q143" s="17">
        <f t="shared" si="4"/>
        <v>0</v>
      </c>
      <c r="R143" s="285" t="s">
        <v>5071</v>
      </c>
      <c r="S143" s="15">
        <v>39652</v>
      </c>
      <c r="T143" s="285">
        <v>4586</v>
      </c>
    </row>
    <row r="144" spans="1:20" ht="90.75" customHeight="1" x14ac:dyDescent="0.2">
      <c r="A144" s="21">
        <v>140</v>
      </c>
      <c r="B144" s="289" t="s">
        <v>2096</v>
      </c>
      <c r="C144" s="289"/>
      <c r="D144" s="27" t="s">
        <v>2045</v>
      </c>
      <c r="E144" s="15">
        <v>41244</v>
      </c>
      <c r="F144" s="26"/>
      <c r="G144" s="285" t="s">
        <v>7983</v>
      </c>
      <c r="H144" s="285" t="s">
        <v>5127</v>
      </c>
      <c r="I144" s="289"/>
      <c r="J144" s="285" t="s">
        <v>9408</v>
      </c>
      <c r="K144" s="15">
        <v>43831</v>
      </c>
      <c r="L144" s="289" t="s">
        <v>1029</v>
      </c>
      <c r="M144" s="12" t="s">
        <v>9415</v>
      </c>
      <c r="N144" s="16">
        <v>1</v>
      </c>
      <c r="O144" s="17">
        <v>18050</v>
      </c>
      <c r="P144" s="17">
        <v>18050</v>
      </c>
      <c r="Q144" s="17">
        <f t="shared" si="4"/>
        <v>0</v>
      </c>
      <c r="R144" s="285" t="s">
        <v>5071</v>
      </c>
      <c r="S144" s="15">
        <v>39506</v>
      </c>
      <c r="T144" s="285">
        <v>140</v>
      </c>
    </row>
    <row r="145" spans="1:20" ht="90.75" customHeight="1" x14ac:dyDescent="0.2">
      <c r="A145" s="21">
        <v>141</v>
      </c>
      <c r="B145" s="289" t="s">
        <v>3953</v>
      </c>
      <c r="C145" s="289"/>
      <c r="D145" s="27" t="s">
        <v>8420</v>
      </c>
      <c r="E145" s="15">
        <v>41244</v>
      </c>
      <c r="F145" s="26" t="s">
        <v>8421</v>
      </c>
      <c r="G145" s="285" t="s">
        <v>7983</v>
      </c>
      <c r="H145" s="285" t="s">
        <v>5127</v>
      </c>
      <c r="I145" s="289"/>
      <c r="J145" s="285" t="s">
        <v>9408</v>
      </c>
      <c r="K145" s="15">
        <v>43831</v>
      </c>
      <c r="L145" s="289" t="s">
        <v>1029</v>
      </c>
      <c r="M145" s="139" t="s">
        <v>9417</v>
      </c>
      <c r="N145" s="16">
        <v>7</v>
      </c>
      <c r="O145" s="17">
        <v>77231</v>
      </c>
      <c r="P145" s="17">
        <v>77231</v>
      </c>
      <c r="Q145" s="17">
        <f t="shared" si="4"/>
        <v>0</v>
      </c>
      <c r="R145" s="285" t="s">
        <v>5071</v>
      </c>
      <c r="S145" s="15">
        <v>39688</v>
      </c>
      <c r="T145" s="285">
        <v>5304</v>
      </c>
    </row>
    <row r="146" spans="1:20" ht="45.75" customHeight="1" x14ac:dyDescent="0.2">
      <c r="A146" s="21">
        <v>142</v>
      </c>
      <c r="B146" s="289" t="s">
        <v>3954</v>
      </c>
      <c r="C146" s="289"/>
      <c r="D146" s="27" t="s">
        <v>4253</v>
      </c>
      <c r="E146" s="15">
        <v>41244</v>
      </c>
      <c r="F146" s="26">
        <v>10104159</v>
      </c>
      <c r="G146" s="285" t="s">
        <v>7983</v>
      </c>
      <c r="H146" s="285" t="s">
        <v>5127</v>
      </c>
      <c r="I146" s="289"/>
      <c r="J146" s="285" t="s">
        <v>9408</v>
      </c>
      <c r="K146" s="15">
        <v>43831</v>
      </c>
      <c r="L146" s="289" t="s">
        <v>1029</v>
      </c>
      <c r="M146" s="15">
        <v>39538</v>
      </c>
      <c r="N146" s="16">
        <v>1</v>
      </c>
      <c r="O146" s="17">
        <v>10515</v>
      </c>
      <c r="P146" s="17">
        <v>10515</v>
      </c>
      <c r="Q146" s="17">
        <f t="shared" si="4"/>
        <v>0</v>
      </c>
      <c r="R146" s="285" t="s">
        <v>5071</v>
      </c>
      <c r="S146" s="15">
        <v>39525</v>
      </c>
      <c r="T146" s="285">
        <v>11</v>
      </c>
    </row>
    <row r="147" spans="1:20" ht="57" customHeight="1" x14ac:dyDescent="0.2">
      <c r="A147" s="21">
        <v>143</v>
      </c>
      <c r="B147" s="289" t="s">
        <v>3955</v>
      </c>
      <c r="C147" s="289"/>
      <c r="D147" s="9" t="s">
        <v>271</v>
      </c>
      <c r="E147" s="15">
        <v>40544</v>
      </c>
      <c r="F147" s="241" t="s">
        <v>545</v>
      </c>
      <c r="G147" s="285" t="s">
        <v>515</v>
      </c>
      <c r="H147" s="285" t="s">
        <v>5127</v>
      </c>
      <c r="I147" s="289"/>
      <c r="J147" s="22"/>
      <c r="K147" s="289"/>
      <c r="L147" s="289"/>
      <c r="M147" s="15">
        <v>39814</v>
      </c>
      <c r="N147" s="16">
        <v>1</v>
      </c>
      <c r="O147" s="17">
        <v>18600</v>
      </c>
      <c r="P147" s="17">
        <v>18600</v>
      </c>
      <c r="Q147" s="17">
        <f t="shared" si="4"/>
        <v>0</v>
      </c>
      <c r="R147" s="285" t="s">
        <v>5071</v>
      </c>
      <c r="S147" s="22" t="s">
        <v>1352</v>
      </c>
      <c r="T147" s="285">
        <v>1607</v>
      </c>
    </row>
    <row r="148" spans="1:20" ht="27" customHeight="1" x14ac:dyDescent="0.2">
      <c r="A148" s="21">
        <v>144</v>
      </c>
      <c r="B148" s="289" t="s">
        <v>3956</v>
      </c>
      <c r="C148" s="289"/>
      <c r="D148" s="9" t="s">
        <v>3305</v>
      </c>
      <c r="E148" s="15">
        <v>41244</v>
      </c>
      <c r="F148" s="26" t="s">
        <v>6786</v>
      </c>
      <c r="G148" s="285" t="s">
        <v>7917</v>
      </c>
      <c r="H148" s="285" t="s">
        <v>5127</v>
      </c>
      <c r="I148" s="289"/>
      <c r="J148" s="22"/>
      <c r="K148" s="289"/>
      <c r="L148" s="289"/>
      <c r="M148" s="15">
        <v>41275</v>
      </c>
      <c r="N148" s="16">
        <v>1</v>
      </c>
      <c r="O148" s="17">
        <v>185927.6</v>
      </c>
      <c r="P148" s="17">
        <v>179729.19</v>
      </c>
      <c r="Q148" s="17">
        <f t="shared" si="4"/>
        <v>6198.4100000000035</v>
      </c>
      <c r="R148" s="285" t="s">
        <v>5071</v>
      </c>
      <c r="S148" s="22" t="s">
        <v>2188</v>
      </c>
      <c r="T148" s="285">
        <v>426</v>
      </c>
    </row>
    <row r="149" spans="1:20" ht="54.75" customHeight="1" x14ac:dyDescent="0.2">
      <c r="A149" s="21">
        <v>145</v>
      </c>
      <c r="B149" s="289" t="s">
        <v>492</v>
      </c>
      <c r="C149" s="289" t="s">
        <v>5274</v>
      </c>
      <c r="D149" s="9" t="s">
        <v>3154</v>
      </c>
      <c r="E149" s="15">
        <v>40544</v>
      </c>
      <c r="F149" s="26" t="s">
        <v>6896</v>
      </c>
      <c r="G149" s="285" t="s">
        <v>7982</v>
      </c>
      <c r="H149" s="285" t="s">
        <v>5127</v>
      </c>
      <c r="I149" s="289"/>
      <c r="J149" s="22" t="s">
        <v>9411</v>
      </c>
      <c r="K149" s="15">
        <v>40544</v>
      </c>
      <c r="L149" s="289" t="s">
        <v>1029</v>
      </c>
      <c r="M149" s="15">
        <v>40544</v>
      </c>
      <c r="N149" s="16">
        <v>1</v>
      </c>
      <c r="O149" s="17">
        <v>47017.1</v>
      </c>
      <c r="P149" s="17">
        <v>47017.1</v>
      </c>
      <c r="Q149" s="17">
        <f t="shared" si="4"/>
        <v>0</v>
      </c>
      <c r="R149" s="285" t="s">
        <v>5071</v>
      </c>
      <c r="S149" s="22" t="s">
        <v>2189</v>
      </c>
      <c r="T149" s="285">
        <v>1074</v>
      </c>
    </row>
    <row r="150" spans="1:20" ht="46.5" customHeight="1" x14ac:dyDescent="0.2">
      <c r="A150" s="21">
        <v>146</v>
      </c>
      <c r="B150" s="289" t="s">
        <v>237</v>
      </c>
      <c r="C150" s="289"/>
      <c r="D150" s="9" t="s">
        <v>2205</v>
      </c>
      <c r="E150" s="15">
        <v>40544</v>
      </c>
      <c r="F150" s="26" t="s">
        <v>6897</v>
      </c>
      <c r="G150" s="285" t="s">
        <v>7982</v>
      </c>
      <c r="H150" s="285" t="s">
        <v>5127</v>
      </c>
      <c r="I150" s="289"/>
      <c r="J150" s="22" t="s">
        <v>9411</v>
      </c>
      <c r="K150" s="15">
        <v>40544</v>
      </c>
      <c r="L150" s="289" t="s">
        <v>1029</v>
      </c>
      <c r="M150" s="15">
        <v>40544</v>
      </c>
      <c r="N150" s="16">
        <v>1</v>
      </c>
      <c r="O150" s="17">
        <v>22016.9</v>
      </c>
      <c r="P150" s="17">
        <v>22016.9</v>
      </c>
      <c r="Q150" s="17">
        <f t="shared" si="4"/>
        <v>0</v>
      </c>
      <c r="R150" s="285" t="s">
        <v>5071</v>
      </c>
      <c r="S150" s="22" t="s">
        <v>2193</v>
      </c>
      <c r="T150" s="285">
        <v>73</v>
      </c>
    </row>
    <row r="151" spans="1:20" ht="68.25" customHeight="1" x14ac:dyDescent="0.2">
      <c r="A151" s="21">
        <v>147</v>
      </c>
      <c r="B151" s="289" t="s">
        <v>238</v>
      </c>
      <c r="C151" s="289" t="s">
        <v>5274</v>
      </c>
      <c r="D151" s="9" t="s">
        <v>2205</v>
      </c>
      <c r="E151" s="15">
        <v>40544</v>
      </c>
      <c r="F151" s="13" t="s">
        <v>6898</v>
      </c>
      <c r="G151" s="285" t="s">
        <v>7982</v>
      </c>
      <c r="H151" s="285" t="s">
        <v>5127</v>
      </c>
      <c r="I151" s="289"/>
      <c r="J151" s="22" t="s">
        <v>9411</v>
      </c>
      <c r="K151" s="15">
        <v>40544</v>
      </c>
      <c r="L151" s="289" t="s">
        <v>1029</v>
      </c>
      <c r="M151" s="15">
        <v>40544</v>
      </c>
      <c r="N151" s="16">
        <v>1</v>
      </c>
      <c r="O151" s="17">
        <v>32000</v>
      </c>
      <c r="P151" s="17">
        <v>32000</v>
      </c>
      <c r="Q151" s="17">
        <f t="shared" si="4"/>
        <v>0</v>
      </c>
      <c r="R151" s="285" t="s">
        <v>5071</v>
      </c>
      <c r="S151" s="22" t="s">
        <v>2189</v>
      </c>
      <c r="T151" s="285">
        <v>1074</v>
      </c>
    </row>
    <row r="152" spans="1:20" ht="65.25" customHeight="1" x14ac:dyDescent="0.2">
      <c r="A152" s="21">
        <v>148</v>
      </c>
      <c r="B152" s="289" t="s">
        <v>3957</v>
      </c>
      <c r="C152" s="289" t="s">
        <v>5274</v>
      </c>
      <c r="D152" s="9" t="s">
        <v>9492</v>
      </c>
      <c r="E152" s="15">
        <v>39713</v>
      </c>
      <c r="F152" s="13" t="s">
        <v>1050</v>
      </c>
      <c r="G152" s="285" t="s">
        <v>7981</v>
      </c>
      <c r="H152" s="285" t="s">
        <v>5127</v>
      </c>
      <c r="I152" s="289"/>
      <c r="J152" s="22" t="s">
        <v>9411</v>
      </c>
      <c r="K152" s="15">
        <v>40544</v>
      </c>
      <c r="L152" s="289" t="s">
        <v>1029</v>
      </c>
      <c r="M152" s="15">
        <v>39713</v>
      </c>
      <c r="N152" s="16">
        <v>1</v>
      </c>
      <c r="O152" s="17">
        <v>67000</v>
      </c>
      <c r="P152" s="17">
        <v>67000</v>
      </c>
      <c r="Q152" s="17">
        <f t="shared" si="4"/>
        <v>0</v>
      </c>
      <c r="R152" s="285" t="s">
        <v>5071</v>
      </c>
      <c r="S152" s="22" t="s">
        <v>5295</v>
      </c>
      <c r="T152" s="22" t="s">
        <v>1351</v>
      </c>
    </row>
    <row r="153" spans="1:20" ht="66.75" customHeight="1" x14ac:dyDescent="0.2">
      <c r="A153" s="21">
        <v>149</v>
      </c>
      <c r="B153" s="289" t="s">
        <v>968</v>
      </c>
      <c r="C153" s="289" t="s">
        <v>5274</v>
      </c>
      <c r="D153" s="9" t="s">
        <v>4944</v>
      </c>
      <c r="E153" s="15">
        <v>39713</v>
      </c>
      <c r="F153" s="13" t="s">
        <v>825</v>
      </c>
      <c r="G153" s="285" t="s">
        <v>7981</v>
      </c>
      <c r="H153" s="285" t="s">
        <v>5127</v>
      </c>
      <c r="I153" s="289"/>
      <c r="J153" s="22" t="s">
        <v>9411</v>
      </c>
      <c r="K153" s="15">
        <v>40544</v>
      </c>
      <c r="L153" s="289" t="s">
        <v>1029</v>
      </c>
      <c r="M153" s="242">
        <v>39713</v>
      </c>
      <c r="N153" s="16">
        <v>1</v>
      </c>
      <c r="O153" s="17">
        <v>25000</v>
      </c>
      <c r="P153" s="17">
        <v>25000</v>
      </c>
      <c r="Q153" s="17">
        <f t="shared" si="4"/>
        <v>0</v>
      </c>
      <c r="R153" s="285" t="s">
        <v>5071</v>
      </c>
      <c r="S153" s="22" t="s">
        <v>5295</v>
      </c>
      <c r="T153" s="22" t="s">
        <v>1351</v>
      </c>
    </row>
    <row r="154" spans="1:20" ht="66.75" customHeight="1" x14ac:dyDescent="0.2">
      <c r="A154" s="21">
        <v>150</v>
      </c>
      <c r="B154" s="289" t="s">
        <v>3958</v>
      </c>
      <c r="C154" s="289" t="s">
        <v>5274</v>
      </c>
      <c r="D154" s="9" t="s">
        <v>4054</v>
      </c>
      <c r="E154" s="15">
        <v>40053</v>
      </c>
      <c r="F154" s="13" t="s">
        <v>4196</v>
      </c>
      <c r="G154" s="285" t="s">
        <v>7981</v>
      </c>
      <c r="H154" s="285" t="s">
        <v>5127</v>
      </c>
      <c r="I154" s="289"/>
      <c r="J154" s="22" t="s">
        <v>9411</v>
      </c>
      <c r="K154" s="15">
        <v>40544</v>
      </c>
      <c r="L154" s="289" t="s">
        <v>1029</v>
      </c>
      <c r="M154" s="15">
        <v>40057</v>
      </c>
      <c r="N154" s="24">
        <v>1</v>
      </c>
      <c r="O154" s="17">
        <v>52000</v>
      </c>
      <c r="P154" s="17">
        <v>52000</v>
      </c>
      <c r="Q154" s="17">
        <f t="shared" si="4"/>
        <v>0</v>
      </c>
      <c r="R154" s="285" t="s">
        <v>5071</v>
      </c>
      <c r="S154" s="15">
        <v>39762</v>
      </c>
      <c r="T154" s="285">
        <v>2035</v>
      </c>
    </row>
    <row r="155" spans="1:20" ht="39" customHeight="1" x14ac:dyDescent="0.2">
      <c r="A155" s="21">
        <v>151</v>
      </c>
      <c r="B155" s="289" t="s">
        <v>3959</v>
      </c>
      <c r="C155" s="289" t="s">
        <v>5274</v>
      </c>
      <c r="D155" s="9" t="s">
        <v>6201</v>
      </c>
      <c r="E155" s="15">
        <v>40045</v>
      </c>
      <c r="F155" s="122" t="s">
        <v>7011</v>
      </c>
      <c r="G155" s="285" t="s">
        <v>7981</v>
      </c>
      <c r="H155" s="285" t="s">
        <v>5127</v>
      </c>
      <c r="I155" s="289"/>
      <c r="J155" s="22" t="s">
        <v>9411</v>
      </c>
      <c r="K155" s="15">
        <v>40544</v>
      </c>
      <c r="L155" s="289" t="s">
        <v>1029</v>
      </c>
      <c r="M155" s="15">
        <v>40057</v>
      </c>
      <c r="N155" s="24">
        <v>1</v>
      </c>
      <c r="O155" s="17">
        <v>22000</v>
      </c>
      <c r="P155" s="17">
        <v>22000</v>
      </c>
      <c r="Q155" s="17">
        <f t="shared" si="4"/>
        <v>0</v>
      </c>
      <c r="R155" s="285" t="s">
        <v>5071</v>
      </c>
      <c r="S155" s="15">
        <v>39750</v>
      </c>
      <c r="T155" s="285">
        <v>1882</v>
      </c>
    </row>
    <row r="156" spans="1:20" ht="33" customHeight="1" x14ac:dyDescent="0.2">
      <c r="A156" s="21">
        <v>152</v>
      </c>
      <c r="B156" s="289" t="s">
        <v>3960</v>
      </c>
      <c r="C156" s="289" t="s">
        <v>5274</v>
      </c>
      <c r="D156" s="9" t="s">
        <v>1719</v>
      </c>
      <c r="E156" s="15">
        <v>40057</v>
      </c>
      <c r="F156" s="26" t="s">
        <v>7012</v>
      </c>
      <c r="G156" s="285" t="s">
        <v>7981</v>
      </c>
      <c r="H156" s="285" t="s">
        <v>5127</v>
      </c>
      <c r="I156" s="289"/>
      <c r="J156" s="22" t="s">
        <v>9411</v>
      </c>
      <c r="K156" s="15">
        <v>40544</v>
      </c>
      <c r="L156" s="289" t="s">
        <v>1029</v>
      </c>
      <c r="M156" s="15">
        <v>40057</v>
      </c>
      <c r="N156" s="24">
        <v>1</v>
      </c>
      <c r="O156" s="17">
        <v>20000</v>
      </c>
      <c r="P156" s="17">
        <v>20000</v>
      </c>
      <c r="Q156" s="17">
        <f t="shared" si="4"/>
        <v>0</v>
      </c>
      <c r="R156" s="285" t="s">
        <v>5071</v>
      </c>
      <c r="S156" s="15">
        <v>39750</v>
      </c>
      <c r="T156" s="285">
        <v>1882</v>
      </c>
    </row>
    <row r="157" spans="1:20" ht="39" customHeight="1" x14ac:dyDescent="0.2">
      <c r="A157" s="21">
        <v>153</v>
      </c>
      <c r="B157" s="289" t="s">
        <v>3961</v>
      </c>
      <c r="C157" s="289" t="s">
        <v>5274</v>
      </c>
      <c r="D157" s="9" t="s">
        <v>1221</v>
      </c>
      <c r="E157" s="15">
        <v>40057</v>
      </c>
      <c r="F157" s="26" t="s">
        <v>6997</v>
      </c>
      <c r="G157" s="285" t="s">
        <v>7981</v>
      </c>
      <c r="H157" s="285" t="s">
        <v>5127</v>
      </c>
      <c r="I157" s="289"/>
      <c r="J157" s="22" t="s">
        <v>9411</v>
      </c>
      <c r="K157" s="15">
        <v>40544</v>
      </c>
      <c r="L157" s="289" t="s">
        <v>1029</v>
      </c>
      <c r="M157" s="15">
        <v>40057</v>
      </c>
      <c r="N157" s="24">
        <v>1</v>
      </c>
      <c r="O157" s="17">
        <v>24000</v>
      </c>
      <c r="P157" s="17">
        <v>24000</v>
      </c>
      <c r="Q157" s="17">
        <f t="shared" si="4"/>
        <v>0</v>
      </c>
      <c r="R157" s="285" t="s">
        <v>5071</v>
      </c>
      <c r="S157" s="15">
        <v>39750</v>
      </c>
      <c r="T157" s="285">
        <v>1882</v>
      </c>
    </row>
    <row r="158" spans="1:20" ht="45.75" customHeight="1" x14ac:dyDescent="0.2">
      <c r="A158" s="21">
        <v>154</v>
      </c>
      <c r="B158" s="289" t="s">
        <v>3962</v>
      </c>
      <c r="C158" s="289" t="s">
        <v>5274</v>
      </c>
      <c r="D158" s="9" t="s">
        <v>2545</v>
      </c>
      <c r="E158" s="15">
        <v>39742</v>
      </c>
      <c r="F158" s="26" t="s">
        <v>7000</v>
      </c>
      <c r="G158" s="285" t="s">
        <v>7981</v>
      </c>
      <c r="H158" s="285" t="s">
        <v>5127</v>
      </c>
      <c r="I158" s="289"/>
      <c r="J158" s="22" t="s">
        <v>9411</v>
      </c>
      <c r="K158" s="15">
        <v>40544</v>
      </c>
      <c r="L158" s="289" t="s">
        <v>1029</v>
      </c>
      <c r="M158" s="15">
        <v>40057</v>
      </c>
      <c r="N158" s="24">
        <v>1</v>
      </c>
      <c r="O158" s="17">
        <v>46000</v>
      </c>
      <c r="P158" s="17">
        <v>46000</v>
      </c>
      <c r="Q158" s="17">
        <f t="shared" si="4"/>
        <v>0</v>
      </c>
      <c r="R158" s="285" t="s">
        <v>5071</v>
      </c>
      <c r="S158" s="15">
        <v>39794</v>
      </c>
      <c r="T158" s="285">
        <v>2513</v>
      </c>
    </row>
    <row r="159" spans="1:20" ht="39.75" customHeight="1" x14ac:dyDescent="0.2">
      <c r="A159" s="21">
        <v>155</v>
      </c>
      <c r="B159" s="289" t="s">
        <v>3963</v>
      </c>
      <c r="C159" s="289" t="s">
        <v>5274</v>
      </c>
      <c r="D159" s="9" t="s">
        <v>2547</v>
      </c>
      <c r="E159" s="15">
        <v>40057</v>
      </c>
      <c r="F159" s="26" t="s">
        <v>7013</v>
      </c>
      <c r="G159" s="285" t="s">
        <v>7981</v>
      </c>
      <c r="H159" s="285" t="s">
        <v>5127</v>
      </c>
      <c r="I159" s="289"/>
      <c r="J159" s="22" t="s">
        <v>9411</v>
      </c>
      <c r="K159" s="15">
        <v>40544</v>
      </c>
      <c r="L159" s="289" t="s">
        <v>1029</v>
      </c>
      <c r="M159" s="15">
        <v>40057</v>
      </c>
      <c r="N159" s="24">
        <v>1</v>
      </c>
      <c r="O159" s="17">
        <v>48990</v>
      </c>
      <c r="P159" s="17">
        <v>48990</v>
      </c>
      <c r="Q159" s="17">
        <f t="shared" si="4"/>
        <v>0</v>
      </c>
      <c r="R159" s="285" t="s">
        <v>5071</v>
      </c>
      <c r="S159" s="15">
        <v>39794</v>
      </c>
      <c r="T159" s="285">
        <v>2513</v>
      </c>
    </row>
    <row r="160" spans="1:20" ht="42.75" customHeight="1" x14ac:dyDescent="0.2">
      <c r="A160" s="21">
        <v>156</v>
      </c>
      <c r="B160" s="289" t="s">
        <v>3964</v>
      </c>
      <c r="C160" s="289" t="s">
        <v>5274</v>
      </c>
      <c r="D160" s="9" t="s">
        <v>1137</v>
      </c>
      <c r="E160" s="15">
        <v>40057</v>
      </c>
      <c r="F160" s="26" t="s">
        <v>7014</v>
      </c>
      <c r="G160" s="285" t="s">
        <v>7981</v>
      </c>
      <c r="H160" s="285" t="s">
        <v>5127</v>
      </c>
      <c r="I160" s="289"/>
      <c r="J160" s="22" t="s">
        <v>9411</v>
      </c>
      <c r="K160" s="15">
        <v>40544</v>
      </c>
      <c r="L160" s="289" t="s">
        <v>1029</v>
      </c>
      <c r="M160" s="15">
        <v>40057</v>
      </c>
      <c r="N160" s="24">
        <v>2</v>
      </c>
      <c r="O160" s="17">
        <v>32000</v>
      </c>
      <c r="P160" s="17">
        <v>32000</v>
      </c>
      <c r="Q160" s="17">
        <f t="shared" si="4"/>
        <v>0</v>
      </c>
      <c r="R160" s="285" t="s">
        <v>5071</v>
      </c>
      <c r="S160" s="15">
        <v>39794</v>
      </c>
      <c r="T160" s="285">
        <v>2513</v>
      </c>
    </row>
    <row r="161" spans="1:20" ht="27" customHeight="1" x14ac:dyDescent="0.2">
      <c r="A161" s="21">
        <v>157</v>
      </c>
      <c r="B161" s="289" t="s">
        <v>2563</v>
      </c>
      <c r="C161" s="289" t="s">
        <v>5274</v>
      </c>
      <c r="D161" s="9" t="s">
        <v>1221</v>
      </c>
      <c r="E161" s="12" t="s">
        <v>1639</v>
      </c>
      <c r="F161" s="26" t="s">
        <v>6789</v>
      </c>
      <c r="G161" s="285" t="s">
        <v>7917</v>
      </c>
      <c r="H161" s="285" t="s">
        <v>5127</v>
      </c>
      <c r="I161" s="289"/>
      <c r="J161" s="285"/>
      <c r="K161" s="289"/>
      <c r="L161" s="289"/>
      <c r="M161" s="15">
        <v>41275</v>
      </c>
      <c r="N161" s="24">
        <v>1</v>
      </c>
      <c r="O161" s="17">
        <v>24000</v>
      </c>
      <c r="P161" s="17">
        <v>24000</v>
      </c>
      <c r="Q161" s="17">
        <f t="shared" si="4"/>
        <v>0</v>
      </c>
      <c r="R161" s="285" t="s">
        <v>6788</v>
      </c>
      <c r="S161" s="15">
        <v>39750</v>
      </c>
      <c r="T161" s="285">
        <v>1881</v>
      </c>
    </row>
    <row r="162" spans="1:20" ht="27" customHeight="1" x14ac:dyDescent="0.2">
      <c r="A162" s="21">
        <v>158</v>
      </c>
      <c r="B162" s="289" t="s">
        <v>2564</v>
      </c>
      <c r="C162" s="289" t="s">
        <v>5274</v>
      </c>
      <c r="D162" s="9" t="s">
        <v>6201</v>
      </c>
      <c r="E162" s="12" t="s">
        <v>1639</v>
      </c>
      <c r="F162" s="26" t="s">
        <v>6790</v>
      </c>
      <c r="G162" s="285" t="s">
        <v>7917</v>
      </c>
      <c r="H162" s="285" t="s">
        <v>5127</v>
      </c>
      <c r="I162" s="289"/>
      <c r="J162" s="285"/>
      <c r="K162" s="289"/>
      <c r="L162" s="289"/>
      <c r="M162" s="15">
        <v>41275</v>
      </c>
      <c r="N162" s="24">
        <v>1</v>
      </c>
      <c r="O162" s="17">
        <v>22000</v>
      </c>
      <c r="P162" s="17">
        <v>22000</v>
      </c>
      <c r="Q162" s="17">
        <f t="shared" si="4"/>
        <v>0</v>
      </c>
      <c r="R162" s="285" t="s">
        <v>6788</v>
      </c>
      <c r="S162" s="15">
        <v>39750</v>
      </c>
      <c r="T162" s="285">
        <v>1881</v>
      </c>
    </row>
    <row r="163" spans="1:20" ht="27" customHeight="1" x14ac:dyDescent="0.2">
      <c r="A163" s="21">
        <v>159</v>
      </c>
      <c r="B163" s="289" t="s">
        <v>4958</v>
      </c>
      <c r="C163" s="289" t="s">
        <v>5274</v>
      </c>
      <c r="D163" s="9" t="s">
        <v>1719</v>
      </c>
      <c r="E163" s="12" t="s">
        <v>1639</v>
      </c>
      <c r="F163" s="26" t="s">
        <v>1523</v>
      </c>
      <c r="G163" s="285" t="s">
        <v>7917</v>
      </c>
      <c r="H163" s="285" t="s">
        <v>5127</v>
      </c>
      <c r="I163" s="289"/>
      <c r="J163" s="285"/>
      <c r="K163" s="289"/>
      <c r="L163" s="289"/>
      <c r="M163" s="15">
        <v>40544</v>
      </c>
      <c r="N163" s="24">
        <v>1</v>
      </c>
      <c r="O163" s="17">
        <v>20000</v>
      </c>
      <c r="P163" s="17">
        <v>20000</v>
      </c>
      <c r="Q163" s="17">
        <f t="shared" si="4"/>
        <v>0</v>
      </c>
      <c r="R163" s="285" t="s">
        <v>6788</v>
      </c>
      <c r="S163" s="15">
        <v>39750</v>
      </c>
      <c r="T163" s="285">
        <v>1881</v>
      </c>
    </row>
    <row r="164" spans="1:20" ht="27" customHeight="1" x14ac:dyDescent="0.2">
      <c r="A164" s="21">
        <v>160</v>
      </c>
      <c r="B164" s="289" t="s">
        <v>4959</v>
      </c>
      <c r="C164" s="289" t="s">
        <v>5274</v>
      </c>
      <c r="D164" s="9" t="s">
        <v>3574</v>
      </c>
      <c r="E164" s="12">
        <v>2008</v>
      </c>
      <c r="F164" s="26" t="s">
        <v>6791</v>
      </c>
      <c r="G164" s="285" t="s">
        <v>7917</v>
      </c>
      <c r="H164" s="285" t="s">
        <v>5127</v>
      </c>
      <c r="I164" s="289"/>
      <c r="J164" s="285"/>
      <c r="K164" s="289"/>
      <c r="L164" s="289"/>
      <c r="M164" s="15">
        <v>41275</v>
      </c>
      <c r="N164" s="16">
        <v>1</v>
      </c>
      <c r="O164" s="17">
        <v>50000</v>
      </c>
      <c r="P164" s="17">
        <v>50000</v>
      </c>
      <c r="Q164" s="17">
        <f t="shared" si="4"/>
        <v>0</v>
      </c>
      <c r="R164" s="285" t="s">
        <v>6788</v>
      </c>
      <c r="S164" s="15">
        <v>39750</v>
      </c>
      <c r="T164" s="285">
        <v>1881</v>
      </c>
    </row>
    <row r="165" spans="1:20" ht="27" customHeight="1" x14ac:dyDescent="0.2">
      <c r="A165" s="21">
        <v>161</v>
      </c>
      <c r="B165" s="289" t="s">
        <v>4960</v>
      </c>
      <c r="C165" s="289" t="s">
        <v>5274</v>
      </c>
      <c r="D165" s="9" t="s">
        <v>2819</v>
      </c>
      <c r="E165" s="12" t="s">
        <v>1639</v>
      </c>
      <c r="F165" s="26" t="s">
        <v>5085</v>
      </c>
      <c r="G165" s="285" t="s">
        <v>7917</v>
      </c>
      <c r="H165" s="285" t="s">
        <v>5127</v>
      </c>
      <c r="I165" s="289"/>
      <c r="J165" s="285"/>
      <c r="K165" s="289"/>
      <c r="L165" s="289"/>
      <c r="M165" s="15">
        <v>41275</v>
      </c>
      <c r="N165" s="16">
        <v>1</v>
      </c>
      <c r="O165" s="17">
        <v>94000</v>
      </c>
      <c r="P165" s="17">
        <v>94000</v>
      </c>
      <c r="Q165" s="17">
        <f t="shared" si="4"/>
        <v>0</v>
      </c>
      <c r="R165" s="285" t="s">
        <v>6788</v>
      </c>
      <c r="S165" s="15">
        <v>39750</v>
      </c>
      <c r="T165" s="285">
        <v>1881</v>
      </c>
    </row>
    <row r="166" spans="1:20" ht="42.75" customHeight="1" x14ac:dyDescent="0.2">
      <c r="A166" s="21">
        <v>162</v>
      </c>
      <c r="B166" s="289" t="s">
        <v>4961</v>
      </c>
      <c r="C166" s="289" t="s">
        <v>5274</v>
      </c>
      <c r="D166" s="9" t="s">
        <v>4060</v>
      </c>
      <c r="E166" s="15">
        <v>40057</v>
      </c>
      <c r="F166" s="26" t="s">
        <v>6172</v>
      </c>
      <c r="G166" s="285" t="s">
        <v>7981</v>
      </c>
      <c r="H166" s="285" t="s">
        <v>5127</v>
      </c>
      <c r="I166" s="289"/>
      <c r="J166" s="22" t="s">
        <v>9411</v>
      </c>
      <c r="K166" s="15">
        <v>40544</v>
      </c>
      <c r="L166" s="289" t="s">
        <v>1029</v>
      </c>
      <c r="M166" s="15">
        <v>40057</v>
      </c>
      <c r="N166" s="16">
        <v>1</v>
      </c>
      <c r="O166" s="17">
        <v>5000</v>
      </c>
      <c r="P166" s="17">
        <v>5000</v>
      </c>
      <c r="Q166" s="17">
        <f t="shared" si="4"/>
        <v>0</v>
      </c>
      <c r="R166" s="285" t="s">
        <v>5071</v>
      </c>
      <c r="S166" s="15">
        <v>39762</v>
      </c>
      <c r="T166" s="285">
        <v>2035</v>
      </c>
    </row>
    <row r="167" spans="1:20" ht="48" customHeight="1" x14ac:dyDescent="0.2">
      <c r="A167" s="21">
        <v>163</v>
      </c>
      <c r="B167" s="289" t="s">
        <v>4962</v>
      </c>
      <c r="C167" s="289" t="s">
        <v>5274</v>
      </c>
      <c r="D167" s="9" t="s">
        <v>1086</v>
      </c>
      <c r="E167" s="15">
        <v>40057</v>
      </c>
      <c r="F167" s="26" t="s">
        <v>468</v>
      </c>
      <c r="G167" s="285" t="s">
        <v>7981</v>
      </c>
      <c r="H167" s="285" t="s">
        <v>5127</v>
      </c>
      <c r="I167" s="289"/>
      <c r="J167" s="22" t="s">
        <v>9411</v>
      </c>
      <c r="K167" s="15">
        <v>40544</v>
      </c>
      <c r="L167" s="289" t="s">
        <v>1029</v>
      </c>
      <c r="M167" s="15">
        <v>40057</v>
      </c>
      <c r="N167" s="16">
        <v>1</v>
      </c>
      <c r="O167" s="17">
        <v>8000</v>
      </c>
      <c r="P167" s="17">
        <v>8000</v>
      </c>
      <c r="Q167" s="17">
        <f t="shared" si="4"/>
        <v>0</v>
      </c>
      <c r="R167" s="285" t="s">
        <v>5071</v>
      </c>
      <c r="S167" s="15">
        <v>39762</v>
      </c>
      <c r="T167" s="285">
        <v>2035</v>
      </c>
    </row>
    <row r="168" spans="1:20" ht="27" customHeight="1" x14ac:dyDescent="0.2">
      <c r="A168" s="21">
        <v>164</v>
      </c>
      <c r="B168" s="289" t="s">
        <v>495</v>
      </c>
      <c r="C168" s="289" t="s">
        <v>5274</v>
      </c>
      <c r="D168" s="9" t="s">
        <v>693</v>
      </c>
      <c r="E168" s="12">
        <v>2008</v>
      </c>
      <c r="F168" s="26" t="s">
        <v>6792</v>
      </c>
      <c r="G168" s="285" t="s">
        <v>7917</v>
      </c>
      <c r="H168" s="285" t="s">
        <v>5127</v>
      </c>
      <c r="I168" s="289"/>
      <c r="J168" s="285"/>
      <c r="K168" s="289"/>
      <c r="L168" s="289"/>
      <c r="M168" s="15">
        <v>40544</v>
      </c>
      <c r="N168" s="16">
        <v>1</v>
      </c>
      <c r="O168" s="17">
        <v>6000</v>
      </c>
      <c r="P168" s="17">
        <v>6000</v>
      </c>
      <c r="Q168" s="17">
        <f t="shared" si="4"/>
        <v>0</v>
      </c>
      <c r="R168" s="285" t="s">
        <v>6788</v>
      </c>
      <c r="S168" s="15">
        <v>39750</v>
      </c>
      <c r="T168" s="285">
        <v>1881</v>
      </c>
    </row>
    <row r="169" spans="1:20" ht="27" customHeight="1" x14ac:dyDescent="0.2">
      <c r="A169" s="21">
        <v>165</v>
      </c>
      <c r="B169" s="289" t="s">
        <v>1733</v>
      </c>
      <c r="C169" s="289" t="s">
        <v>5274</v>
      </c>
      <c r="D169" s="9" t="s">
        <v>6000</v>
      </c>
      <c r="E169" s="12" t="s">
        <v>1639</v>
      </c>
      <c r="F169" s="26" t="s">
        <v>6793</v>
      </c>
      <c r="G169" s="285" t="s">
        <v>7917</v>
      </c>
      <c r="H169" s="285" t="s">
        <v>5127</v>
      </c>
      <c r="I169" s="289"/>
      <c r="J169" s="285"/>
      <c r="K169" s="289"/>
      <c r="L169" s="289"/>
      <c r="M169" s="15">
        <v>41275</v>
      </c>
      <c r="N169" s="16">
        <v>1</v>
      </c>
      <c r="O169" s="17">
        <v>29300</v>
      </c>
      <c r="P169" s="17">
        <v>29300</v>
      </c>
      <c r="Q169" s="17">
        <f t="shared" si="4"/>
        <v>0</v>
      </c>
      <c r="R169" s="285" t="s">
        <v>6788</v>
      </c>
      <c r="S169" s="15">
        <v>39750</v>
      </c>
      <c r="T169" s="285">
        <v>1881</v>
      </c>
    </row>
    <row r="170" spans="1:20" ht="30.75" customHeight="1" x14ac:dyDescent="0.2">
      <c r="A170" s="21">
        <v>166</v>
      </c>
      <c r="B170" s="289" t="s">
        <v>1734</v>
      </c>
      <c r="C170" s="289" t="s">
        <v>5274</v>
      </c>
      <c r="D170" s="9" t="s">
        <v>4440</v>
      </c>
      <c r="E170" s="12">
        <v>2008</v>
      </c>
      <c r="F170" s="26" t="s">
        <v>6794</v>
      </c>
      <c r="G170" s="285" t="s">
        <v>7917</v>
      </c>
      <c r="H170" s="285" t="s">
        <v>5127</v>
      </c>
      <c r="I170" s="289"/>
      <c r="J170" s="285"/>
      <c r="K170" s="289"/>
      <c r="L170" s="289"/>
      <c r="M170" s="15">
        <v>41275</v>
      </c>
      <c r="N170" s="16">
        <v>1</v>
      </c>
      <c r="O170" s="17">
        <v>41910</v>
      </c>
      <c r="P170" s="17">
        <v>41910</v>
      </c>
      <c r="Q170" s="17">
        <f t="shared" si="4"/>
        <v>0</v>
      </c>
      <c r="R170" s="285" t="s">
        <v>6788</v>
      </c>
      <c r="S170" s="15">
        <v>39737</v>
      </c>
      <c r="T170" s="285">
        <v>1685</v>
      </c>
    </row>
    <row r="171" spans="1:20" ht="30.75" customHeight="1" x14ac:dyDescent="0.2">
      <c r="A171" s="21">
        <v>167</v>
      </c>
      <c r="B171" s="289" t="s">
        <v>5183</v>
      </c>
      <c r="C171" s="289" t="s">
        <v>5274</v>
      </c>
      <c r="D171" s="9" t="s">
        <v>2962</v>
      </c>
      <c r="E171" s="12">
        <v>2008</v>
      </c>
      <c r="F171" s="26" t="s">
        <v>6795</v>
      </c>
      <c r="G171" s="285" t="s">
        <v>7917</v>
      </c>
      <c r="H171" s="285" t="s">
        <v>5127</v>
      </c>
      <c r="I171" s="289"/>
      <c r="J171" s="285"/>
      <c r="K171" s="289"/>
      <c r="L171" s="289"/>
      <c r="M171" s="15">
        <v>41275</v>
      </c>
      <c r="N171" s="16">
        <v>1</v>
      </c>
      <c r="O171" s="17">
        <v>105000</v>
      </c>
      <c r="P171" s="17">
        <v>105000</v>
      </c>
      <c r="Q171" s="17">
        <f t="shared" si="4"/>
        <v>0</v>
      </c>
      <c r="R171" s="285" t="s">
        <v>6788</v>
      </c>
      <c r="S171" s="15">
        <v>39737</v>
      </c>
      <c r="T171" s="285">
        <v>1685</v>
      </c>
    </row>
    <row r="172" spans="1:20" ht="30.75" customHeight="1" x14ac:dyDescent="0.2">
      <c r="A172" s="21">
        <v>168</v>
      </c>
      <c r="B172" s="289" t="s">
        <v>5184</v>
      </c>
      <c r="C172" s="289" t="s">
        <v>5274</v>
      </c>
      <c r="D172" s="9" t="s">
        <v>1837</v>
      </c>
      <c r="E172" s="12">
        <v>2008</v>
      </c>
      <c r="F172" s="26" t="s">
        <v>6796</v>
      </c>
      <c r="G172" s="285" t="s">
        <v>7917</v>
      </c>
      <c r="H172" s="285" t="s">
        <v>5127</v>
      </c>
      <c r="I172" s="289"/>
      <c r="J172" s="285"/>
      <c r="K172" s="289"/>
      <c r="L172" s="289"/>
      <c r="M172" s="15">
        <v>40544</v>
      </c>
      <c r="N172" s="16">
        <v>2</v>
      </c>
      <c r="O172" s="17">
        <v>10000</v>
      </c>
      <c r="P172" s="17">
        <v>10000</v>
      </c>
      <c r="Q172" s="17">
        <f t="shared" si="4"/>
        <v>0</v>
      </c>
      <c r="R172" s="285" t="s">
        <v>6788</v>
      </c>
      <c r="S172" s="15">
        <v>39737</v>
      </c>
      <c r="T172" s="285">
        <v>1685</v>
      </c>
    </row>
    <row r="173" spans="1:20" ht="30.75" customHeight="1" x14ac:dyDescent="0.2">
      <c r="A173" s="21">
        <v>169</v>
      </c>
      <c r="B173" s="289" t="s">
        <v>5185</v>
      </c>
      <c r="C173" s="289" t="s">
        <v>5274</v>
      </c>
      <c r="D173" s="9" t="s">
        <v>2560</v>
      </c>
      <c r="E173" s="12" t="s">
        <v>1640</v>
      </c>
      <c r="F173" s="26" t="s">
        <v>6797</v>
      </c>
      <c r="G173" s="285" t="s">
        <v>7917</v>
      </c>
      <c r="H173" s="285" t="s">
        <v>5127</v>
      </c>
      <c r="I173" s="289"/>
      <c r="J173" s="285"/>
      <c r="K173" s="289"/>
      <c r="L173" s="289"/>
      <c r="M173" s="15">
        <v>40544</v>
      </c>
      <c r="N173" s="16">
        <v>2</v>
      </c>
      <c r="O173" s="17">
        <v>10000</v>
      </c>
      <c r="P173" s="17">
        <v>10000</v>
      </c>
      <c r="Q173" s="17">
        <f t="shared" si="4"/>
        <v>0</v>
      </c>
      <c r="R173" s="285" t="s">
        <v>6788</v>
      </c>
      <c r="S173" s="15">
        <v>39762</v>
      </c>
      <c r="T173" s="285">
        <v>2036</v>
      </c>
    </row>
    <row r="174" spans="1:20" ht="30.75" customHeight="1" x14ac:dyDescent="0.2">
      <c r="A174" s="21">
        <v>170</v>
      </c>
      <c r="B174" s="289" t="s">
        <v>4596</v>
      </c>
      <c r="C174" s="289" t="s">
        <v>5274</v>
      </c>
      <c r="D174" s="9" t="s">
        <v>5719</v>
      </c>
      <c r="E174" s="12">
        <v>2008</v>
      </c>
      <c r="F174" s="26" t="s">
        <v>6798</v>
      </c>
      <c r="G174" s="285" t="s">
        <v>7917</v>
      </c>
      <c r="H174" s="285" t="s">
        <v>5127</v>
      </c>
      <c r="I174" s="289"/>
      <c r="J174" s="285"/>
      <c r="K174" s="289"/>
      <c r="L174" s="289"/>
      <c r="M174" s="15">
        <v>41275</v>
      </c>
      <c r="N174" s="16">
        <v>2</v>
      </c>
      <c r="O174" s="17">
        <v>66000</v>
      </c>
      <c r="P174" s="17">
        <v>66000</v>
      </c>
      <c r="Q174" s="17">
        <f t="shared" si="4"/>
        <v>0</v>
      </c>
      <c r="R174" s="285" t="s">
        <v>6788</v>
      </c>
      <c r="S174" s="15">
        <v>39762</v>
      </c>
      <c r="T174" s="285">
        <v>2036</v>
      </c>
    </row>
    <row r="175" spans="1:20" ht="30.75" customHeight="1" x14ac:dyDescent="0.2">
      <c r="A175" s="21">
        <v>171</v>
      </c>
      <c r="B175" s="289" t="s">
        <v>4597</v>
      </c>
      <c r="C175" s="289" t="s">
        <v>5274</v>
      </c>
      <c r="D175" s="9" t="s">
        <v>4060</v>
      </c>
      <c r="E175" s="12" t="s">
        <v>1640</v>
      </c>
      <c r="F175" s="26" t="s">
        <v>6799</v>
      </c>
      <c r="G175" s="285" t="s">
        <v>7917</v>
      </c>
      <c r="H175" s="285" t="s">
        <v>5127</v>
      </c>
      <c r="I175" s="289"/>
      <c r="J175" s="285"/>
      <c r="K175" s="289"/>
      <c r="L175" s="289"/>
      <c r="M175" s="15">
        <v>40544</v>
      </c>
      <c r="N175" s="16">
        <v>1</v>
      </c>
      <c r="O175" s="17">
        <v>5000</v>
      </c>
      <c r="P175" s="17">
        <v>5000</v>
      </c>
      <c r="Q175" s="17">
        <f t="shared" si="4"/>
        <v>0</v>
      </c>
      <c r="R175" s="285" t="s">
        <v>6788</v>
      </c>
      <c r="S175" s="15">
        <v>39762</v>
      </c>
      <c r="T175" s="285">
        <v>2036</v>
      </c>
    </row>
    <row r="176" spans="1:20" ht="30.75" customHeight="1" x14ac:dyDescent="0.2">
      <c r="A176" s="21">
        <v>172</v>
      </c>
      <c r="B176" s="289" t="s">
        <v>3047</v>
      </c>
      <c r="C176" s="289"/>
      <c r="D176" s="9" t="s">
        <v>1086</v>
      </c>
      <c r="E176" s="12">
        <v>2008</v>
      </c>
      <c r="F176" s="26" t="s">
        <v>2479</v>
      </c>
      <c r="G176" s="285" t="s">
        <v>7917</v>
      </c>
      <c r="H176" s="285" t="s">
        <v>5127</v>
      </c>
      <c r="I176" s="289"/>
      <c r="J176" s="285"/>
      <c r="K176" s="289"/>
      <c r="L176" s="289"/>
      <c r="M176" s="15">
        <v>40544</v>
      </c>
      <c r="N176" s="16">
        <v>1</v>
      </c>
      <c r="O176" s="17">
        <v>8000</v>
      </c>
      <c r="P176" s="17">
        <v>8000</v>
      </c>
      <c r="Q176" s="17">
        <f t="shared" si="4"/>
        <v>0</v>
      </c>
      <c r="R176" s="285" t="s">
        <v>6788</v>
      </c>
      <c r="S176" s="15">
        <v>39762</v>
      </c>
      <c r="T176" s="285">
        <v>2036</v>
      </c>
    </row>
    <row r="177" spans="1:20" ht="30.75" customHeight="1" x14ac:dyDescent="0.2">
      <c r="A177" s="21">
        <v>173</v>
      </c>
      <c r="B177" s="289" t="s">
        <v>3048</v>
      </c>
      <c r="C177" s="289" t="s">
        <v>5274</v>
      </c>
      <c r="D177" s="9" t="s">
        <v>5182</v>
      </c>
      <c r="E177" s="12">
        <v>2008</v>
      </c>
      <c r="F177" s="26" t="s">
        <v>6800</v>
      </c>
      <c r="G177" s="285" t="s">
        <v>7917</v>
      </c>
      <c r="H177" s="285" t="s">
        <v>5127</v>
      </c>
      <c r="I177" s="289"/>
      <c r="J177" s="285"/>
      <c r="K177" s="289"/>
      <c r="L177" s="289"/>
      <c r="M177" s="15">
        <v>40544</v>
      </c>
      <c r="N177" s="16">
        <v>1</v>
      </c>
      <c r="O177" s="17">
        <v>16000</v>
      </c>
      <c r="P177" s="17">
        <v>16000</v>
      </c>
      <c r="Q177" s="17">
        <f t="shared" si="4"/>
        <v>0</v>
      </c>
      <c r="R177" s="285" t="s">
        <v>6788</v>
      </c>
      <c r="S177" s="15">
        <v>39762</v>
      </c>
      <c r="T177" s="285">
        <v>2036</v>
      </c>
    </row>
    <row r="178" spans="1:20" ht="52.5" customHeight="1" x14ac:dyDescent="0.2">
      <c r="A178" s="21">
        <v>174</v>
      </c>
      <c r="B178" s="289" t="s">
        <v>3049</v>
      </c>
      <c r="C178" s="289" t="s">
        <v>5274</v>
      </c>
      <c r="D178" s="9" t="s">
        <v>4372</v>
      </c>
      <c r="E178" s="12">
        <v>2008</v>
      </c>
      <c r="F178" s="26" t="s">
        <v>11709</v>
      </c>
      <c r="G178" s="285" t="s">
        <v>7917</v>
      </c>
      <c r="H178" s="285" t="s">
        <v>5127</v>
      </c>
      <c r="I178" s="289"/>
      <c r="J178" s="285"/>
      <c r="K178" s="289"/>
      <c r="L178" s="289"/>
      <c r="M178" s="15">
        <v>40544</v>
      </c>
      <c r="N178" s="16">
        <f>2-1</f>
        <v>1</v>
      </c>
      <c r="O178" s="17">
        <f>8000-4000</f>
        <v>4000</v>
      </c>
      <c r="P178" s="17">
        <v>4000</v>
      </c>
      <c r="Q178" s="17">
        <f t="shared" si="4"/>
        <v>0</v>
      </c>
      <c r="R178" s="285" t="s">
        <v>6788</v>
      </c>
      <c r="S178" s="15">
        <v>39762</v>
      </c>
      <c r="T178" s="285">
        <v>2036</v>
      </c>
    </row>
    <row r="179" spans="1:20" ht="39" customHeight="1" x14ac:dyDescent="0.2">
      <c r="A179" s="21">
        <v>175</v>
      </c>
      <c r="B179" s="289" t="s">
        <v>3050</v>
      </c>
      <c r="C179" s="289" t="s">
        <v>5274</v>
      </c>
      <c r="D179" s="9" t="s">
        <v>1137</v>
      </c>
      <c r="E179" s="12" t="s">
        <v>1640</v>
      </c>
      <c r="F179" s="26" t="s">
        <v>6801</v>
      </c>
      <c r="G179" s="285" t="s">
        <v>7917</v>
      </c>
      <c r="H179" s="285" t="s">
        <v>5127</v>
      </c>
      <c r="I179" s="289"/>
      <c r="J179" s="285"/>
      <c r="K179" s="289"/>
      <c r="L179" s="289"/>
      <c r="M179" s="15">
        <v>40544</v>
      </c>
      <c r="N179" s="16">
        <v>2</v>
      </c>
      <c r="O179" s="17">
        <v>32000</v>
      </c>
      <c r="P179" s="17">
        <v>32000</v>
      </c>
      <c r="Q179" s="17">
        <f t="shared" si="4"/>
        <v>0</v>
      </c>
      <c r="R179" s="285" t="s">
        <v>6788</v>
      </c>
      <c r="S179" s="15">
        <v>39762</v>
      </c>
      <c r="T179" s="285">
        <v>2036</v>
      </c>
    </row>
    <row r="180" spans="1:20" ht="39" customHeight="1" x14ac:dyDescent="0.2">
      <c r="A180" s="21">
        <v>176</v>
      </c>
      <c r="B180" s="289" t="s">
        <v>3051</v>
      </c>
      <c r="C180" s="289" t="s">
        <v>5274</v>
      </c>
      <c r="D180" s="9" t="s">
        <v>5907</v>
      </c>
      <c r="E180" s="12" t="s">
        <v>1640</v>
      </c>
      <c r="F180" s="26" t="s">
        <v>6802</v>
      </c>
      <c r="G180" s="285" t="s">
        <v>7917</v>
      </c>
      <c r="H180" s="285" t="s">
        <v>5127</v>
      </c>
      <c r="I180" s="289"/>
      <c r="J180" s="285"/>
      <c r="K180" s="289"/>
      <c r="L180" s="289"/>
      <c r="M180" s="15">
        <v>40544</v>
      </c>
      <c r="N180" s="16">
        <v>1</v>
      </c>
      <c r="O180" s="17">
        <v>19200</v>
      </c>
      <c r="P180" s="17">
        <v>19200</v>
      </c>
      <c r="Q180" s="17">
        <f t="shared" si="4"/>
        <v>0</v>
      </c>
      <c r="R180" s="285" t="s">
        <v>6788</v>
      </c>
      <c r="S180" s="15">
        <v>39762</v>
      </c>
      <c r="T180" s="285">
        <v>2034</v>
      </c>
    </row>
    <row r="181" spans="1:20" ht="39" customHeight="1" x14ac:dyDescent="0.2">
      <c r="A181" s="21">
        <v>177</v>
      </c>
      <c r="B181" s="289" t="s">
        <v>934</v>
      </c>
      <c r="C181" s="289" t="s">
        <v>5274</v>
      </c>
      <c r="D181" s="9" t="s">
        <v>2311</v>
      </c>
      <c r="E181" s="12">
        <v>2008</v>
      </c>
      <c r="F181" s="26" t="s">
        <v>6803</v>
      </c>
      <c r="G181" s="285" t="s">
        <v>7917</v>
      </c>
      <c r="H181" s="285" t="s">
        <v>5127</v>
      </c>
      <c r="I181" s="289"/>
      <c r="J181" s="285"/>
      <c r="K181" s="289"/>
      <c r="L181" s="289"/>
      <c r="M181" s="15">
        <v>41275</v>
      </c>
      <c r="N181" s="16">
        <v>1</v>
      </c>
      <c r="O181" s="17">
        <v>59000</v>
      </c>
      <c r="P181" s="17">
        <v>59000</v>
      </c>
      <c r="Q181" s="17">
        <f t="shared" si="4"/>
        <v>0</v>
      </c>
      <c r="R181" s="285" t="s">
        <v>6788</v>
      </c>
      <c r="S181" s="15">
        <v>39720</v>
      </c>
      <c r="T181" s="285">
        <v>1426</v>
      </c>
    </row>
    <row r="182" spans="1:20" ht="39" customHeight="1" x14ac:dyDescent="0.2">
      <c r="A182" s="21">
        <v>178</v>
      </c>
      <c r="B182" s="289" t="s">
        <v>935</v>
      </c>
      <c r="C182" s="289" t="s">
        <v>5274</v>
      </c>
      <c r="D182" s="9" t="s">
        <v>5993</v>
      </c>
      <c r="E182" s="15" t="s">
        <v>3537</v>
      </c>
      <c r="F182" s="26" t="s">
        <v>6804</v>
      </c>
      <c r="G182" s="285" t="s">
        <v>7917</v>
      </c>
      <c r="H182" s="285" t="s">
        <v>5127</v>
      </c>
      <c r="I182" s="289"/>
      <c r="J182" s="285"/>
      <c r="K182" s="289"/>
      <c r="L182" s="289"/>
      <c r="M182" s="15">
        <v>41275</v>
      </c>
      <c r="N182" s="16">
        <v>1</v>
      </c>
      <c r="O182" s="17">
        <v>36000</v>
      </c>
      <c r="P182" s="17">
        <v>36000</v>
      </c>
      <c r="Q182" s="17">
        <f t="shared" si="4"/>
        <v>0</v>
      </c>
      <c r="R182" s="285" t="s">
        <v>6788</v>
      </c>
      <c r="S182" s="15">
        <v>39720</v>
      </c>
      <c r="T182" s="285">
        <v>1426</v>
      </c>
    </row>
    <row r="183" spans="1:20" ht="78" customHeight="1" x14ac:dyDescent="0.2">
      <c r="A183" s="21">
        <v>179</v>
      </c>
      <c r="B183" s="289" t="s">
        <v>936</v>
      </c>
      <c r="C183" s="289" t="s">
        <v>5274</v>
      </c>
      <c r="D183" s="9" t="s">
        <v>2311</v>
      </c>
      <c r="E183" s="15">
        <v>40057</v>
      </c>
      <c r="F183" s="26" t="s">
        <v>7001</v>
      </c>
      <c r="G183" s="285" t="s">
        <v>7981</v>
      </c>
      <c r="H183" s="285" t="s">
        <v>5127</v>
      </c>
      <c r="I183" s="289"/>
      <c r="J183" s="22" t="s">
        <v>9411</v>
      </c>
      <c r="K183" s="15">
        <v>40544</v>
      </c>
      <c r="L183" s="289" t="s">
        <v>1029</v>
      </c>
      <c r="M183" s="15">
        <v>40057</v>
      </c>
      <c r="N183" s="16">
        <v>1</v>
      </c>
      <c r="O183" s="17">
        <v>59000</v>
      </c>
      <c r="P183" s="17">
        <v>59000</v>
      </c>
      <c r="Q183" s="17">
        <f t="shared" si="4"/>
        <v>0</v>
      </c>
      <c r="R183" s="285" t="s">
        <v>5071</v>
      </c>
      <c r="S183" s="15">
        <v>39720</v>
      </c>
      <c r="T183" s="285">
        <v>1427</v>
      </c>
    </row>
    <row r="184" spans="1:20" ht="79.5" customHeight="1" x14ac:dyDescent="0.2">
      <c r="A184" s="21">
        <v>180</v>
      </c>
      <c r="B184" s="289" t="s">
        <v>937</v>
      </c>
      <c r="C184" s="289" t="s">
        <v>5274</v>
      </c>
      <c r="D184" s="9" t="s">
        <v>5993</v>
      </c>
      <c r="E184" s="15">
        <v>40057</v>
      </c>
      <c r="F184" s="26" t="s">
        <v>7015</v>
      </c>
      <c r="G184" s="285" t="s">
        <v>7981</v>
      </c>
      <c r="H184" s="285" t="s">
        <v>5127</v>
      </c>
      <c r="I184" s="289"/>
      <c r="J184" s="22" t="s">
        <v>9411</v>
      </c>
      <c r="K184" s="15">
        <v>40544</v>
      </c>
      <c r="L184" s="289" t="s">
        <v>1029</v>
      </c>
      <c r="M184" s="15">
        <v>40057</v>
      </c>
      <c r="N184" s="16">
        <v>1</v>
      </c>
      <c r="O184" s="17">
        <v>36000</v>
      </c>
      <c r="P184" s="17">
        <v>36000</v>
      </c>
      <c r="Q184" s="17">
        <f t="shared" si="4"/>
        <v>0</v>
      </c>
      <c r="R184" s="285" t="s">
        <v>5071</v>
      </c>
      <c r="S184" s="15">
        <v>39720</v>
      </c>
      <c r="T184" s="285">
        <v>1427</v>
      </c>
    </row>
    <row r="185" spans="1:20" ht="81.75" customHeight="1" x14ac:dyDescent="0.2">
      <c r="A185" s="21">
        <v>181</v>
      </c>
      <c r="B185" s="289" t="s">
        <v>938</v>
      </c>
      <c r="C185" s="289" t="s">
        <v>5274</v>
      </c>
      <c r="D185" s="9" t="s">
        <v>9493</v>
      </c>
      <c r="E185" s="15">
        <v>39813</v>
      </c>
      <c r="F185" s="26" t="s">
        <v>7016</v>
      </c>
      <c r="G185" s="285" t="s">
        <v>7981</v>
      </c>
      <c r="H185" s="285" t="s">
        <v>5127</v>
      </c>
      <c r="I185" s="289"/>
      <c r="J185" s="22" t="s">
        <v>9411</v>
      </c>
      <c r="K185" s="15">
        <v>40544</v>
      </c>
      <c r="L185" s="289" t="s">
        <v>1029</v>
      </c>
      <c r="M185" s="15">
        <v>39813</v>
      </c>
      <c r="N185" s="16">
        <v>1</v>
      </c>
      <c r="O185" s="17">
        <v>33562</v>
      </c>
      <c r="P185" s="17">
        <v>33562</v>
      </c>
      <c r="Q185" s="17">
        <f t="shared" si="4"/>
        <v>0</v>
      </c>
      <c r="R185" s="285" t="s">
        <v>5071</v>
      </c>
      <c r="S185" s="15">
        <v>39780</v>
      </c>
      <c r="T185" s="285">
        <v>7656</v>
      </c>
    </row>
    <row r="186" spans="1:20" ht="76.5" customHeight="1" x14ac:dyDescent="0.2">
      <c r="A186" s="21">
        <v>182</v>
      </c>
      <c r="B186" s="289" t="s">
        <v>939</v>
      </c>
      <c r="C186" s="289" t="s">
        <v>5274</v>
      </c>
      <c r="D186" s="9" t="s">
        <v>5271</v>
      </c>
      <c r="E186" s="15">
        <v>39813</v>
      </c>
      <c r="F186" s="26" t="s">
        <v>7017</v>
      </c>
      <c r="G186" s="285" t="s">
        <v>7981</v>
      </c>
      <c r="H186" s="285" t="s">
        <v>5127</v>
      </c>
      <c r="I186" s="289"/>
      <c r="J186" s="22" t="s">
        <v>9411</v>
      </c>
      <c r="K186" s="15">
        <v>40544</v>
      </c>
      <c r="L186" s="289" t="s">
        <v>1029</v>
      </c>
      <c r="M186" s="15">
        <v>39813</v>
      </c>
      <c r="N186" s="16">
        <v>2</v>
      </c>
      <c r="O186" s="17">
        <v>60000</v>
      </c>
      <c r="P186" s="17">
        <v>60000</v>
      </c>
      <c r="Q186" s="17">
        <f t="shared" si="4"/>
        <v>0</v>
      </c>
      <c r="R186" s="285" t="s">
        <v>5071</v>
      </c>
      <c r="S186" s="15">
        <v>39685</v>
      </c>
      <c r="T186" s="285">
        <v>640</v>
      </c>
    </row>
    <row r="187" spans="1:20" ht="39" customHeight="1" x14ac:dyDescent="0.2">
      <c r="A187" s="21">
        <v>183</v>
      </c>
      <c r="B187" s="289" t="s">
        <v>940</v>
      </c>
      <c r="C187" s="289" t="s">
        <v>5274</v>
      </c>
      <c r="D187" s="9" t="s">
        <v>4236</v>
      </c>
      <c r="E187" s="15" t="s">
        <v>3537</v>
      </c>
      <c r="F187" s="26" t="s">
        <v>6805</v>
      </c>
      <c r="G187" s="285" t="s">
        <v>7917</v>
      </c>
      <c r="H187" s="285" t="s">
        <v>5127</v>
      </c>
      <c r="I187" s="289"/>
      <c r="J187" s="285"/>
      <c r="K187" s="289"/>
      <c r="L187" s="289"/>
      <c r="M187" s="15">
        <v>41275</v>
      </c>
      <c r="N187" s="16">
        <v>1</v>
      </c>
      <c r="O187" s="17">
        <v>52000</v>
      </c>
      <c r="P187" s="17">
        <v>52000</v>
      </c>
      <c r="Q187" s="17">
        <f t="shared" si="4"/>
        <v>0</v>
      </c>
      <c r="R187" s="285" t="s">
        <v>6788</v>
      </c>
      <c r="S187" s="15">
        <v>39791</v>
      </c>
      <c r="T187" s="285">
        <v>2479</v>
      </c>
    </row>
    <row r="188" spans="1:20" ht="39" customHeight="1" x14ac:dyDescent="0.2">
      <c r="A188" s="21">
        <v>184</v>
      </c>
      <c r="B188" s="289" t="s">
        <v>490</v>
      </c>
      <c r="C188" s="289" t="s">
        <v>5274</v>
      </c>
      <c r="D188" s="9" t="s">
        <v>2545</v>
      </c>
      <c r="E188" s="15" t="s">
        <v>3537</v>
      </c>
      <c r="F188" s="26" t="s">
        <v>6806</v>
      </c>
      <c r="G188" s="285" t="s">
        <v>7917</v>
      </c>
      <c r="H188" s="285" t="s">
        <v>5127</v>
      </c>
      <c r="I188" s="289"/>
      <c r="J188" s="285"/>
      <c r="K188" s="289"/>
      <c r="L188" s="289"/>
      <c r="M188" s="15">
        <v>41275</v>
      </c>
      <c r="N188" s="16">
        <v>1</v>
      </c>
      <c r="O188" s="17">
        <v>46000</v>
      </c>
      <c r="P188" s="17">
        <v>46000</v>
      </c>
      <c r="Q188" s="17">
        <f t="shared" si="4"/>
        <v>0</v>
      </c>
      <c r="R188" s="285" t="s">
        <v>6788</v>
      </c>
      <c r="S188" s="15">
        <v>39791</v>
      </c>
      <c r="T188" s="285">
        <v>2479</v>
      </c>
    </row>
    <row r="189" spans="1:20" ht="39" customHeight="1" x14ac:dyDescent="0.2">
      <c r="A189" s="21">
        <v>185</v>
      </c>
      <c r="B189" s="289" t="s">
        <v>491</v>
      </c>
      <c r="C189" s="289" t="s">
        <v>5274</v>
      </c>
      <c r="D189" s="9" t="s">
        <v>1963</v>
      </c>
      <c r="E189" s="15" t="s">
        <v>3537</v>
      </c>
      <c r="F189" s="26" t="s">
        <v>6807</v>
      </c>
      <c r="G189" s="285" t="s">
        <v>7917</v>
      </c>
      <c r="H189" s="285" t="s">
        <v>5127</v>
      </c>
      <c r="I189" s="289"/>
      <c r="J189" s="285"/>
      <c r="K189" s="289"/>
      <c r="L189" s="289"/>
      <c r="M189" s="15">
        <v>41275</v>
      </c>
      <c r="N189" s="16">
        <v>1</v>
      </c>
      <c r="O189" s="17">
        <v>63000</v>
      </c>
      <c r="P189" s="17">
        <v>63000</v>
      </c>
      <c r="Q189" s="17">
        <f t="shared" si="4"/>
        <v>0</v>
      </c>
      <c r="R189" s="285" t="s">
        <v>6788</v>
      </c>
      <c r="S189" s="15">
        <v>39791</v>
      </c>
      <c r="T189" s="285">
        <v>2479</v>
      </c>
    </row>
    <row r="190" spans="1:20" ht="78" customHeight="1" x14ac:dyDescent="0.2">
      <c r="A190" s="21">
        <v>186</v>
      </c>
      <c r="B190" s="289" t="s">
        <v>1794</v>
      </c>
      <c r="C190" s="289" t="s">
        <v>5274</v>
      </c>
      <c r="D190" s="9" t="s">
        <v>3305</v>
      </c>
      <c r="E190" s="15">
        <v>40544</v>
      </c>
      <c r="F190" s="26" t="s">
        <v>6834</v>
      </c>
      <c r="G190" s="285" t="s">
        <v>7982</v>
      </c>
      <c r="H190" s="285" t="s">
        <v>5127</v>
      </c>
      <c r="I190" s="289"/>
      <c r="J190" s="22" t="s">
        <v>9411</v>
      </c>
      <c r="K190" s="15">
        <v>40544</v>
      </c>
      <c r="L190" s="289" t="s">
        <v>1029</v>
      </c>
      <c r="M190" s="15">
        <v>40544</v>
      </c>
      <c r="N190" s="16">
        <v>1</v>
      </c>
      <c r="O190" s="17">
        <v>301265.13</v>
      </c>
      <c r="P190" s="17">
        <v>301265.13</v>
      </c>
      <c r="Q190" s="17">
        <f t="shared" si="4"/>
        <v>0</v>
      </c>
      <c r="R190" s="285" t="s">
        <v>9480</v>
      </c>
      <c r="S190" s="289">
        <v>2008</v>
      </c>
      <c r="T190" s="285"/>
    </row>
    <row r="191" spans="1:20" ht="50.25" customHeight="1" x14ac:dyDescent="0.2">
      <c r="A191" s="21">
        <v>187</v>
      </c>
      <c r="B191" s="289" t="s">
        <v>5246</v>
      </c>
      <c r="C191" s="289" t="s">
        <v>5274</v>
      </c>
      <c r="D191" s="9" t="s">
        <v>2786</v>
      </c>
      <c r="E191" s="15"/>
      <c r="F191" s="26" t="s">
        <v>3251</v>
      </c>
      <c r="G191" s="285" t="s">
        <v>9194</v>
      </c>
      <c r="H191" s="285" t="s">
        <v>5127</v>
      </c>
      <c r="I191" s="289"/>
      <c r="J191" s="285" t="s">
        <v>3132</v>
      </c>
      <c r="K191" s="15">
        <v>40337</v>
      </c>
      <c r="L191" s="289" t="s">
        <v>2318</v>
      </c>
      <c r="M191" s="289" t="s">
        <v>9472</v>
      </c>
      <c r="N191" s="16">
        <v>1</v>
      </c>
      <c r="O191" s="17">
        <v>19200</v>
      </c>
      <c r="P191" s="17">
        <v>19200</v>
      </c>
      <c r="Q191" s="17">
        <f t="shared" si="4"/>
        <v>0</v>
      </c>
      <c r="R191" s="285" t="s">
        <v>5071</v>
      </c>
      <c r="S191" s="15">
        <v>39862</v>
      </c>
      <c r="T191" s="285">
        <v>4</v>
      </c>
    </row>
    <row r="192" spans="1:20" ht="45.75" customHeight="1" x14ac:dyDescent="0.2">
      <c r="A192" s="21">
        <v>188</v>
      </c>
      <c r="B192" s="289" t="s">
        <v>5247</v>
      </c>
      <c r="C192" s="289" t="s">
        <v>5274</v>
      </c>
      <c r="D192" s="9" t="s">
        <v>259</v>
      </c>
      <c r="E192" s="15"/>
      <c r="F192" s="26" t="s">
        <v>3606</v>
      </c>
      <c r="G192" s="285" t="s">
        <v>9194</v>
      </c>
      <c r="H192" s="285" t="s">
        <v>5127</v>
      </c>
      <c r="I192" s="289"/>
      <c r="J192" s="285" t="s">
        <v>3132</v>
      </c>
      <c r="K192" s="15">
        <v>40337</v>
      </c>
      <c r="L192" s="289" t="s">
        <v>2318</v>
      </c>
      <c r="M192" s="289" t="s">
        <v>9472</v>
      </c>
      <c r="N192" s="16">
        <v>1</v>
      </c>
      <c r="O192" s="17">
        <v>31637.31</v>
      </c>
      <c r="P192" s="17">
        <v>31637.31</v>
      </c>
      <c r="Q192" s="17">
        <f t="shared" si="4"/>
        <v>0</v>
      </c>
      <c r="R192" s="285" t="s">
        <v>5071</v>
      </c>
      <c r="S192" s="15">
        <v>39853</v>
      </c>
      <c r="T192" s="285" t="s">
        <v>1131</v>
      </c>
    </row>
    <row r="193" spans="1:20" ht="50.25" customHeight="1" x14ac:dyDescent="0.2">
      <c r="A193" s="21">
        <v>189</v>
      </c>
      <c r="B193" s="289" t="s">
        <v>5248</v>
      </c>
      <c r="C193" s="289" t="s">
        <v>5274</v>
      </c>
      <c r="D193" s="9" t="s">
        <v>1168</v>
      </c>
      <c r="E193" s="15"/>
      <c r="F193" s="26" t="s">
        <v>5921</v>
      </c>
      <c r="G193" s="285" t="s">
        <v>8661</v>
      </c>
      <c r="H193" s="285" t="s">
        <v>5127</v>
      </c>
      <c r="I193" s="289"/>
      <c r="J193" s="285" t="s">
        <v>3132</v>
      </c>
      <c r="K193" s="15">
        <v>40337</v>
      </c>
      <c r="L193" s="289" t="s">
        <v>2318</v>
      </c>
      <c r="M193" s="289" t="s">
        <v>9472</v>
      </c>
      <c r="N193" s="16">
        <v>1</v>
      </c>
      <c r="O193" s="17">
        <v>54672.44</v>
      </c>
      <c r="P193" s="17">
        <v>54672.44</v>
      </c>
      <c r="Q193" s="17">
        <f t="shared" si="4"/>
        <v>0</v>
      </c>
      <c r="R193" s="285" t="s">
        <v>5071</v>
      </c>
      <c r="S193" s="15">
        <v>39853</v>
      </c>
      <c r="T193" s="285" t="s">
        <v>1131</v>
      </c>
    </row>
    <row r="194" spans="1:20" ht="48" customHeight="1" x14ac:dyDescent="0.2">
      <c r="A194" s="21">
        <v>190</v>
      </c>
      <c r="B194" s="289" t="s">
        <v>5249</v>
      </c>
      <c r="C194" s="289"/>
      <c r="D194" s="9" t="s">
        <v>3357</v>
      </c>
      <c r="E194" s="12">
        <v>2008</v>
      </c>
      <c r="F194" s="26" t="s">
        <v>5922</v>
      </c>
      <c r="G194" s="285" t="s">
        <v>8661</v>
      </c>
      <c r="H194" s="285" t="s">
        <v>5127</v>
      </c>
      <c r="I194" s="289"/>
      <c r="J194" s="285" t="s">
        <v>3132</v>
      </c>
      <c r="K194" s="15">
        <v>40337</v>
      </c>
      <c r="L194" s="289" t="s">
        <v>2318</v>
      </c>
      <c r="M194" s="289" t="s">
        <v>9472</v>
      </c>
      <c r="N194" s="16">
        <v>1</v>
      </c>
      <c r="O194" s="17">
        <v>3900</v>
      </c>
      <c r="P194" s="17">
        <v>3900</v>
      </c>
      <c r="Q194" s="17">
        <f t="shared" si="4"/>
        <v>0</v>
      </c>
      <c r="R194" s="285"/>
      <c r="S194" s="15"/>
      <c r="T194" s="285"/>
    </row>
    <row r="195" spans="1:20" ht="74.25" customHeight="1" x14ac:dyDescent="0.2">
      <c r="A195" s="21">
        <v>191</v>
      </c>
      <c r="B195" s="289" t="s">
        <v>5250</v>
      </c>
      <c r="C195" s="289"/>
      <c r="D195" s="9" t="s">
        <v>3885</v>
      </c>
      <c r="E195" s="12" t="s">
        <v>2263</v>
      </c>
      <c r="F195" s="26" t="s">
        <v>5923</v>
      </c>
      <c r="G195" s="285" t="s">
        <v>8661</v>
      </c>
      <c r="H195" s="285" t="s">
        <v>5127</v>
      </c>
      <c r="I195" s="289"/>
      <c r="J195" s="285" t="s">
        <v>3132</v>
      </c>
      <c r="K195" s="15">
        <v>40337</v>
      </c>
      <c r="L195" s="289" t="s">
        <v>2318</v>
      </c>
      <c r="M195" s="289" t="s">
        <v>9472</v>
      </c>
      <c r="N195" s="16">
        <v>1</v>
      </c>
      <c r="O195" s="17">
        <v>3700</v>
      </c>
      <c r="P195" s="17">
        <v>3700</v>
      </c>
      <c r="Q195" s="17">
        <f t="shared" si="4"/>
        <v>0</v>
      </c>
      <c r="R195" s="285"/>
      <c r="S195" s="15"/>
      <c r="T195" s="285"/>
    </row>
    <row r="196" spans="1:20" ht="81.75" customHeight="1" x14ac:dyDescent="0.2">
      <c r="A196" s="21">
        <v>192</v>
      </c>
      <c r="B196" s="289" t="s">
        <v>5251</v>
      </c>
      <c r="C196" s="289"/>
      <c r="D196" s="9" t="s">
        <v>3885</v>
      </c>
      <c r="E196" s="12" t="s">
        <v>2263</v>
      </c>
      <c r="F196" s="26" t="s">
        <v>1074</v>
      </c>
      <c r="G196" s="285" t="s">
        <v>9194</v>
      </c>
      <c r="H196" s="285" t="s">
        <v>5127</v>
      </c>
      <c r="I196" s="289"/>
      <c r="J196" s="285" t="s">
        <v>3132</v>
      </c>
      <c r="K196" s="15">
        <v>40337</v>
      </c>
      <c r="L196" s="289" t="s">
        <v>2318</v>
      </c>
      <c r="M196" s="289" t="s">
        <v>9472</v>
      </c>
      <c r="N196" s="16">
        <v>1</v>
      </c>
      <c r="O196" s="17">
        <v>3100</v>
      </c>
      <c r="P196" s="17">
        <v>3100</v>
      </c>
      <c r="Q196" s="17">
        <f t="shared" si="4"/>
        <v>0</v>
      </c>
      <c r="R196" s="285"/>
      <c r="S196" s="15"/>
      <c r="T196" s="285"/>
    </row>
    <row r="197" spans="1:20" ht="76.5" customHeight="1" x14ac:dyDescent="0.2">
      <c r="A197" s="21">
        <v>193</v>
      </c>
      <c r="B197" s="289" t="s">
        <v>5252</v>
      </c>
      <c r="C197" s="289"/>
      <c r="D197" s="9" t="s">
        <v>1130</v>
      </c>
      <c r="E197" s="15"/>
      <c r="F197" s="26" t="s">
        <v>402</v>
      </c>
      <c r="G197" s="285" t="s">
        <v>4877</v>
      </c>
      <c r="H197" s="285" t="s">
        <v>3793</v>
      </c>
      <c r="I197" s="289"/>
      <c r="J197" s="285" t="s">
        <v>3136</v>
      </c>
      <c r="K197" s="15">
        <v>40056</v>
      </c>
      <c r="L197" s="289">
        <v>534</v>
      </c>
      <c r="M197" s="289" t="s">
        <v>9472</v>
      </c>
      <c r="N197" s="16">
        <v>1</v>
      </c>
      <c r="O197" s="17">
        <v>47600</v>
      </c>
      <c r="P197" s="17">
        <v>47600</v>
      </c>
      <c r="Q197" s="17">
        <f t="shared" ref="Q197:Q260" si="5">O197-P197</f>
        <v>0</v>
      </c>
      <c r="R197" s="285" t="s">
        <v>5071</v>
      </c>
      <c r="S197" s="15">
        <v>40030</v>
      </c>
      <c r="T197" s="22" t="s">
        <v>1132</v>
      </c>
    </row>
    <row r="198" spans="1:20" ht="48" customHeight="1" x14ac:dyDescent="0.2">
      <c r="A198" s="21">
        <v>194</v>
      </c>
      <c r="B198" s="289" t="s">
        <v>5253</v>
      </c>
      <c r="C198" s="289"/>
      <c r="D198" s="9" t="s">
        <v>3770</v>
      </c>
      <c r="E198" s="15"/>
      <c r="F198" s="26" t="s">
        <v>403</v>
      </c>
      <c r="G198" s="285" t="s">
        <v>4877</v>
      </c>
      <c r="H198" s="285" t="s">
        <v>3793</v>
      </c>
      <c r="I198" s="289"/>
      <c r="J198" s="285" t="s">
        <v>3136</v>
      </c>
      <c r="K198" s="15">
        <v>40056</v>
      </c>
      <c r="L198" s="289">
        <v>534</v>
      </c>
      <c r="M198" s="289" t="s">
        <v>9472</v>
      </c>
      <c r="N198" s="16">
        <v>1</v>
      </c>
      <c r="O198" s="17">
        <v>51600</v>
      </c>
      <c r="P198" s="17">
        <v>51600</v>
      </c>
      <c r="Q198" s="17">
        <f t="shared" si="5"/>
        <v>0</v>
      </c>
      <c r="R198" s="285" t="s">
        <v>5071</v>
      </c>
      <c r="S198" s="15">
        <v>40030</v>
      </c>
      <c r="T198" s="22" t="s">
        <v>1133</v>
      </c>
    </row>
    <row r="199" spans="1:20" ht="61.5" customHeight="1" x14ac:dyDescent="0.2">
      <c r="A199" s="21">
        <v>195</v>
      </c>
      <c r="B199" s="289" t="s">
        <v>689</v>
      </c>
      <c r="C199" s="289"/>
      <c r="D199" s="13" t="s">
        <v>1656</v>
      </c>
      <c r="E199" s="15"/>
      <c r="F199" s="13" t="s">
        <v>1994</v>
      </c>
      <c r="G199" s="285" t="s">
        <v>9564</v>
      </c>
      <c r="H199" s="285" t="s">
        <v>39</v>
      </c>
      <c r="I199" s="285" t="s">
        <v>2207</v>
      </c>
      <c r="J199" s="285" t="s">
        <v>9561</v>
      </c>
      <c r="K199" s="285" t="s">
        <v>9563</v>
      </c>
      <c r="L199" s="285" t="s">
        <v>9562</v>
      </c>
      <c r="M199" s="289" t="s">
        <v>9472</v>
      </c>
      <c r="N199" s="16">
        <v>1</v>
      </c>
      <c r="O199" s="17">
        <v>43600</v>
      </c>
      <c r="P199" s="17">
        <v>0</v>
      </c>
      <c r="Q199" s="17">
        <f t="shared" si="5"/>
        <v>43600</v>
      </c>
      <c r="R199" s="285" t="s">
        <v>5071</v>
      </c>
      <c r="S199" s="15">
        <v>39969</v>
      </c>
      <c r="T199" s="285">
        <v>644</v>
      </c>
    </row>
    <row r="200" spans="1:20" ht="42" customHeight="1" x14ac:dyDescent="0.2">
      <c r="A200" s="21">
        <v>196</v>
      </c>
      <c r="B200" s="289" t="s">
        <v>5236</v>
      </c>
      <c r="C200" s="289"/>
      <c r="D200" s="9" t="s">
        <v>3642</v>
      </c>
      <c r="E200" s="15" t="s">
        <v>5783</v>
      </c>
      <c r="F200" s="26" t="s">
        <v>1967</v>
      </c>
      <c r="G200" s="285" t="s">
        <v>4296</v>
      </c>
      <c r="H200" s="285" t="s">
        <v>3793</v>
      </c>
      <c r="I200" s="289"/>
      <c r="J200" s="22" t="s">
        <v>3686</v>
      </c>
      <c r="K200" s="14">
        <v>42003</v>
      </c>
      <c r="L200" s="289">
        <v>1239</v>
      </c>
      <c r="M200" s="15">
        <v>40422</v>
      </c>
      <c r="N200" s="16">
        <v>1</v>
      </c>
      <c r="O200" s="17">
        <v>351230</v>
      </c>
      <c r="P200" s="17">
        <v>333610.76</v>
      </c>
      <c r="Q200" s="17">
        <f t="shared" si="5"/>
        <v>17619.239999999991</v>
      </c>
      <c r="R200" s="285" t="s">
        <v>5071</v>
      </c>
      <c r="S200" s="15">
        <v>40056</v>
      </c>
      <c r="T200" s="285">
        <v>546</v>
      </c>
    </row>
    <row r="201" spans="1:20" ht="39.75" customHeight="1" x14ac:dyDescent="0.2">
      <c r="A201" s="21">
        <v>197</v>
      </c>
      <c r="B201" s="289" t="s">
        <v>5237</v>
      </c>
      <c r="C201" s="289"/>
      <c r="D201" s="9" t="s">
        <v>3466</v>
      </c>
      <c r="E201" s="15"/>
      <c r="F201" s="26" t="s">
        <v>6691</v>
      </c>
      <c r="G201" s="285" t="s">
        <v>4946</v>
      </c>
      <c r="H201" s="285" t="s">
        <v>5127</v>
      </c>
      <c r="I201" s="289"/>
      <c r="J201" s="285" t="s">
        <v>3136</v>
      </c>
      <c r="K201" s="15">
        <v>42156</v>
      </c>
      <c r="L201" s="289">
        <v>449</v>
      </c>
      <c r="M201" s="15">
        <v>41214</v>
      </c>
      <c r="N201" s="16">
        <v>1</v>
      </c>
      <c r="O201" s="17">
        <v>45169</v>
      </c>
      <c r="P201" s="17">
        <v>45169</v>
      </c>
      <c r="Q201" s="17">
        <f t="shared" si="5"/>
        <v>0</v>
      </c>
      <c r="R201" s="285" t="s">
        <v>5071</v>
      </c>
      <c r="S201" s="15">
        <v>39954</v>
      </c>
      <c r="T201" s="285">
        <v>1</v>
      </c>
    </row>
    <row r="202" spans="1:20" ht="39.75" customHeight="1" x14ac:dyDescent="0.2">
      <c r="A202" s="21">
        <v>198</v>
      </c>
      <c r="B202" s="289" t="s">
        <v>5238</v>
      </c>
      <c r="C202" s="289"/>
      <c r="D202" s="9" t="s">
        <v>665</v>
      </c>
      <c r="E202" s="15"/>
      <c r="F202" s="26" t="s">
        <v>6692</v>
      </c>
      <c r="G202" s="285" t="s">
        <v>4946</v>
      </c>
      <c r="H202" s="285" t="s">
        <v>5127</v>
      </c>
      <c r="I202" s="289"/>
      <c r="J202" s="285" t="s">
        <v>3136</v>
      </c>
      <c r="K202" s="15">
        <v>42156</v>
      </c>
      <c r="L202" s="289">
        <v>449</v>
      </c>
      <c r="M202" s="15">
        <v>41214</v>
      </c>
      <c r="N202" s="16">
        <v>1</v>
      </c>
      <c r="O202" s="17">
        <v>34821</v>
      </c>
      <c r="P202" s="17">
        <v>34821</v>
      </c>
      <c r="Q202" s="17">
        <f t="shared" si="5"/>
        <v>0</v>
      </c>
      <c r="R202" s="285" t="s">
        <v>5071</v>
      </c>
      <c r="S202" s="15">
        <v>39954</v>
      </c>
      <c r="T202" s="285">
        <v>1</v>
      </c>
    </row>
    <row r="203" spans="1:20" ht="33.75" customHeight="1" x14ac:dyDescent="0.2">
      <c r="A203" s="21">
        <v>199</v>
      </c>
      <c r="B203" s="289" t="s">
        <v>3869</v>
      </c>
      <c r="C203" s="289"/>
      <c r="D203" s="9" t="s">
        <v>975</v>
      </c>
      <c r="E203" s="15"/>
      <c r="F203" s="26" t="s">
        <v>6677</v>
      </c>
      <c r="G203" s="285" t="s">
        <v>4946</v>
      </c>
      <c r="H203" s="285" t="s">
        <v>5127</v>
      </c>
      <c r="I203" s="289"/>
      <c r="J203" s="285" t="s">
        <v>3132</v>
      </c>
      <c r="K203" s="15">
        <v>40403</v>
      </c>
      <c r="L203" s="289" t="s">
        <v>2320</v>
      </c>
      <c r="M203" s="15">
        <v>41183</v>
      </c>
      <c r="N203" s="16">
        <v>1</v>
      </c>
      <c r="O203" s="17">
        <v>39999.21</v>
      </c>
      <c r="P203" s="17">
        <v>33684.6</v>
      </c>
      <c r="Q203" s="17">
        <f t="shared" si="5"/>
        <v>6314.6100000000006</v>
      </c>
      <c r="R203" s="285"/>
      <c r="S203" s="15"/>
      <c r="T203" s="285"/>
    </row>
    <row r="204" spans="1:20" ht="35.25" customHeight="1" x14ac:dyDescent="0.2">
      <c r="A204" s="21">
        <v>200</v>
      </c>
      <c r="B204" s="289" t="s">
        <v>6019</v>
      </c>
      <c r="C204" s="289"/>
      <c r="D204" s="9" t="s">
        <v>3305</v>
      </c>
      <c r="E204" s="15"/>
      <c r="F204" s="26" t="s">
        <v>6065</v>
      </c>
      <c r="G204" s="56" t="s">
        <v>101</v>
      </c>
      <c r="H204" s="285" t="s">
        <v>5127</v>
      </c>
      <c r="I204" s="289"/>
      <c r="J204" s="285" t="s">
        <v>9460</v>
      </c>
      <c r="K204" s="289">
        <v>2009</v>
      </c>
      <c r="L204" s="289" t="s">
        <v>1029</v>
      </c>
      <c r="M204" s="15">
        <v>39462</v>
      </c>
      <c r="N204" s="16">
        <v>1</v>
      </c>
      <c r="O204" s="17">
        <v>21164.38</v>
      </c>
      <c r="P204" s="17">
        <v>21164.38</v>
      </c>
      <c r="Q204" s="17">
        <f t="shared" si="5"/>
        <v>0</v>
      </c>
      <c r="R204" s="285" t="s">
        <v>5071</v>
      </c>
      <c r="S204" s="15">
        <v>39462</v>
      </c>
      <c r="T204" s="285">
        <v>58</v>
      </c>
    </row>
    <row r="205" spans="1:20" ht="38.25" customHeight="1" x14ac:dyDescent="0.2">
      <c r="A205" s="21">
        <v>201</v>
      </c>
      <c r="B205" s="289" t="s">
        <v>6020</v>
      </c>
      <c r="C205" s="289"/>
      <c r="D205" s="9" t="s">
        <v>6170</v>
      </c>
      <c r="E205" s="15"/>
      <c r="F205" s="26" t="s">
        <v>6693</v>
      </c>
      <c r="G205" s="285" t="s">
        <v>4946</v>
      </c>
      <c r="H205" s="285" t="s">
        <v>5127</v>
      </c>
      <c r="I205" s="289"/>
      <c r="J205" s="285" t="s">
        <v>3136</v>
      </c>
      <c r="K205" s="15">
        <v>42156</v>
      </c>
      <c r="L205" s="289">
        <v>449</v>
      </c>
      <c r="M205" s="15">
        <v>39987</v>
      </c>
      <c r="N205" s="16">
        <v>1</v>
      </c>
      <c r="O205" s="17">
        <v>27042</v>
      </c>
      <c r="P205" s="17">
        <v>27042</v>
      </c>
      <c r="Q205" s="17">
        <f t="shared" si="5"/>
        <v>0</v>
      </c>
      <c r="R205" s="285" t="s">
        <v>4385</v>
      </c>
      <c r="S205" s="15">
        <v>39987</v>
      </c>
      <c r="T205" s="285" t="s">
        <v>1029</v>
      </c>
    </row>
    <row r="206" spans="1:20" ht="56.25" customHeight="1" x14ac:dyDescent="0.2">
      <c r="A206" s="21">
        <v>202</v>
      </c>
      <c r="B206" s="289" t="s">
        <v>6021</v>
      </c>
      <c r="C206" s="289" t="s">
        <v>5274</v>
      </c>
      <c r="D206" s="9" t="s">
        <v>3295</v>
      </c>
      <c r="E206" s="15"/>
      <c r="F206" s="26" t="s">
        <v>6057</v>
      </c>
      <c r="G206" s="285" t="s">
        <v>4946</v>
      </c>
      <c r="H206" s="285" t="s">
        <v>5127</v>
      </c>
      <c r="I206" s="289"/>
      <c r="J206" s="22" t="s">
        <v>3132</v>
      </c>
      <c r="K206" s="15">
        <v>40403</v>
      </c>
      <c r="L206" s="289" t="s">
        <v>2320</v>
      </c>
      <c r="M206" s="15">
        <v>41183</v>
      </c>
      <c r="N206" s="16">
        <v>1</v>
      </c>
      <c r="O206" s="17">
        <v>50000</v>
      </c>
      <c r="P206" s="17">
        <v>50000</v>
      </c>
      <c r="Q206" s="17">
        <f t="shared" si="5"/>
        <v>0</v>
      </c>
      <c r="R206" s="285" t="s">
        <v>4385</v>
      </c>
      <c r="S206" s="15">
        <v>39987</v>
      </c>
      <c r="T206" s="285">
        <v>28</v>
      </c>
    </row>
    <row r="207" spans="1:20" ht="40.5" customHeight="1" x14ac:dyDescent="0.2">
      <c r="A207" s="21">
        <v>203</v>
      </c>
      <c r="B207" s="289" t="s">
        <v>398</v>
      </c>
      <c r="C207" s="289"/>
      <c r="D207" s="9" t="s">
        <v>1485</v>
      </c>
      <c r="E207" s="15"/>
      <c r="F207" s="26" t="s">
        <v>6694</v>
      </c>
      <c r="G207" s="285" t="s">
        <v>4946</v>
      </c>
      <c r="H207" s="285" t="s">
        <v>5127</v>
      </c>
      <c r="I207" s="289"/>
      <c r="J207" s="285" t="s">
        <v>3136</v>
      </c>
      <c r="K207" s="15">
        <v>42156</v>
      </c>
      <c r="L207" s="289">
        <v>449</v>
      </c>
      <c r="M207" s="15">
        <v>41214</v>
      </c>
      <c r="N207" s="16">
        <v>1</v>
      </c>
      <c r="O207" s="17">
        <v>62400</v>
      </c>
      <c r="P207" s="17">
        <v>62400</v>
      </c>
      <c r="Q207" s="17">
        <f t="shared" si="5"/>
        <v>0</v>
      </c>
      <c r="R207" s="285" t="s">
        <v>3404</v>
      </c>
      <c r="S207" s="15">
        <v>40178</v>
      </c>
      <c r="T207" s="285">
        <v>5</v>
      </c>
    </row>
    <row r="208" spans="1:20" ht="39" customHeight="1" x14ac:dyDescent="0.2">
      <c r="A208" s="21">
        <v>204</v>
      </c>
      <c r="B208" s="289" t="s">
        <v>2025</v>
      </c>
      <c r="C208" s="289" t="s">
        <v>5274</v>
      </c>
      <c r="D208" s="9" t="s">
        <v>3551</v>
      </c>
      <c r="E208" s="15"/>
      <c r="F208" s="26" t="s">
        <v>6678</v>
      </c>
      <c r="G208" s="285" t="s">
        <v>4946</v>
      </c>
      <c r="H208" s="285" t="s">
        <v>5127</v>
      </c>
      <c r="I208" s="289"/>
      <c r="J208" s="22" t="s">
        <v>3132</v>
      </c>
      <c r="K208" s="15">
        <v>40403</v>
      </c>
      <c r="L208" s="289" t="s">
        <v>2320</v>
      </c>
      <c r="M208" s="15">
        <v>41183</v>
      </c>
      <c r="N208" s="16">
        <v>1</v>
      </c>
      <c r="O208" s="17">
        <v>88652</v>
      </c>
      <c r="P208" s="17">
        <v>74148.2</v>
      </c>
      <c r="Q208" s="17">
        <f t="shared" si="5"/>
        <v>14503.800000000003</v>
      </c>
      <c r="R208" s="285" t="s">
        <v>5071</v>
      </c>
      <c r="S208" s="15">
        <v>40087</v>
      </c>
      <c r="T208" s="285">
        <v>108</v>
      </c>
    </row>
    <row r="209" spans="1:20" s="223" customFormat="1" ht="48.75" customHeight="1" x14ac:dyDescent="0.2">
      <c r="A209" s="21">
        <v>205</v>
      </c>
      <c r="B209" s="289" t="s">
        <v>2026</v>
      </c>
      <c r="C209" s="289"/>
      <c r="D209" s="9" t="s">
        <v>3304</v>
      </c>
      <c r="E209" s="15"/>
      <c r="F209" s="26" t="s">
        <v>2449</v>
      </c>
      <c r="G209" s="285" t="s">
        <v>4946</v>
      </c>
      <c r="H209" s="285" t="s">
        <v>5127</v>
      </c>
      <c r="I209" s="289"/>
      <c r="J209" s="285" t="s">
        <v>3136</v>
      </c>
      <c r="K209" s="15">
        <v>42156</v>
      </c>
      <c r="L209" s="289">
        <v>449</v>
      </c>
      <c r="M209" s="15">
        <v>40360</v>
      </c>
      <c r="N209" s="16">
        <v>1</v>
      </c>
      <c r="O209" s="17">
        <v>16993</v>
      </c>
      <c r="P209" s="17">
        <v>16993</v>
      </c>
      <c r="Q209" s="17">
        <f t="shared" si="5"/>
        <v>0</v>
      </c>
      <c r="R209" s="285" t="s">
        <v>4385</v>
      </c>
      <c r="S209" s="15">
        <v>39987</v>
      </c>
      <c r="T209" s="285" t="s">
        <v>1029</v>
      </c>
    </row>
    <row r="210" spans="1:20" ht="44.25" customHeight="1" x14ac:dyDescent="0.2">
      <c r="A210" s="21">
        <v>206</v>
      </c>
      <c r="B210" s="20" t="s">
        <v>1022</v>
      </c>
      <c r="C210" s="20" t="s">
        <v>5274</v>
      </c>
      <c r="D210" s="54" t="s">
        <v>6044</v>
      </c>
      <c r="E210" s="57"/>
      <c r="F210" s="243" t="s">
        <v>6066</v>
      </c>
      <c r="G210" s="56" t="s">
        <v>101</v>
      </c>
      <c r="H210" s="285" t="s">
        <v>5127</v>
      </c>
      <c r="I210" s="289"/>
      <c r="J210" s="285"/>
      <c r="K210" s="289"/>
      <c r="L210" s="289"/>
      <c r="M210" s="57">
        <v>40151</v>
      </c>
      <c r="N210" s="44">
        <v>1</v>
      </c>
      <c r="O210" s="34">
        <v>42199.8</v>
      </c>
      <c r="P210" s="34">
        <v>42199.8</v>
      </c>
      <c r="Q210" s="17">
        <f t="shared" si="5"/>
        <v>0</v>
      </c>
      <c r="R210" s="37" t="s">
        <v>3404</v>
      </c>
      <c r="S210" s="57">
        <v>40151</v>
      </c>
      <c r="T210" s="37">
        <v>46</v>
      </c>
    </row>
    <row r="211" spans="1:20" ht="59.25" customHeight="1" x14ac:dyDescent="0.2">
      <c r="A211" s="21">
        <v>207</v>
      </c>
      <c r="B211" s="289" t="s">
        <v>1023</v>
      </c>
      <c r="C211" s="289" t="s">
        <v>5274</v>
      </c>
      <c r="D211" s="9" t="s">
        <v>6045</v>
      </c>
      <c r="E211" s="12"/>
      <c r="F211" s="26" t="s">
        <v>5780</v>
      </c>
      <c r="G211" s="285" t="s">
        <v>7846</v>
      </c>
      <c r="H211" s="285" t="s">
        <v>5127</v>
      </c>
      <c r="I211" s="289"/>
      <c r="J211" s="285"/>
      <c r="K211" s="289"/>
      <c r="L211" s="289"/>
      <c r="M211" s="15">
        <v>41198</v>
      </c>
      <c r="N211" s="16">
        <v>1</v>
      </c>
      <c r="O211" s="17">
        <v>22078</v>
      </c>
      <c r="P211" s="17">
        <v>22078</v>
      </c>
      <c r="Q211" s="17">
        <f t="shared" si="5"/>
        <v>0</v>
      </c>
      <c r="R211" s="285" t="s">
        <v>5071</v>
      </c>
      <c r="S211" s="15">
        <v>40155</v>
      </c>
      <c r="T211" s="285">
        <v>393</v>
      </c>
    </row>
    <row r="212" spans="1:20" ht="56.25" customHeight="1" x14ac:dyDescent="0.2">
      <c r="A212" s="21">
        <v>208</v>
      </c>
      <c r="B212" s="289" t="s">
        <v>4114</v>
      </c>
      <c r="C212" s="289"/>
      <c r="D212" s="9" t="s">
        <v>6101</v>
      </c>
      <c r="E212" s="15">
        <v>40178</v>
      </c>
      <c r="F212" s="26" t="s">
        <v>6787</v>
      </c>
      <c r="G212" s="285" t="s">
        <v>7981</v>
      </c>
      <c r="H212" s="285" t="s">
        <v>5127</v>
      </c>
      <c r="I212" s="289"/>
      <c r="J212" s="22" t="s">
        <v>9411</v>
      </c>
      <c r="K212" s="15">
        <v>40544</v>
      </c>
      <c r="L212" s="289" t="s">
        <v>1029</v>
      </c>
      <c r="M212" s="15">
        <v>40178</v>
      </c>
      <c r="N212" s="16">
        <v>1</v>
      </c>
      <c r="O212" s="17">
        <v>14780</v>
      </c>
      <c r="P212" s="17">
        <v>14780</v>
      </c>
      <c r="Q212" s="17">
        <f t="shared" si="5"/>
        <v>0</v>
      </c>
      <c r="R212" s="285" t="s">
        <v>5071</v>
      </c>
      <c r="S212" s="15">
        <v>40148</v>
      </c>
      <c r="T212" s="285">
        <v>1974</v>
      </c>
    </row>
    <row r="213" spans="1:20" ht="60" customHeight="1" x14ac:dyDescent="0.2">
      <c r="A213" s="21">
        <v>209</v>
      </c>
      <c r="B213" s="289" t="s">
        <v>1795</v>
      </c>
      <c r="C213" s="289" t="s">
        <v>5274</v>
      </c>
      <c r="D213" s="9" t="s">
        <v>1221</v>
      </c>
      <c r="E213" s="15">
        <v>40148</v>
      </c>
      <c r="F213" s="26" t="s">
        <v>6633</v>
      </c>
      <c r="G213" s="285" t="s">
        <v>7982</v>
      </c>
      <c r="H213" s="285" t="s">
        <v>5127</v>
      </c>
      <c r="I213" s="289"/>
      <c r="J213" s="285" t="s">
        <v>9473</v>
      </c>
      <c r="K213" s="15">
        <v>40148</v>
      </c>
      <c r="L213" s="289">
        <v>569</v>
      </c>
      <c r="M213" s="15">
        <v>40148</v>
      </c>
      <c r="N213" s="16">
        <v>1</v>
      </c>
      <c r="O213" s="17">
        <v>21632.67</v>
      </c>
      <c r="P213" s="17">
        <v>21632.67</v>
      </c>
      <c r="Q213" s="17">
        <f t="shared" si="5"/>
        <v>0</v>
      </c>
      <c r="R213" s="285" t="s">
        <v>6902</v>
      </c>
      <c r="S213" s="15">
        <v>40032</v>
      </c>
      <c r="T213" s="285">
        <v>1103</v>
      </c>
    </row>
    <row r="214" spans="1:20" ht="56.25" customHeight="1" x14ac:dyDescent="0.2">
      <c r="A214" s="21">
        <v>210</v>
      </c>
      <c r="B214" s="289" t="s">
        <v>1796</v>
      </c>
      <c r="C214" s="289" t="s">
        <v>5274</v>
      </c>
      <c r="D214" s="9" t="s">
        <v>2962</v>
      </c>
      <c r="E214" s="15">
        <v>40148</v>
      </c>
      <c r="F214" s="26" t="s">
        <v>5673</v>
      </c>
      <c r="G214" s="285" t="s">
        <v>7982</v>
      </c>
      <c r="H214" s="285" t="s">
        <v>5127</v>
      </c>
      <c r="I214" s="289"/>
      <c r="J214" s="285" t="s">
        <v>9473</v>
      </c>
      <c r="K214" s="15">
        <v>40148</v>
      </c>
      <c r="L214" s="289">
        <v>569</v>
      </c>
      <c r="M214" s="15">
        <v>40148</v>
      </c>
      <c r="N214" s="24">
        <v>1</v>
      </c>
      <c r="O214" s="17">
        <v>106134.17</v>
      </c>
      <c r="P214" s="17">
        <v>106134.17</v>
      </c>
      <c r="Q214" s="17">
        <f t="shared" si="5"/>
        <v>0</v>
      </c>
      <c r="R214" s="285" t="s">
        <v>6902</v>
      </c>
      <c r="S214" s="15">
        <v>40032</v>
      </c>
      <c r="T214" s="285">
        <v>1103</v>
      </c>
    </row>
    <row r="215" spans="1:20" ht="56.25" customHeight="1" x14ac:dyDescent="0.2">
      <c r="A215" s="21">
        <v>211</v>
      </c>
      <c r="B215" s="289" t="s">
        <v>1797</v>
      </c>
      <c r="C215" s="289" t="s">
        <v>5274</v>
      </c>
      <c r="D215" s="9" t="s">
        <v>1719</v>
      </c>
      <c r="E215" s="15">
        <v>40148</v>
      </c>
      <c r="F215" s="26" t="s">
        <v>5672</v>
      </c>
      <c r="G215" s="285" t="s">
        <v>7982</v>
      </c>
      <c r="H215" s="285" t="s">
        <v>5127</v>
      </c>
      <c r="I215" s="289"/>
      <c r="J215" s="285" t="s">
        <v>9473</v>
      </c>
      <c r="K215" s="15">
        <v>40148</v>
      </c>
      <c r="L215" s="289">
        <v>569</v>
      </c>
      <c r="M215" s="15">
        <v>40148</v>
      </c>
      <c r="N215" s="16">
        <v>1</v>
      </c>
      <c r="O215" s="17">
        <v>17944.009999999998</v>
      </c>
      <c r="P215" s="17">
        <v>17944.009999999998</v>
      </c>
      <c r="Q215" s="17">
        <f t="shared" si="5"/>
        <v>0</v>
      </c>
      <c r="R215" s="285" t="s">
        <v>6902</v>
      </c>
      <c r="S215" s="15">
        <v>40032</v>
      </c>
      <c r="T215" s="285">
        <v>1103</v>
      </c>
    </row>
    <row r="216" spans="1:20" ht="56.25" customHeight="1" x14ac:dyDescent="0.2">
      <c r="A216" s="21">
        <v>212</v>
      </c>
      <c r="B216" s="289" t="s">
        <v>1986</v>
      </c>
      <c r="C216" s="289" t="s">
        <v>5274</v>
      </c>
      <c r="D216" s="9" t="s">
        <v>3666</v>
      </c>
      <c r="E216" s="15">
        <v>40148</v>
      </c>
      <c r="F216" s="26" t="s">
        <v>6899</v>
      </c>
      <c r="G216" s="285" t="s">
        <v>7982</v>
      </c>
      <c r="H216" s="285" t="s">
        <v>5127</v>
      </c>
      <c r="I216" s="289"/>
      <c r="J216" s="285" t="s">
        <v>9473</v>
      </c>
      <c r="K216" s="15">
        <v>40148</v>
      </c>
      <c r="L216" s="289">
        <v>569</v>
      </c>
      <c r="M216" s="15">
        <v>40148</v>
      </c>
      <c r="N216" s="24">
        <v>1</v>
      </c>
      <c r="O216" s="17">
        <v>14289.35</v>
      </c>
      <c r="P216" s="17">
        <v>14289.35</v>
      </c>
      <c r="Q216" s="17">
        <f t="shared" si="5"/>
        <v>0</v>
      </c>
      <c r="R216" s="285" t="s">
        <v>6902</v>
      </c>
      <c r="S216" s="15">
        <v>40031</v>
      </c>
      <c r="T216" s="285">
        <v>1090</v>
      </c>
    </row>
    <row r="217" spans="1:20" ht="56.25" customHeight="1" x14ac:dyDescent="0.2">
      <c r="A217" s="21">
        <v>213</v>
      </c>
      <c r="B217" s="289" t="s">
        <v>5942</v>
      </c>
      <c r="C217" s="289" t="s">
        <v>5274</v>
      </c>
      <c r="D217" s="9" t="s">
        <v>6449</v>
      </c>
      <c r="E217" s="15">
        <v>40148</v>
      </c>
      <c r="F217" s="26" t="s">
        <v>6900</v>
      </c>
      <c r="G217" s="285" t="s">
        <v>7982</v>
      </c>
      <c r="H217" s="285" t="s">
        <v>5127</v>
      </c>
      <c r="I217" s="289"/>
      <c r="J217" s="285" t="s">
        <v>9473</v>
      </c>
      <c r="K217" s="15">
        <v>40148</v>
      </c>
      <c r="L217" s="289">
        <v>569</v>
      </c>
      <c r="M217" s="15">
        <v>40148</v>
      </c>
      <c r="N217" s="16">
        <v>2</v>
      </c>
      <c r="O217" s="17">
        <v>38514.28</v>
      </c>
      <c r="P217" s="17">
        <v>38514.28</v>
      </c>
      <c r="Q217" s="17">
        <f t="shared" si="5"/>
        <v>0</v>
      </c>
      <c r="R217" s="285" t="s">
        <v>6902</v>
      </c>
      <c r="S217" s="15">
        <v>40031</v>
      </c>
      <c r="T217" s="285">
        <v>1090</v>
      </c>
    </row>
    <row r="218" spans="1:20" ht="56.25" customHeight="1" x14ac:dyDescent="0.2">
      <c r="A218" s="21">
        <v>214</v>
      </c>
      <c r="B218" s="289" t="s">
        <v>1798</v>
      </c>
      <c r="C218" s="289" t="s">
        <v>5274</v>
      </c>
      <c r="D218" s="9" t="s">
        <v>6201</v>
      </c>
      <c r="E218" s="15">
        <v>40148</v>
      </c>
      <c r="F218" s="26" t="s">
        <v>6901</v>
      </c>
      <c r="G218" s="285" t="s">
        <v>7982</v>
      </c>
      <c r="H218" s="285" t="s">
        <v>5127</v>
      </c>
      <c r="I218" s="289"/>
      <c r="J218" s="285" t="s">
        <v>9473</v>
      </c>
      <c r="K218" s="15">
        <v>40148</v>
      </c>
      <c r="L218" s="289">
        <v>569</v>
      </c>
      <c r="M218" s="15">
        <v>40148</v>
      </c>
      <c r="N218" s="16">
        <v>1</v>
      </c>
      <c r="O218" s="17">
        <v>19993.400000000001</v>
      </c>
      <c r="P218" s="17">
        <v>19993.400000000001</v>
      </c>
      <c r="Q218" s="17">
        <f t="shared" si="5"/>
        <v>0</v>
      </c>
      <c r="R218" s="285" t="s">
        <v>6902</v>
      </c>
      <c r="S218" s="15">
        <v>40031</v>
      </c>
      <c r="T218" s="285">
        <v>1090</v>
      </c>
    </row>
    <row r="219" spans="1:20" ht="49.5" customHeight="1" x14ac:dyDescent="0.2">
      <c r="A219" s="21">
        <v>215</v>
      </c>
      <c r="B219" s="289" t="s">
        <v>667</v>
      </c>
      <c r="C219" s="289" t="s">
        <v>5274</v>
      </c>
      <c r="D219" s="9" t="s">
        <v>3826</v>
      </c>
      <c r="E219" s="15">
        <v>40148</v>
      </c>
      <c r="F219" s="26" t="s">
        <v>6635</v>
      </c>
      <c r="G219" s="285" t="s">
        <v>7982</v>
      </c>
      <c r="H219" s="285" t="s">
        <v>5127</v>
      </c>
      <c r="I219" s="289"/>
      <c r="J219" s="285" t="s">
        <v>9473</v>
      </c>
      <c r="K219" s="15">
        <v>40148</v>
      </c>
      <c r="L219" s="289">
        <v>569</v>
      </c>
      <c r="M219" s="15">
        <v>40148</v>
      </c>
      <c r="N219" s="16">
        <v>1</v>
      </c>
      <c r="O219" s="17">
        <v>70088.91</v>
      </c>
      <c r="P219" s="17">
        <v>70088.91</v>
      </c>
      <c r="Q219" s="17">
        <f t="shared" si="5"/>
        <v>0</v>
      </c>
      <c r="R219" s="285" t="s">
        <v>6902</v>
      </c>
      <c r="S219" s="15">
        <v>40031</v>
      </c>
      <c r="T219" s="285">
        <v>1090</v>
      </c>
    </row>
    <row r="220" spans="1:20" ht="49.5" customHeight="1" x14ac:dyDescent="0.2">
      <c r="A220" s="21">
        <v>216</v>
      </c>
      <c r="B220" s="289" t="s">
        <v>5943</v>
      </c>
      <c r="C220" s="289" t="s">
        <v>5274</v>
      </c>
      <c r="D220" s="9" t="s">
        <v>3189</v>
      </c>
      <c r="E220" s="15">
        <v>40148</v>
      </c>
      <c r="F220" s="26" t="s">
        <v>6903</v>
      </c>
      <c r="G220" s="285" t="s">
        <v>7982</v>
      </c>
      <c r="H220" s="285" t="s">
        <v>5127</v>
      </c>
      <c r="I220" s="289"/>
      <c r="J220" s="285" t="s">
        <v>9473</v>
      </c>
      <c r="K220" s="15">
        <v>40148</v>
      </c>
      <c r="L220" s="289">
        <v>569</v>
      </c>
      <c r="M220" s="15">
        <v>40148</v>
      </c>
      <c r="N220" s="16">
        <v>1</v>
      </c>
      <c r="O220" s="17">
        <v>41964.959999999999</v>
      </c>
      <c r="P220" s="17">
        <v>41964.959999999999</v>
      </c>
      <c r="Q220" s="17">
        <f t="shared" si="5"/>
        <v>0</v>
      </c>
      <c r="R220" s="285" t="s">
        <v>6902</v>
      </c>
      <c r="S220" s="15">
        <v>40148</v>
      </c>
      <c r="T220" s="285">
        <v>1976</v>
      </c>
    </row>
    <row r="221" spans="1:20" ht="49.5" customHeight="1" x14ac:dyDescent="0.2">
      <c r="A221" s="21">
        <v>217</v>
      </c>
      <c r="B221" s="289" t="s">
        <v>668</v>
      </c>
      <c r="C221" s="289" t="s">
        <v>5274</v>
      </c>
      <c r="D221" s="9" t="s">
        <v>2819</v>
      </c>
      <c r="E221" s="15">
        <v>40148</v>
      </c>
      <c r="F221" s="26" t="s">
        <v>6904</v>
      </c>
      <c r="G221" s="285" t="s">
        <v>7982</v>
      </c>
      <c r="H221" s="285" t="s">
        <v>5127</v>
      </c>
      <c r="I221" s="289"/>
      <c r="J221" s="285" t="s">
        <v>9473</v>
      </c>
      <c r="K221" s="15">
        <v>40148</v>
      </c>
      <c r="L221" s="289">
        <v>569</v>
      </c>
      <c r="M221" s="15">
        <v>40148</v>
      </c>
      <c r="N221" s="16">
        <v>1</v>
      </c>
      <c r="O221" s="17">
        <v>153910.48000000001</v>
      </c>
      <c r="P221" s="17">
        <v>153910.48000000001</v>
      </c>
      <c r="Q221" s="17">
        <f t="shared" si="5"/>
        <v>0</v>
      </c>
      <c r="R221" s="285" t="s">
        <v>6902</v>
      </c>
      <c r="S221" s="15">
        <v>40148</v>
      </c>
      <c r="T221" s="285">
        <v>1976</v>
      </c>
    </row>
    <row r="222" spans="1:20" ht="49.5" customHeight="1" x14ac:dyDescent="0.2">
      <c r="A222" s="21">
        <v>218</v>
      </c>
      <c r="B222" s="289" t="s">
        <v>669</v>
      </c>
      <c r="C222" s="289" t="s">
        <v>5274</v>
      </c>
      <c r="D222" s="9" t="s">
        <v>6496</v>
      </c>
      <c r="E222" s="15">
        <v>40148</v>
      </c>
      <c r="F222" s="26" t="s">
        <v>6495</v>
      </c>
      <c r="G222" s="285" t="s">
        <v>7982</v>
      </c>
      <c r="H222" s="285" t="s">
        <v>5127</v>
      </c>
      <c r="I222" s="289"/>
      <c r="J222" s="285" t="s">
        <v>9473</v>
      </c>
      <c r="K222" s="15">
        <v>40148</v>
      </c>
      <c r="L222" s="289">
        <v>569</v>
      </c>
      <c r="M222" s="15">
        <v>40148</v>
      </c>
      <c r="N222" s="16">
        <v>1</v>
      </c>
      <c r="O222" s="17">
        <v>78918.55</v>
      </c>
      <c r="P222" s="17">
        <v>78918.55</v>
      </c>
      <c r="Q222" s="17">
        <f t="shared" si="5"/>
        <v>0</v>
      </c>
      <c r="R222" s="285" t="s">
        <v>6902</v>
      </c>
      <c r="S222" s="15">
        <v>40094</v>
      </c>
      <c r="T222" s="285">
        <v>1460</v>
      </c>
    </row>
    <row r="223" spans="1:20" ht="49.5" customHeight="1" x14ac:dyDescent="0.2">
      <c r="A223" s="21">
        <v>219</v>
      </c>
      <c r="B223" s="289" t="s">
        <v>670</v>
      </c>
      <c r="C223" s="289" t="s">
        <v>5274</v>
      </c>
      <c r="D223" s="9" t="s">
        <v>4236</v>
      </c>
      <c r="E223" s="15">
        <v>40148</v>
      </c>
      <c r="F223" s="26" t="s">
        <v>1689</v>
      </c>
      <c r="G223" s="285" t="s">
        <v>7982</v>
      </c>
      <c r="H223" s="285" t="s">
        <v>5127</v>
      </c>
      <c r="I223" s="289"/>
      <c r="J223" s="285" t="s">
        <v>9473</v>
      </c>
      <c r="K223" s="15">
        <v>40148</v>
      </c>
      <c r="L223" s="289">
        <v>569</v>
      </c>
      <c r="M223" s="15">
        <v>40148</v>
      </c>
      <c r="N223" s="16">
        <v>1</v>
      </c>
      <c r="O223" s="17">
        <v>80448.429999999993</v>
      </c>
      <c r="P223" s="17">
        <v>80448.429999999993</v>
      </c>
      <c r="Q223" s="17">
        <f t="shared" si="5"/>
        <v>0</v>
      </c>
      <c r="R223" s="285" t="s">
        <v>6902</v>
      </c>
      <c r="S223" s="15">
        <v>40094</v>
      </c>
      <c r="T223" s="285">
        <v>1460</v>
      </c>
    </row>
    <row r="224" spans="1:20" ht="34.5" customHeight="1" x14ac:dyDescent="0.2">
      <c r="A224" s="21">
        <v>220</v>
      </c>
      <c r="B224" s="289" t="s">
        <v>671</v>
      </c>
      <c r="C224" s="289" t="s">
        <v>5274</v>
      </c>
      <c r="D224" s="9" t="s">
        <v>1137</v>
      </c>
      <c r="E224" s="15">
        <v>40148</v>
      </c>
      <c r="F224" s="26" t="s">
        <v>6905</v>
      </c>
      <c r="G224" s="285" t="s">
        <v>7982</v>
      </c>
      <c r="H224" s="285" t="s">
        <v>5127</v>
      </c>
      <c r="I224" s="289"/>
      <c r="J224" s="285" t="s">
        <v>9473</v>
      </c>
      <c r="K224" s="15">
        <v>40148</v>
      </c>
      <c r="L224" s="289">
        <v>569</v>
      </c>
      <c r="M224" s="15">
        <v>40148</v>
      </c>
      <c r="N224" s="16">
        <v>1</v>
      </c>
      <c r="O224" s="17">
        <v>18698.310000000001</v>
      </c>
      <c r="P224" s="17">
        <v>18698.310000000001</v>
      </c>
      <c r="Q224" s="17">
        <f t="shared" si="5"/>
        <v>0</v>
      </c>
      <c r="R224" s="285" t="s">
        <v>6902</v>
      </c>
      <c r="S224" s="15">
        <v>40094</v>
      </c>
      <c r="T224" s="285">
        <v>1460</v>
      </c>
    </row>
    <row r="225" spans="1:20" ht="34.5" customHeight="1" x14ac:dyDescent="0.2">
      <c r="A225" s="21">
        <v>221</v>
      </c>
      <c r="B225" s="289" t="s">
        <v>672</v>
      </c>
      <c r="C225" s="289" t="s">
        <v>5274</v>
      </c>
      <c r="D225" s="9" t="s">
        <v>2547</v>
      </c>
      <c r="E225" s="15">
        <v>40148</v>
      </c>
      <c r="F225" s="26" t="s">
        <v>6906</v>
      </c>
      <c r="G225" s="285" t="s">
        <v>7982</v>
      </c>
      <c r="H225" s="285" t="s">
        <v>5127</v>
      </c>
      <c r="I225" s="289"/>
      <c r="J225" s="285" t="s">
        <v>9473</v>
      </c>
      <c r="K225" s="15">
        <v>40148</v>
      </c>
      <c r="L225" s="289">
        <v>569</v>
      </c>
      <c r="M225" s="15">
        <v>40148</v>
      </c>
      <c r="N225" s="16">
        <v>1</v>
      </c>
      <c r="O225" s="17">
        <v>65327.23</v>
      </c>
      <c r="P225" s="17">
        <v>65327.23</v>
      </c>
      <c r="Q225" s="17">
        <f t="shared" si="5"/>
        <v>0</v>
      </c>
      <c r="R225" s="285" t="s">
        <v>6902</v>
      </c>
      <c r="S225" s="15">
        <v>40094</v>
      </c>
      <c r="T225" s="285">
        <v>1460</v>
      </c>
    </row>
    <row r="226" spans="1:20" ht="34.5" customHeight="1" x14ac:dyDescent="0.2">
      <c r="A226" s="21">
        <v>222</v>
      </c>
      <c r="B226" s="289" t="s">
        <v>673</v>
      </c>
      <c r="C226" s="289" t="s">
        <v>5274</v>
      </c>
      <c r="D226" s="9" t="s">
        <v>884</v>
      </c>
      <c r="E226" s="15">
        <v>40148</v>
      </c>
      <c r="F226" s="26" t="s">
        <v>6907</v>
      </c>
      <c r="G226" s="285" t="s">
        <v>7982</v>
      </c>
      <c r="H226" s="285" t="s">
        <v>5127</v>
      </c>
      <c r="I226" s="289"/>
      <c r="J226" s="285" t="s">
        <v>9473</v>
      </c>
      <c r="K226" s="15">
        <v>40148</v>
      </c>
      <c r="L226" s="289">
        <v>569</v>
      </c>
      <c r="M226" s="15">
        <v>40148</v>
      </c>
      <c r="N226" s="16">
        <v>1</v>
      </c>
      <c r="O226" s="17">
        <v>43824.17</v>
      </c>
      <c r="P226" s="17">
        <v>43824.17</v>
      </c>
      <c r="Q226" s="17">
        <f t="shared" si="5"/>
        <v>0</v>
      </c>
      <c r="R226" s="285" t="s">
        <v>6902</v>
      </c>
      <c r="S226" s="15">
        <v>40094</v>
      </c>
      <c r="T226" s="285">
        <v>1460</v>
      </c>
    </row>
    <row r="227" spans="1:20" ht="34.5" customHeight="1" x14ac:dyDescent="0.2">
      <c r="A227" s="21">
        <v>223</v>
      </c>
      <c r="B227" s="289" t="s">
        <v>674</v>
      </c>
      <c r="C227" s="289" t="s">
        <v>5274</v>
      </c>
      <c r="D227" s="9" t="s">
        <v>5182</v>
      </c>
      <c r="E227" s="15">
        <v>40148</v>
      </c>
      <c r="F227" s="26" t="s">
        <v>6908</v>
      </c>
      <c r="G227" s="285" t="s">
        <v>7982</v>
      </c>
      <c r="H227" s="285" t="s">
        <v>5127</v>
      </c>
      <c r="I227" s="289"/>
      <c r="J227" s="285" t="s">
        <v>9473</v>
      </c>
      <c r="K227" s="15">
        <v>40148</v>
      </c>
      <c r="L227" s="289">
        <v>569</v>
      </c>
      <c r="M227" s="15">
        <v>40148</v>
      </c>
      <c r="N227" s="16">
        <v>1</v>
      </c>
      <c r="O227" s="17">
        <v>20823.12</v>
      </c>
      <c r="P227" s="17">
        <v>20823.12</v>
      </c>
      <c r="Q227" s="17">
        <f t="shared" si="5"/>
        <v>0</v>
      </c>
      <c r="R227" s="285" t="s">
        <v>5071</v>
      </c>
      <c r="S227" s="15">
        <v>40094</v>
      </c>
      <c r="T227" s="285">
        <v>1460</v>
      </c>
    </row>
    <row r="228" spans="1:20" ht="34.5" customHeight="1" x14ac:dyDescent="0.2">
      <c r="A228" s="21">
        <v>224</v>
      </c>
      <c r="B228" s="289" t="s">
        <v>675</v>
      </c>
      <c r="C228" s="289" t="s">
        <v>5274</v>
      </c>
      <c r="D228" s="9" t="s">
        <v>3455</v>
      </c>
      <c r="E228" s="15">
        <v>40148</v>
      </c>
      <c r="F228" s="26" t="s">
        <v>6909</v>
      </c>
      <c r="G228" s="285" t="s">
        <v>7982</v>
      </c>
      <c r="H228" s="285" t="s">
        <v>5127</v>
      </c>
      <c r="I228" s="289"/>
      <c r="J228" s="285" t="s">
        <v>9473</v>
      </c>
      <c r="K228" s="15">
        <v>40148</v>
      </c>
      <c r="L228" s="289">
        <v>569</v>
      </c>
      <c r="M228" s="15">
        <v>40148</v>
      </c>
      <c r="N228" s="16">
        <v>1</v>
      </c>
      <c r="O228" s="17">
        <v>54735.05</v>
      </c>
      <c r="P228" s="17">
        <v>54735.05</v>
      </c>
      <c r="Q228" s="17">
        <f t="shared" si="5"/>
        <v>0</v>
      </c>
      <c r="R228" s="285" t="s">
        <v>5071</v>
      </c>
      <c r="S228" s="15">
        <v>40094</v>
      </c>
      <c r="T228" s="285">
        <v>1460</v>
      </c>
    </row>
    <row r="229" spans="1:20" ht="47.25" customHeight="1" x14ac:dyDescent="0.2">
      <c r="A229" s="21">
        <v>225</v>
      </c>
      <c r="B229" s="289" t="s">
        <v>603</v>
      </c>
      <c r="C229" s="289"/>
      <c r="D229" s="13" t="s">
        <v>2955</v>
      </c>
      <c r="E229" s="15"/>
      <c r="F229" s="26"/>
      <c r="G229" s="285" t="s">
        <v>4296</v>
      </c>
      <c r="H229" s="285" t="s">
        <v>3793</v>
      </c>
      <c r="I229" s="285"/>
      <c r="J229" s="285" t="s">
        <v>3136</v>
      </c>
      <c r="K229" s="14">
        <v>42459</v>
      </c>
      <c r="L229" s="285">
        <v>299</v>
      </c>
      <c r="M229" s="15">
        <v>40360</v>
      </c>
      <c r="N229" s="16">
        <v>1</v>
      </c>
      <c r="O229" s="17">
        <v>273500</v>
      </c>
      <c r="P229" s="17">
        <v>273500</v>
      </c>
      <c r="Q229" s="17">
        <f t="shared" si="5"/>
        <v>0</v>
      </c>
      <c r="R229" s="285" t="s">
        <v>3132</v>
      </c>
      <c r="S229" s="15">
        <v>40358</v>
      </c>
      <c r="T229" s="285" t="s">
        <v>4965</v>
      </c>
    </row>
    <row r="230" spans="1:20" ht="47.25" customHeight="1" x14ac:dyDescent="0.2">
      <c r="A230" s="21">
        <v>226</v>
      </c>
      <c r="B230" s="289" t="s">
        <v>1025</v>
      </c>
      <c r="C230" s="289"/>
      <c r="D230" s="9" t="s">
        <v>3305</v>
      </c>
      <c r="E230" s="15"/>
      <c r="F230" s="26" t="s">
        <v>6695</v>
      </c>
      <c r="G230" s="285" t="s">
        <v>4946</v>
      </c>
      <c r="H230" s="285" t="s">
        <v>5127</v>
      </c>
      <c r="I230" s="289"/>
      <c r="J230" s="285" t="s">
        <v>3136</v>
      </c>
      <c r="K230" s="14">
        <v>42243</v>
      </c>
      <c r="L230" s="285">
        <v>725</v>
      </c>
      <c r="M230" s="15">
        <v>41214</v>
      </c>
      <c r="N230" s="16">
        <v>1</v>
      </c>
      <c r="O230" s="17">
        <v>70413</v>
      </c>
      <c r="P230" s="17">
        <v>70413</v>
      </c>
      <c r="Q230" s="17">
        <f t="shared" si="5"/>
        <v>0</v>
      </c>
      <c r="R230" s="285" t="s">
        <v>3132</v>
      </c>
      <c r="S230" s="15">
        <v>40403</v>
      </c>
      <c r="T230" s="285" t="s">
        <v>2320</v>
      </c>
    </row>
    <row r="231" spans="1:20" ht="47.25" customHeight="1" x14ac:dyDescent="0.2">
      <c r="A231" s="21">
        <v>227</v>
      </c>
      <c r="B231" s="289" t="s">
        <v>4226</v>
      </c>
      <c r="C231" s="289"/>
      <c r="D231" s="9" t="s">
        <v>2289</v>
      </c>
      <c r="E231" s="22" t="s">
        <v>6671</v>
      </c>
      <c r="F231" s="26" t="s">
        <v>6696</v>
      </c>
      <c r="G231" s="285" t="s">
        <v>4946</v>
      </c>
      <c r="H231" s="285" t="s">
        <v>5127</v>
      </c>
      <c r="I231" s="289"/>
      <c r="J231" s="285" t="s">
        <v>3136</v>
      </c>
      <c r="K231" s="15">
        <v>42156</v>
      </c>
      <c r="L231" s="289">
        <v>449</v>
      </c>
      <c r="M231" s="15">
        <v>41214</v>
      </c>
      <c r="N231" s="24">
        <v>1</v>
      </c>
      <c r="O231" s="17">
        <v>25200</v>
      </c>
      <c r="P231" s="17">
        <v>25200</v>
      </c>
      <c r="Q231" s="17">
        <f t="shared" si="5"/>
        <v>0</v>
      </c>
      <c r="R231" s="285"/>
      <c r="S231" s="15"/>
      <c r="T231" s="285"/>
    </row>
    <row r="232" spans="1:20" ht="47.25" customHeight="1" x14ac:dyDescent="0.2">
      <c r="A232" s="21">
        <v>228</v>
      </c>
      <c r="B232" s="289" t="s">
        <v>4227</v>
      </c>
      <c r="C232" s="289"/>
      <c r="D232" s="9" t="s">
        <v>2289</v>
      </c>
      <c r="E232" s="22" t="s">
        <v>6671</v>
      </c>
      <c r="F232" s="26" t="s">
        <v>6697</v>
      </c>
      <c r="G232" s="285" t="s">
        <v>4946</v>
      </c>
      <c r="H232" s="285" t="s">
        <v>5127</v>
      </c>
      <c r="I232" s="289"/>
      <c r="J232" s="285" t="s">
        <v>3136</v>
      </c>
      <c r="K232" s="15">
        <v>42156</v>
      </c>
      <c r="L232" s="289">
        <v>449</v>
      </c>
      <c r="M232" s="15">
        <v>41214</v>
      </c>
      <c r="N232" s="24">
        <v>1</v>
      </c>
      <c r="O232" s="17">
        <v>25200</v>
      </c>
      <c r="P232" s="17">
        <v>25200</v>
      </c>
      <c r="Q232" s="17">
        <f t="shared" si="5"/>
        <v>0</v>
      </c>
      <c r="R232" s="285"/>
      <c r="S232" s="15"/>
      <c r="T232" s="285"/>
    </row>
    <row r="233" spans="1:20" ht="47.25" customHeight="1" x14ac:dyDescent="0.2">
      <c r="A233" s="21">
        <v>229</v>
      </c>
      <c r="B233" s="289" t="s">
        <v>4228</v>
      </c>
      <c r="C233" s="289" t="s">
        <v>5274</v>
      </c>
      <c r="D233" s="9" t="s">
        <v>6390</v>
      </c>
      <c r="E233" s="15">
        <v>40057</v>
      </c>
      <c r="F233" s="26" t="s">
        <v>2615</v>
      </c>
      <c r="G233" s="285" t="s">
        <v>7981</v>
      </c>
      <c r="H233" s="285" t="s">
        <v>5127</v>
      </c>
      <c r="I233" s="289"/>
      <c r="J233" s="22" t="s">
        <v>9411</v>
      </c>
      <c r="K233" s="15">
        <v>40544</v>
      </c>
      <c r="L233" s="289" t="s">
        <v>1029</v>
      </c>
      <c r="M233" s="15">
        <v>40057</v>
      </c>
      <c r="N233" s="24">
        <v>3</v>
      </c>
      <c r="O233" s="17">
        <v>99000</v>
      </c>
      <c r="P233" s="17">
        <v>99000</v>
      </c>
      <c r="Q233" s="17">
        <f t="shared" si="5"/>
        <v>0</v>
      </c>
      <c r="R233" s="285" t="s">
        <v>5071</v>
      </c>
      <c r="S233" s="15">
        <v>40011</v>
      </c>
      <c r="T233" s="285">
        <v>403</v>
      </c>
    </row>
    <row r="234" spans="1:20" ht="32.25" customHeight="1" x14ac:dyDescent="0.2">
      <c r="A234" s="21">
        <v>230</v>
      </c>
      <c r="B234" s="289" t="s">
        <v>4229</v>
      </c>
      <c r="C234" s="289" t="s">
        <v>5274</v>
      </c>
      <c r="D234" s="9" t="s">
        <v>2473</v>
      </c>
      <c r="E234" s="22">
        <v>2009</v>
      </c>
      <c r="F234" s="26" t="s">
        <v>311</v>
      </c>
      <c r="G234" s="285" t="s">
        <v>7917</v>
      </c>
      <c r="H234" s="285" t="s">
        <v>5127</v>
      </c>
      <c r="I234" s="289"/>
      <c r="J234" s="285"/>
      <c r="K234" s="289"/>
      <c r="L234" s="289"/>
      <c r="M234" s="15">
        <v>41275</v>
      </c>
      <c r="N234" s="24">
        <v>1</v>
      </c>
      <c r="O234" s="17">
        <v>28802.2</v>
      </c>
      <c r="P234" s="17">
        <v>28802.2</v>
      </c>
      <c r="Q234" s="17">
        <f t="shared" si="5"/>
        <v>0</v>
      </c>
      <c r="R234" s="285" t="s">
        <v>5071</v>
      </c>
      <c r="S234" s="15">
        <v>40038</v>
      </c>
      <c r="T234" s="285">
        <v>748</v>
      </c>
    </row>
    <row r="235" spans="1:20" ht="32.25" customHeight="1" x14ac:dyDescent="0.2">
      <c r="A235" s="21">
        <v>231</v>
      </c>
      <c r="B235" s="289" t="s">
        <v>4230</v>
      </c>
      <c r="C235" s="289"/>
      <c r="D235" s="9" t="s">
        <v>3323</v>
      </c>
      <c r="E235" s="22">
        <v>2009</v>
      </c>
      <c r="F235" s="26" t="s">
        <v>3558</v>
      </c>
      <c r="G235" s="285" t="s">
        <v>7917</v>
      </c>
      <c r="H235" s="285" t="s">
        <v>5127</v>
      </c>
      <c r="I235" s="289"/>
      <c r="J235" s="285"/>
      <c r="K235" s="289"/>
      <c r="L235" s="289"/>
      <c r="M235" s="15">
        <v>40544</v>
      </c>
      <c r="N235" s="24">
        <v>1</v>
      </c>
      <c r="O235" s="17">
        <v>13654.8</v>
      </c>
      <c r="P235" s="17">
        <v>13654.8</v>
      </c>
      <c r="Q235" s="17">
        <f t="shared" si="5"/>
        <v>0</v>
      </c>
      <c r="R235" s="285" t="s">
        <v>5071</v>
      </c>
      <c r="S235" s="15">
        <v>40022</v>
      </c>
      <c r="T235" s="285">
        <v>549</v>
      </c>
    </row>
    <row r="236" spans="1:20" ht="54.75" customHeight="1" x14ac:dyDescent="0.2">
      <c r="A236" s="21">
        <v>232</v>
      </c>
      <c r="B236" s="289" t="s">
        <v>3254</v>
      </c>
      <c r="C236" s="289" t="s">
        <v>5274</v>
      </c>
      <c r="D236" s="9" t="s">
        <v>2473</v>
      </c>
      <c r="E236" s="15">
        <v>40053</v>
      </c>
      <c r="F236" s="26" t="s">
        <v>7018</v>
      </c>
      <c r="G236" s="285" t="s">
        <v>7982</v>
      </c>
      <c r="H236" s="285" t="s">
        <v>5127</v>
      </c>
      <c r="I236" s="289"/>
      <c r="J236" s="285" t="s">
        <v>9459</v>
      </c>
      <c r="K236" s="12" t="s">
        <v>9475</v>
      </c>
      <c r="L236" s="289" t="s">
        <v>1029</v>
      </c>
      <c r="M236" s="15">
        <v>40053</v>
      </c>
      <c r="N236" s="24">
        <f>2-1</f>
        <v>1</v>
      </c>
      <c r="O236" s="17">
        <f>53960-26980</f>
        <v>26980</v>
      </c>
      <c r="P236" s="17">
        <f>53960-26980</f>
        <v>26980</v>
      </c>
      <c r="Q236" s="17">
        <f t="shared" si="5"/>
        <v>0</v>
      </c>
      <c r="R236" s="285" t="s">
        <v>5071</v>
      </c>
      <c r="S236" s="15">
        <v>40053</v>
      </c>
      <c r="T236" s="285">
        <v>917</v>
      </c>
    </row>
    <row r="237" spans="1:20" ht="43.5" customHeight="1" x14ac:dyDescent="0.2">
      <c r="A237" s="21">
        <v>233</v>
      </c>
      <c r="B237" s="289" t="s">
        <v>3255</v>
      </c>
      <c r="C237" s="289" t="s">
        <v>5274</v>
      </c>
      <c r="D237" s="9" t="s">
        <v>6329</v>
      </c>
      <c r="E237" s="15">
        <v>40053</v>
      </c>
      <c r="F237" s="26" t="s">
        <v>6330</v>
      </c>
      <c r="G237" s="285" t="s">
        <v>7982</v>
      </c>
      <c r="H237" s="285" t="s">
        <v>5127</v>
      </c>
      <c r="I237" s="289"/>
      <c r="J237" s="285" t="s">
        <v>9459</v>
      </c>
      <c r="K237" s="12" t="s">
        <v>9475</v>
      </c>
      <c r="L237" s="289" t="s">
        <v>1029</v>
      </c>
      <c r="M237" s="15">
        <v>40053</v>
      </c>
      <c r="N237" s="24">
        <v>1</v>
      </c>
      <c r="O237" s="17">
        <v>18292</v>
      </c>
      <c r="P237" s="17">
        <v>18292</v>
      </c>
      <c r="Q237" s="17">
        <f t="shared" si="5"/>
        <v>0</v>
      </c>
      <c r="R237" s="285" t="s">
        <v>5071</v>
      </c>
      <c r="S237" s="15">
        <v>40053</v>
      </c>
      <c r="T237" s="285">
        <v>917</v>
      </c>
    </row>
    <row r="238" spans="1:20" ht="43.5" customHeight="1" x14ac:dyDescent="0.2">
      <c r="A238" s="21">
        <v>234</v>
      </c>
      <c r="B238" s="289" t="s">
        <v>3256</v>
      </c>
      <c r="C238" s="289" t="s">
        <v>5274</v>
      </c>
      <c r="D238" s="9" t="s">
        <v>3419</v>
      </c>
      <c r="E238" s="14">
        <v>40116</v>
      </c>
      <c r="F238" s="26" t="s">
        <v>969</v>
      </c>
      <c r="G238" s="285" t="s">
        <v>7982</v>
      </c>
      <c r="H238" s="285" t="s">
        <v>5127</v>
      </c>
      <c r="I238" s="289"/>
      <c r="J238" s="285" t="s">
        <v>9459</v>
      </c>
      <c r="K238" s="12" t="s">
        <v>9475</v>
      </c>
      <c r="L238" s="289" t="s">
        <v>1029</v>
      </c>
      <c r="M238" s="15">
        <v>40045</v>
      </c>
      <c r="N238" s="24">
        <v>2</v>
      </c>
      <c r="O238" s="17">
        <v>63840</v>
      </c>
      <c r="P238" s="17">
        <v>63840</v>
      </c>
      <c r="Q238" s="17">
        <f t="shared" si="5"/>
        <v>0</v>
      </c>
      <c r="R238" s="285" t="s">
        <v>5071</v>
      </c>
      <c r="S238" s="15">
        <v>40045</v>
      </c>
      <c r="T238" s="285">
        <v>820</v>
      </c>
    </row>
    <row r="239" spans="1:20" ht="43.5" customHeight="1" x14ac:dyDescent="0.2">
      <c r="A239" s="21">
        <v>235</v>
      </c>
      <c r="B239" s="289" t="s">
        <v>3257</v>
      </c>
      <c r="C239" s="289" t="s">
        <v>5274</v>
      </c>
      <c r="D239" s="9" t="s">
        <v>2954</v>
      </c>
      <c r="E239" s="14">
        <v>40057</v>
      </c>
      <c r="F239" s="241" t="s">
        <v>6485</v>
      </c>
      <c r="G239" s="285" t="s">
        <v>7977</v>
      </c>
      <c r="H239" s="285" t="s">
        <v>5127</v>
      </c>
      <c r="I239" s="289"/>
      <c r="J239" s="285" t="s">
        <v>9405</v>
      </c>
      <c r="K239" s="289">
        <v>2009</v>
      </c>
      <c r="L239" s="289" t="s">
        <v>1029</v>
      </c>
      <c r="M239" s="15">
        <v>39877</v>
      </c>
      <c r="N239" s="24">
        <v>2</v>
      </c>
      <c r="O239" s="17">
        <v>90000</v>
      </c>
      <c r="P239" s="17">
        <v>90000</v>
      </c>
      <c r="Q239" s="17">
        <f t="shared" si="5"/>
        <v>0</v>
      </c>
      <c r="R239" s="285" t="s">
        <v>5071</v>
      </c>
      <c r="S239" s="15">
        <v>39877</v>
      </c>
      <c r="T239" s="285" t="s">
        <v>2987</v>
      </c>
    </row>
    <row r="240" spans="1:20" ht="43.5" customHeight="1" x14ac:dyDescent="0.2">
      <c r="A240" s="21">
        <v>236</v>
      </c>
      <c r="B240" s="289" t="s">
        <v>3258</v>
      </c>
      <c r="C240" s="289" t="s">
        <v>5274</v>
      </c>
      <c r="D240" s="9" t="s">
        <v>6359</v>
      </c>
      <c r="E240" s="14">
        <v>40057</v>
      </c>
      <c r="F240" s="241" t="s">
        <v>6482</v>
      </c>
      <c r="G240" s="285" t="s">
        <v>7977</v>
      </c>
      <c r="H240" s="285" t="s">
        <v>5127</v>
      </c>
      <c r="I240" s="289"/>
      <c r="J240" s="285" t="s">
        <v>9405</v>
      </c>
      <c r="K240" s="289">
        <v>2009</v>
      </c>
      <c r="L240" s="289" t="s">
        <v>1029</v>
      </c>
      <c r="M240" s="15">
        <v>39885</v>
      </c>
      <c r="N240" s="24">
        <v>2</v>
      </c>
      <c r="O240" s="17">
        <v>24290</v>
      </c>
      <c r="P240" s="17">
        <v>24290</v>
      </c>
      <c r="Q240" s="17">
        <f t="shared" si="5"/>
        <v>0</v>
      </c>
      <c r="R240" s="285" t="s">
        <v>5071</v>
      </c>
      <c r="S240" s="15">
        <v>39885</v>
      </c>
      <c r="T240" s="285" t="s">
        <v>2988</v>
      </c>
    </row>
    <row r="241" spans="1:20" ht="43.5" customHeight="1" x14ac:dyDescent="0.2">
      <c r="A241" s="21">
        <v>237</v>
      </c>
      <c r="B241" s="289" t="s">
        <v>3259</v>
      </c>
      <c r="C241" s="289" t="s">
        <v>5274</v>
      </c>
      <c r="D241" s="9" t="s">
        <v>2426</v>
      </c>
      <c r="E241" s="14">
        <v>40057</v>
      </c>
      <c r="F241" s="241" t="s">
        <v>6481</v>
      </c>
      <c r="G241" s="285" t="s">
        <v>7977</v>
      </c>
      <c r="H241" s="285" t="s">
        <v>5127</v>
      </c>
      <c r="I241" s="289"/>
      <c r="J241" s="285" t="s">
        <v>9405</v>
      </c>
      <c r="K241" s="289">
        <v>2009</v>
      </c>
      <c r="L241" s="289" t="s">
        <v>1029</v>
      </c>
      <c r="M241" s="15">
        <v>39885</v>
      </c>
      <c r="N241" s="24">
        <v>2</v>
      </c>
      <c r="O241" s="17">
        <v>28718.799999999999</v>
      </c>
      <c r="P241" s="17">
        <v>28718.799999999999</v>
      </c>
      <c r="Q241" s="17">
        <f t="shared" si="5"/>
        <v>0</v>
      </c>
      <c r="R241" s="285" t="s">
        <v>5071</v>
      </c>
      <c r="S241" s="15">
        <v>39885</v>
      </c>
      <c r="T241" s="285" t="s">
        <v>2989</v>
      </c>
    </row>
    <row r="242" spans="1:20" ht="43.5" customHeight="1" x14ac:dyDescent="0.2">
      <c r="A242" s="21">
        <v>238</v>
      </c>
      <c r="B242" s="289" t="s">
        <v>3260</v>
      </c>
      <c r="C242" s="289" t="s">
        <v>5274</v>
      </c>
      <c r="D242" s="9" t="s">
        <v>6474</v>
      </c>
      <c r="E242" s="14">
        <v>40057</v>
      </c>
      <c r="F242" s="26" t="s">
        <v>6986</v>
      </c>
      <c r="G242" s="285" t="s">
        <v>7977</v>
      </c>
      <c r="H242" s="285" t="s">
        <v>5127</v>
      </c>
      <c r="I242" s="289"/>
      <c r="J242" s="285" t="s">
        <v>9405</v>
      </c>
      <c r="K242" s="289">
        <v>2009</v>
      </c>
      <c r="L242" s="289" t="s">
        <v>1029</v>
      </c>
      <c r="M242" s="15">
        <v>39955</v>
      </c>
      <c r="N242" s="24">
        <v>1</v>
      </c>
      <c r="O242" s="17">
        <v>315000</v>
      </c>
      <c r="P242" s="17">
        <v>315000</v>
      </c>
      <c r="Q242" s="17">
        <f t="shared" si="5"/>
        <v>0</v>
      </c>
      <c r="R242" s="285" t="s">
        <v>5071</v>
      </c>
      <c r="S242" s="15">
        <v>39955</v>
      </c>
      <c r="T242" s="285" t="s">
        <v>2990</v>
      </c>
    </row>
    <row r="243" spans="1:20" ht="35.25" customHeight="1" x14ac:dyDescent="0.2">
      <c r="A243" s="21">
        <v>239</v>
      </c>
      <c r="B243" s="289" t="s">
        <v>3261</v>
      </c>
      <c r="C243" s="289" t="s">
        <v>5274</v>
      </c>
      <c r="D243" s="9" t="s">
        <v>9554</v>
      </c>
      <c r="E243" s="14">
        <v>40057</v>
      </c>
      <c r="F243" s="241" t="s">
        <v>6987</v>
      </c>
      <c r="G243" s="285" t="s">
        <v>7977</v>
      </c>
      <c r="H243" s="285" t="s">
        <v>5127</v>
      </c>
      <c r="I243" s="289"/>
      <c r="J243" s="285" t="s">
        <v>9405</v>
      </c>
      <c r="K243" s="289">
        <v>2009</v>
      </c>
      <c r="L243" s="289" t="s">
        <v>1029</v>
      </c>
      <c r="M243" s="15">
        <v>40035</v>
      </c>
      <c r="N243" s="24">
        <v>1</v>
      </c>
      <c r="O243" s="17">
        <v>162000</v>
      </c>
      <c r="P243" s="17">
        <v>162000</v>
      </c>
      <c r="Q243" s="17">
        <f t="shared" si="5"/>
        <v>0</v>
      </c>
      <c r="R243" s="285" t="s">
        <v>5071</v>
      </c>
      <c r="S243" s="15">
        <v>40035</v>
      </c>
      <c r="T243" s="285" t="s">
        <v>2991</v>
      </c>
    </row>
    <row r="244" spans="1:20" ht="37.5" customHeight="1" x14ac:dyDescent="0.2">
      <c r="A244" s="21">
        <v>240</v>
      </c>
      <c r="B244" s="289" t="s">
        <v>3262</v>
      </c>
      <c r="C244" s="289" t="s">
        <v>5274</v>
      </c>
      <c r="D244" s="9" t="s">
        <v>3980</v>
      </c>
      <c r="E244" s="14">
        <v>40057</v>
      </c>
      <c r="F244" s="78" t="s">
        <v>6988</v>
      </c>
      <c r="G244" s="285" t="s">
        <v>7977</v>
      </c>
      <c r="H244" s="285" t="s">
        <v>5127</v>
      </c>
      <c r="I244" s="289"/>
      <c r="J244" s="285" t="s">
        <v>9405</v>
      </c>
      <c r="K244" s="289">
        <v>2009</v>
      </c>
      <c r="L244" s="289" t="s">
        <v>1029</v>
      </c>
      <c r="M244" s="15">
        <v>40022</v>
      </c>
      <c r="N244" s="24">
        <v>2</v>
      </c>
      <c r="O244" s="17">
        <v>24000</v>
      </c>
      <c r="P244" s="17">
        <v>24000</v>
      </c>
      <c r="Q244" s="17">
        <f t="shared" si="5"/>
        <v>0</v>
      </c>
      <c r="R244" s="285" t="s">
        <v>5071</v>
      </c>
      <c r="S244" s="15">
        <v>40022</v>
      </c>
      <c r="T244" s="285" t="s">
        <v>2992</v>
      </c>
    </row>
    <row r="245" spans="1:20" ht="63" customHeight="1" x14ac:dyDescent="0.2">
      <c r="A245" s="21">
        <v>241</v>
      </c>
      <c r="B245" s="289" t="s">
        <v>3263</v>
      </c>
      <c r="C245" s="289" t="s">
        <v>5274</v>
      </c>
      <c r="D245" s="9" t="s">
        <v>186</v>
      </c>
      <c r="E245" s="14">
        <v>40057</v>
      </c>
      <c r="F245" s="26" t="s">
        <v>8248</v>
      </c>
      <c r="G245" s="285" t="s">
        <v>7977</v>
      </c>
      <c r="H245" s="285" t="s">
        <v>5127</v>
      </c>
      <c r="I245" s="289"/>
      <c r="J245" s="285" t="s">
        <v>9405</v>
      </c>
      <c r="K245" s="289">
        <v>2009</v>
      </c>
      <c r="L245" s="289" t="s">
        <v>1029</v>
      </c>
      <c r="M245" s="15">
        <v>40039</v>
      </c>
      <c r="N245" s="24">
        <v>1</v>
      </c>
      <c r="O245" s="17">
        <v>11998.6</v>
      </c>
      <c r="P245" s="17">
        <v>11998.6</v>
      </c>
      <c r="Q245" s="17">
        <f t="shared" si="5"/>
        <v>0</v>
      </c>
      <c r="R245" s="285" t="s">
        <v>5071</v>
      </c>
      <c r="S245" s="15">
        <v>40039</v>
      </c>
      <c r="T245" s="285" t="s">
        <v>2993</v>
      </c>
    </row>
    <row r="246" spans="1:20" ht="69.75" customHeight="1" x14ac:dyDescent="0.2">
      <c r="A246" s="21">
        <v>242</v>
      </c>
      <c r="B246" s="289" t="s">
        <v>3264</v>
      </c>
      <c r="C246" s="289" t="s">
        <v>5274</v>
      </c>
      <c r="D246" s="9" t="s">
        <v>2046</v>
      </c>
      <c r="E246" s="14">
        <v>40057</v>
      </c>
      <c r="F246" s="241" t="s">
        <v>6476</v>
      </c>
      <c r="G246" s="285" t="s">
        <v>7977</v>
      </c>
      <c r="H246" s="285" t="s">
        <v>5127</v>
      </c>
      <c r="I246" s="289"/>
      <c r="J246" s="285" t="s">
        <v>9405</v>
      </c>
      <c r="K246" s="289">
        <v>2009</v>
      </c>
      <c r="L246" s="289" t="s">
        <v>1029</v>
      </c>
      <c r="M246" s="15">
        <v>40039</v>
      </c>
      <c r="N246" s="24">
        <v>1</v>
      </c>
      <c r="O246" s="17">
        <v>10000</v>
      </c>
      <c r="P246" s="17">
        <v>10000</v>
      </c>
      <c r="Q246" s="17">
        <f t="shared" si="5"/>
        <v>0</v>
      </c>
      <c r="R246" s="285" t="s">
        <v>5071</v>
      </c>
      <c r="S246" s="15">
        <v>40039</v>
      </c>
      <c r="T246" s="285" t="s">
        <v>2993</v>
      </c>
    </row>
    <row r="247" spans="1:20" ht="72" customHeight="1" x14ac:dyDescent="0.2">
      <c r="A247" s="21">
        <v>243</v>
      </c>
      <c r="B247" s="289" t="s">
        <v>3265</v>
      </c>
      <c r="C247" s="289" t="s">
        <v>5274</v>
      </c>
      <c r="D247" s="9" t="s">
        <v>8249</v>
      </c>
      <c r="E247" s="14">
        <v>40057</v>
      </c>
      <c r="F247" s="76" t="s">
        <v>6473</v>
      </c>
      <c r="G247" s="285" t="s">
        <v>7977</v>
      </c>
      <c r="H247" s="285" t="s">
        <v>5127</v>
      </c>
      <c r="I247" s="289"/>
      <c r="J247" s="285" t="s">
        <v>9405</v>
      </c>
      <c r="K247" s="289">
        <v>2009</v>
      </c>
      <c r="L247" s="289" t="s">
        <v>1029</v>
      </c>
      <c r="M247" s="15">
        <v>40039</v>
      </c>
      <c r="N247" s="24">
        <v>1</v>
      </c>
      <c r="O247" s="17">
        <v>15000</v>
      </c>
      <c r="P247" s="17">
        <v>15000</v>
      </c>
      <c r="Q247" s="17">
        <f t="shared" si="5"/>
        <v>0</v>
      </c>
      <c r="R247" s="285" t="s">
        <v>5071</v>
      </c>
      <c r="S247" s="15">
        <v>40039</v>
      </c>
      <c r="T247" s="285" t="s">
        <v>2993</v>
      </c>
    </row>
    <row r="248" spans="1:20" ht="92.25" customHeight="1" x14ac:dyDescent="0.2">
      <c r="A248" s="21">
        <v>244</v>
      </c>
      <c r="B248" s="289" t="s">
        <v>3266</v>
      </c>
      <c r="C248" s="289" t="s">
        <v>5274</v>
      </c>
      <c r="D248" s="9" t="s">
        <v>5269</v>
      </c>
      <c r="E248" s="14">
        <v>40057</v>
      </c>
      <c r="F248" s="41" t="s">
        <v>6989</v>
      </c>
      <c r="G248" s="285" t="s">
        <v>7977</v>
      </c>
      <c r="H248" s="285" t="s">
        <v>5127</v>
      </c>
      <c r="I248" s="289"/>
      <c r="J248" s="285" t="s">
        <v>9405</v>
      </c>
      <c r="K248" s="289">
        <v>2009</v>
      </c>
      <c r="L248" s="289" t="s">
        <v>1029</v>
      </c>
      <c r="M248" s="15">
        <v>40063</v>
      </c>
      <c r="N248" s="24">
        <v>1</v>
      </c>
      <c r="O248" s="17">
        <v>17600</v>
      </c>
      <c r="P248" s="17">
        <v>17600</v>
      </c>
      <c r="Q248" s="17">
        <f t="shared" si="5"/>
        <v>0</v>
      </c>
      <c r="R248" s="285" t="s">
        <v>5071</v>
      </c>
      <c r="S248" s="15">
        <v>40063</v>
      </c>
      <c r="T248" s="285" t="s">
        <v>889</v>
      </c>
    </row>
    <row r="249" spans="1:20" ht="92.25" customHeight="1" x14ac:dyDescent="0.2">
      <c r="A249" s="21">
        <v>245</v>
      </c>
      <c r="B249" s="289" t="s">
        <v>3267</v>
      </c>
      <c r="C249" s="289" t="s">
        <v>5274</v>
      </c>
      <c r="D249" s="9" t="s">
        <v>5827</v>
      </c>
      <c r="E249" s="14">
        <v>40116</v>
      </c>
      <c r="F249" s="28" t="s">
        <v>6477</v>
      </c>
      <c r="G249" s="285" t="s">
        <v>7977</v>
      </c>
      <c r="H249" s="285" t="s">
        <v>5127</v>
      </c>
      <c r="I249" s="289"/>
      <c r="J249" s="285" t="s">
        <v>9405</v>
      </c>
      <c r="K249" s="289">
        <v>2009</v>
      </c>
      <c r="L249" s="289" t="s">
        <v>1029</v>
      </c>
      <c r="M249" s="15">
        <v>40112</v>
      </c>
      <c r="N249" s="24">
        <v>1</v>
      </c>
      <c r="O249" s="17">
        <v>11684</v>
      </c>
      <c r="P249" s="17">
        <v>11684</v>
      </c>
      <c r="Q249" s="17">
        <f t="shared" si="5"/>
        <v>0</v>
      </c>
      <c r="R249" s="285" t="s">
        <v>5071</v>
      </c>
      <c r="S249" s="15">
        <v>40112</v>
      </c>
      <c r="T249" s="285" t="s">
        <v>890</v>
      </c>
    </row>
    <row r="250" spans="1:20" ht="92.25" customHeight="1" x14ac:dyDescent="0.2">
      <c r="A250" s="21">
        <v>246</v>
      </c>
      <c r="B250" s="289" t="s">
        <v>3268</v>
      </c>
      <c r="C250" s="289" t="s">
        <v>5274</v>
      </c>
      <c r="D250" s="9" t="s">
        <v>5175</v>
      </c>
      <c r="E250" s="14">
        <v>40057</v>
      </c>
      <c r="F250" s="13" t="s">
        <v>6480</v>
      </c>
      <c r="G250" s="285" t="s">
        <v>7977</v>
      </c>
      <c r="H250" s="285" t="s">
        <v>5127</v>
      </c>
      <c r="I250" s="289"/>
      <c r="J250" s="285" t="s">
        <v>9405</v>
      </c>
      <c r="K250" s="289">
        <v>2009</v>
      </c>
      <c r="L250" s="289" t="s">
        <v>1029</v>
      </c>
      <c r="M250" s="15">
        <v>39877</v>
      </c>
      <c r="N250" s="24">
        <v>1</v>
      </c>
      <c r="O250" s="17">
        <v>96000</v>
      </c>
      <c r="P250" s="17">
        <v>96000</v>
      </c>
      <c r="Q250" s="17">
        <f t="shared" si="5"/>
        <v>0</v>
      </c>
      <c r="R250" s="285" t="s">
        <v>5071</v>
      </c>
      <c r="S250" s="15">
        <v>39877</v>
      </c>
      <c r="T250" s="285" t="s">
        <v>891</v>
      </c>
    </row>
    <row r="251" spans="1:20" ht="92.25" customHeight="1" x14ac:dyDescent="0.2">
      <c r="A251" s="21">
        <v>247</v>
      </c>
      <c r="B251" s="289" t="s">
        <v>3269</v>
      </c>
      <c r="C251" s="289" t="s">
        <v>5274</v>
      </c>
      <c r="D251" s="9" t="s">
        <v>271</v>
      </c>
      <c r="E251" s="14">
        <v>40057</v>
      </c>
      <c r="F251" s="13" t="s">
        <v>6990</v>
      </c>
      <c r="G251" s="285" t="s">
        <v>7977</v>
      </c>
      <c r="H251" s="285" t="s">
        <v>5127</v>
      </c>
      <c r="I251" s="289"/>
      <c r="J251" s="285" t="s">
        <v>9405</v>
      </c>
      <c r="K251" s="289">
        <v>2009</v>
      </c>
      <c r="L251" s="289" t="s">
        <v>1029</v>
      </c>
      <c r="M251" s="15">
        <v>39885</v>
      </c>
      <c r="N251" s="24">
        <v>1</v>
      </c>
      <c r="O251" s="17">
        <v>28486.75</v>
      </c>
      <c r="P251" s="17">
        <v>28486.75</v>
      </c>
      <c r="Q251" s="17">
        <f t="shared" si="5"/>
        <v>0</v>
      </c>
      <c r="R251" s="285" t="s">
        <v>5071</v>
      </c>
      <c r="S251" s="15">
        <v>39885</v>
      </c>
      <c r="T251" s="285" t="s">
        <v>892</v>
      </c>
    </row>
    <row r="252" spans="1:20" ht="90.75" customHeight="1" x14ac:dyDescent="0.2">
      <c r="A252" s="21">
        <v>248</v>
      </c>
      <c r="B252" s="289" t="s">
        <v>3270</v>
      </c>
      <c r="C252" s="289" t="s">
        <v>5274</v>
      </c>
      <c r="D252" s="9" t="s">
        <v>202</v>
      </c>
      <c r="E252" s="14">
        <v>40057</v>
      </c>
      <c r="F252" s="13" t="s">
        <v>6484</v>
      </c>
      <c r="G252" s="285" t="s">
        <v>7977</v>
      </c>
      <c r="H252" s="285" t="s">
        <v>5127</v>
      </c>
      <c r="I252" s="289"/>
      <c r="J252" s="285" t="s">
        <v>9405</v>
      </c>
      <c r="K252" s="289">
        <v>2009</v>
      </c>
      <c r="L252" s="289" t="s">
        <v>1029</v>
      </c>
      <c r="M252" s="15">
        <v>39885</v>
      </c>
      <c r="N252" s="24">
        <v>1</v>
      </c>
      <c r="O252" s="17">
        <v>41518</v>
      </c>
      <c r="P252" s="17">
        <v>41518</v>
      </c>
      <c r="Q252" s="17">
        <f t="shared" si="5"/>
        <v>0</v>
      </c>
      <c r="R252" s="285" t="s">
        <v>5071</v>
      </c>
      <c r="S252" s="15">
        <v>39885</v>
      </c>
      <c r="T252" s="285" t="s">
        <v>2988</v>
      </c>
    </row>
    <row r="253" spans="1:20" ht="90.75" customHeight="1" x14ac:dyDescent="0.2">
      <c r="A253" s="21">
        <v>249</v>
      </c>
      <c r="B253" s="289" t="s">
        <v>5028</v>
      </c>
      <c r="C253" s="39" t="s">
        <v>5274</v>
      </c>
      <c r="D253" s="9" t="s">
        <v>2985</v>
      </c>
      <c r="E253" s="14">
        <v>40057</v>
      </c>
      <c r="F253" s="111" t="s">
        <v>6486</v>
      </c>
      <c r="G253" s="285" t="s">
        <v>7977</v>
      </c>
      <c r="H253" s="285" t="s">
        <v>5127</v>
      </c>
      <c r="I253" s="289"/>
      <c r="J253" s="285" t="s">
        <v>9405</v>
      </c>
      <c r="K253" s="289">
        <v>2009</v>
      </c>
      <c r="L253" s="289" t="s">
        <v>1029</v>
      </c>
      <c r="M253" s="15">
        <v>39885</v>
      </c>
      <c r="N253" s="24">
        <v>1</v>
      </c>
      <c r="O253" s="17">
        <v>45389</v>
      </c>
      <c r="P253" s="17">
        <v>45389</v>
      </c>
      <c r="Q253" s="17">
        <f t="shared" si="5"/>
        <v>0</v>
      </c>
      <c r="R253" s="285" t="s">
        <v>5071</v>
      </c>
      <c r="S253" s="15">
        <v>39885</v>
      </c>
      <c r="T253" s="285" t="s">
        <v>2989</v>
      </c>
    </row>
    <row r="254" spans="1:20" ht="90.75" customHeight="1" x14ac:dyDescent="0.2">
      <c r="A254" s="21">
        <v>250</v>
      </c>
      <c r="B254" s="289" t="s">
        <v>5029</v>
      </c>
      <c r="C254" s="289" t="s">
        <v>5274</v>
      </c>
      <c r="D254" s="9" t="s">
        <v>6201</v>
      </c>
      <c r="E254" s="14">
        <v>40057</v>
      </c>
      <c r="F254" s="28" t="s">
        <v>6991</v>
      </c>
      <c r="G254" s="285" t="s">
        <v>7977</v>
      </c>
      <c r="H254" s="285" t="s">
        <v>5127</v>
      </c>
      <c r="I254" s="289"/>
      <c r="J254" s="285" t="s">
        <v>9405</v>
      </c>
      <c r="K254" s="289">
        <v>2009</v>
      </c>
      <c r="L254" s="289" t="s">
        <v>1029</v>
      </c>
      <c r="M254" s="15">
        <v>39885</v>
      </c>
      <c r="N254" s="24">
        <v>1</v>
      </c>
      <c r="O254" s="17">
        <v>23410</v>
      </c>
      <c r="P254" s="17">
        <v>23410</v>
      </c>
      <c r="Q254" s="17">
        <f t="shared" si="5"/>
        <v>0</v>
      </c>
      <c r="R254" s="285" t="s">
        <v>5071</v>
      </c>
      <c r="S254" s="15">
        <v>39885</v>
      </c>
      <c r="T254" s="285" t="s">
        <v>2989</v>
      </c>
    </row>
    <row r="255" spans="1:20" ht="90.75" customHeight="1" x14ac:dyDescent="0.2">
      <c r="A255" s="21">
        <v>251</v>
      </c>
      <c r="B255" s="289" t="s">
        <v>5030</v>
      </c>
      <c r="C255" s="289" t="s">
        <v>5274</v>
      </c>
      <c r="D255" s="9" t="s">
        <v>662</v>
      </c>
      <c r="E255" s="14">
        <v>40057</v>
      </c>
      <c r="F255" s="111" t="s">
        <v>6483</v>
      </c>
      <c r="G255" s="285" t="s">
        <v>7977</v>
      </c>
      <c r="H255" s="285" t="s">
        <v>5127</v>
      </c>
      <c r="I255" s="289"/>
      <c r="J255" s="285" t="s">
        <v>9405</v>
      </c>
      <c r="K255" s="289">
        <v>2009</v>
      </c>
      <c r="L255" s="289" t="s">
        <v>1029</v>
      </c>
      <c r="M255" s="15">
        <v>39947</v>
      </c>
      <c r="N255" s="24">
        <v>1</v>
      </c>
      <c r="O255" s="17">
        <v>67254</v>
      </c>
      <c r="P255" s="17">
        <v>67254</v>
      </c>
      <c r="Q255" s="17">
        <f t="shared" si="5"/>
        <v>0</v>
      </c>
      <c r="R255" s="285" t="s">
        <v>5071</v>
      </c>
      <c r="S255" s="15">
        <v>39947</v>
      </c>
      <c r="T255" s="285" t="s">
        <v>893</v>
      </c>
    </row>
    <row r="256" spans="1:20" ht="90.75" customHeight="1" x14ac:dyDescent="0.2">
      <c r="A256" s="21">
        <v>252</v>
      </c>
      <c r="B256" s="289" t="s">
        <v>1333</v>
      </c>
      <c r="C256" s="289" t="s">
        <v>5274</v>
      </c>
      <c r="D256" s="9" t="s">
        <v>2332</v>
      </c>
      <c r="E256" s="14">
        <v>40057</v>
      </c>
      <c r="F256" s="28" t="s">
        <v>6992</v>
      </c>
      <c r="G256" s="285" t="s">
        <v>7977</v>
      </c>
      <c r="H256" s="285" t="s">
        <v>5127</v>
      </c>
      <c r="I256" s="289"/>
      <c r="J256" s="285" t="s">
        <v>9405</v>
      </c>
      <c r="K256" s="289">
        <v>2009</v>
      </c>
      <c r="L256" s="289" t="s">
        <v>1029</v>
      </c>
      <c r="M256" s="15">
        <v>39996</v>
      </c>
      <c r="N256" s="24">
        <v>1</v>
      </c>
      <c r="O256" s="17">
        <v>74298</v>
      </c>
      <c r="P256" s="17">
        <v>74298</v>
      </c>
      <c r="Q256" s="17">
        <f t="shared" si="5"/>
        <v>0</v>
      </c>
      <c r="R256" s="285" t="s">
        <v>5071</v>
      </c>
      <c r="S256" s="15">
        <v>39996</v>
      </c>
      <c r="T256" s="285" t="s">
        <v>894</v>
      </c>
    </row>
    <row r="257" spans="1:20" ht="87" customHeight="1" x14ac:dyDescent="0.2">
      <c r="A257" s="21">
        <v>253</v>
      </c>
      <c r="B257" s="289" t="s">
        <v>1334</v>
      </c>
      <c r="C257" s="289" t="s">
        <v>5274</v>
      </c>
      <c r="D257" s="9" t="s">
        <v>3188</v>
      </c>
      <c r="E257" s="14">
        <v>40057</v>
      </c>
      <c r="F257" s="13" t="s">
        <v>6478</v>
      </c>
      <c r="G257" s="285" t="s">
        <v>7977</v>
      </c>
      <c r="H257" s="285" t="s">
        <v>5127</v>
      </c>
      <c r="I257" s="289"/>
      <c r="J257" s="285" t="s">
        <v>9405</v>
      </c>
      <c r="K257" s="289">
        <v>2009</v>
      </c>
      <c r="L257" s="289" t="s">
        <v>1029</v>
      </c>
      <c r="M257" s="15">
        <v>40021</v>
      </c>
      <c r="N257" s="24">
        <v>1</v>
      </c>
      <c r="O257" s="17">
        <v>21200</v>
      </c>
      <c r="P257" s="17">
        <v>21200</v>
      </c>
      <c r="Q257" s="17">
        <f t="shared" si="5"/>
        <v>0</v>
      </c>
      <c r="R257" s="285" t="s">
        <v>5071</v>
      </c>
      <c r="S257" s="15">
        <v>40021</v>
      </c>
      <c r="T257" s="285" t="s">
        <v>2802</v>
      </c>
    </row>
    <row r="258" spans="1:20" ht="87" customHeight="1" x14ac:dyDescent="0.2">
      <c r="A258" s="21">
        <v>254</v>
      </c>
      <c r="B258" s="289" t="s">
        <v>1335</v>
      </c>
      <c r="C258" s="289" t="s">
        <v>5274</v>
      </c>
      <c r="D258" s="9" t="s">
        <v>3305</v>
      </c>
      <c r="E258" s="14">
        <v>40178</v>
      </c>
      <c r="F258" s="13" t="s">
        <v>6993</v>
      </c>
      <c r="G258" s="285" t="s">
        <v>7977</v>
      </c>
      <c r="H258" s="285" t="s">
        <v>5127</v>
      </c>
      <c r="I258" s="289"/>
      <c r="J258" s="285" t="s">
        <v>9405</v>
      </c>
      <c r="K258" s="289">
        <v>2009</v>
      </c>
      <c r="L258" s="289" t="s">
        <v>1029</v>
      </c>
      <c r="M258" s="15">
        <v>40118</v>
      </c>
      <c r="N258" s="24">
        <v>1</v>
      </c>
      <c r="O258" s="17">
        <v>186742</v>
      </c>
      <c r="P258" s="17">
        <v>186742</v>
      </c>
      <c r="Q258" s="17">
        <f t="shared" si="5"/>
        <v>0</v>
      </c>
      <c r="R258" s="285" t="s">
        <v>5071</v>
      </c>
      <c r="S258" s="15">
        <v>40118</v>
      </c>
      <c r="T258" s="285" t="s">
        <v>2803</v>
      </c>
    </row>
    <row r="259" spans="1:20" ht="87" customHeight="1" x14ac:dyDescent="0.2">
      <c r="A259" s="21">
        <v>255</v>
      </c>
      <c r="B259" s="289" t="s">
        <v>799</v>
      </c>
      <c r="C259" s="289" t="s">
        <v>5274</v>
      </c>
      <c r="D259" s="9" t="s">
        <v>5569</v>
      </c>
      <c r="E259" s="14">
        <v>40057</v>
      </c>
      <c r="F259" s="28" t="s">
        <v>6839</v>
      </c>
      <c r="G259" s="285" t="s">
        <v>7982</v>
      </c>
      <c r="H259" s="285" t="s">
        <v>5127</v>
      </c>
      <c r="I259" s="289"/>
      <c r="J259" s="285" t="s">
        <v>1017</v>
      </c>
      <c r="K259" s="15">
        <v>40374</v>
      </c>
      <c r="L259" s="289">
        <v>1248</v>
      </c>
      <c r="M259" s="15">
        <v>40374</v>
      </c>
      <c r="N259" s="24">
        <v>1</v>
      </c>
      <c r="O259" s="17">
        <v>91534.96</v>
      </c>
      <c r="P259" s="17">
        <v>91534.96</v>
      </c>
      <c r="Q259" s="17">
        <f t="shared" si="5"/>
        <v>0</v>
      </c>
      <c r="R259" s="285" t="s">
        <v>5071</v>
      </c>
      <c r="S259" s="15">
        <v>40374</v>
      </c>
      <c r="T259" s="285">
        <v>1248</v>
      </c>
    </row>
    <row r="260" spans="1:20" ht="87" customHeight="1" x14ac:dyDescent="0.2">
      <c r="A260" s="21">
        <v>256</v>
      </c>
      <c r="B260" s="289" t="s">
        <v>800</v>
      </c>
      <c r="C260" s="289" t="s">
        <v>5274</v>
      </c>
      <c r="D260" s="9" t="s">
        <v>5569</v>
      </c>
      <c r="E260" s="14">
        <v>40422</v>
      </c>
      <c r="F260" s="28" t="s">
        <v>6647</v>
      </c>
      <c r="G260" s="285" t="s">
        <v>7981</v>
      </c>
      <c r="H260" s="285" t="s">
        <v>5127</v>
      </c>
      <c r="I260" s="289"/>
      <c r="J260" s="22" t="s">
        <v>9411</v>
      </c>
      <c r="K260" s="15">
        <v>40544</v>
      </c>
      <c r="L260" s="289" t="s">
        <v>1029</v>
      </c>
      <c r="M260" s="14">
        <v>40422</v>
      </c>
      <c r="N260" s="24">
        <v>1</v>
      </c>
      <c r="O260" s="17">
        <v>91534.96</v>
      </c>
      <c r="P260" s="17">
        <v>91534.96</v>
      </c>
      <c r="Q260" s="17">
        <f t="shared" si="5"/>
        <v>0</v>
      </c>
      <c r="R260" s="285" t="s">
        <v>5071</v>
      </c>
      <c r="S260" s="15">
        <v>40374</v>
      </c>
      <c r="T260" s="285">
        <v>1247</v>
      </c>
    </row>
    <row r="261" spans="1:20" ht="87" customHeight="1" x14ac:dyDescent="0.2">
      <c r="A261" s="21">
        <v>257</v>
      </c>
      <c r="B261" s="289" t="s">
        <v>801</v>
      </c>
      <c r="C261" s="289" t="s">
        <v>5274</v>
      </c>
      <c r="D261" s="9" t="s">
        <v>2593</v>
      </c>
      <c r="E261" s="14">
        <v>40422</v>
      </c>
      <c r="F261" s="241" t="s">
        <v>6649</v>
      </c>
      <c r="G261" s="285" t="s">
        <v>7981</v>
      </c>
      <c r="H261" s="285" t="s">
        <v>5127</v>
      </c>
      <c r="I261" s="289"/>
      <c r="J261" s="22" t="s">
        <v>9411</v>
      </c>
      <c r="K261" s="15">
        <v>40544</v>
      </c>
      <c r="L261" s="289" t="s">
        <v>1029</v>
      </c>
      <c r="M261" s="14">
        <v>40422</v>
      </c>
      <c r="N261" s="24">
        <v>1</v>
      </c>
      <c r="O261" s="17">
        <v>51593.04</v>
      </c>
      <c r="P261" s="17">
        <v>51593.04</v>
      </c>
      <c r="Q261" s="17">
        <f t="shared" ref="Q261:Q291" si="6">O261-P261</f>
        <v>0</v>
      </c>
      <c r="R261" s="285" t="s">
        <v>5071</v>
      </c>
      <c r="S261" s="15">
        <v>40374</v>
      </c>
      <c r="T261" s="285">
        <v>1247</v>
      </c>
    </row>
    <row r="262" spans="1:20" ht="87" customHeight="1" x14ac:dyDescent="0.2">
      <c r="A262" s="21">
        <v>258</v>
      </c>
      <c r="B262" s="289" t="s">
        <v>802</v>
      </c>
      <c r="C262" s="289" t="s">
        <v>5274</v>
      </c>
      <c r="D262" s="9" t="s">
        <v>3555</v>
      </c>
      <c r="E262" s="14">
        <v>40422</v>
      </c>
      <c r="F262" s="28" t="s">
        <v>7018</v>
      </c>
      <c r="G262" s="285" t="s">
        <v>7981</v>
      </c>
      <c r="H262" s="285" t="s">
        <v>5127</v>
      </c>
      <c r="I262" s="289"/>
      <c r="J262" s="22" t="s">
        <v>9411</v>
      </c>
      <c r="K262" s="15">
        <v>40544</v>
      </c>
      <c r="L262" s="289" t="s">
        <v>1029</v>
      </c>
      <c r="M262" s="14">
        <v>40422</v>
      </c>
      <c r="N262" s="24">
        <v>1</v>
      </c>
      <c r="O262" s="17">
        <v>51400.800000000003</v>
      </c>
      <c r="P262" s="17">
        <v>51400.800000000003</v>
      </c>
      <c r="Q262" s="17">
        <f t="shared" si="6"/>
        <v>0</v>
      </c>
      <c r="R262" s="285" t="s">
        <v>5071</v>
      </c>
      <c r="S262" s="15">
        <v>40374</v>
      </c>
      <c r="T262" s="285">
        <v>1247</v>
      </c>
    </row>
    <row r="263" spans="1:20" ht="32.25" customHeight="1" x14ac:dyDescent="0.2">
      <c r="A263" s="21">
        <v>259</v>
      </c>
      <c r="B263" s="289" t="s">
        <v>803</v>
      </c>
      <c r="C263" s="289" t="s">
        <v>5274</v>
      </c>
      <c r="D263" s="9" t="s">
        <v>2593</v>
      </c>
      <c r="E263" s="14">
        <v>40422</v>
      </c>
      <c r="F263" s="13" t="s">
        <v>6808</v>
      </c>
      <c r="G263" s="285" t="s">
        <v>7917</v>
      </c>
      <c r="H263" s="285" t="s">
        <v>5127</v>
      </c>
      <c r="I263" s="289"/>
      <c r="J263" s="285"/>
      <c r="K263" s="289"/>
      <c r="L263" s="289"/>
      <c r="M263" s="14"/>
      <c r="N263" s="24">
        <v>1</v>
      </c>
      <c r="O263" s="17">
        <v>51593.04</v>
      </c>
      <c r="P263" s="17">
        <v>51593.04</v>
      </c>
      <c r="Q263" s="17">
        <f t="shared" si="6"/>
        <v>0</v>
      </c>
      <c r="R263" s="285" t="s">
        <v>5071</v>
      </c>
      <c r="S263" s="15">
        <v>40374</v>
      </c>
      <c r="T263" s="285">
        <v>1246</v>
      </c>
    </row>
    <row r="264" spans="1:20" ht="32.25" customHeight="1" x14ac:dyDescent="0.2">
      <c r="A264" s="21">
        <v>260</v>
      </c>
      <c r="B264" s="289" t="s">
        <v>6128</v>
      </c>
      <c r="C264" s="289" t="s">
        <v>5274</v>
      </c>
      <c r="D264" s="9" t="s">
        <v>4255</v>
      </c>
      <c r="E264" s="14">
        <v>40422</v>
      </c>
      <c r="F264" s="13" t="s">
        <v>6654</v>
      </c>
      <c r="G264" s="285" t="s">
        <v>7917</v>
      </c>
      <c r="H264" s="285" t="s">
        <v>5127</v>
      </c>
      <c r="I264" s="289"/>
      <c r="J264" s="285"/>
      <c r="K264" s="289"/>
      <c r="L264" s="289"/>
      <c r="M264" s="14">
        <v>40470</v>
      </c>
      <c r="N264" s="24">
        <v>1</v>
      </c>
      <c r="O264" s="17">
        <v>33094</v>
      </c>
      <c r="P264" s="17">
        <v>33094</v>
      </c>
      <c r="Q264" s="17">
        <f t="shared" si="6"/>
        <v>0</v>
      </c>
      <c r="R264" s="285" t="s">
        <v>5071</v>
      </c>
      <c r="S264" s="15">
        <v>40283</v>
      </c>
      <c r="T264" s="285">
        <v>482</v>
      </c>
    </row>
    <row r="265" spans="1:20" ht="87" customHeight="1" x14ac:dyDescent="0.2">
      <c r="A265" s="21">
        <v>261</v>
      </c>
      <c r="B265" s="289" t="s">
        <v>6129</v>
      </c>
      <c r="C265" s="289" t="s">
        <v>5274</v>
      </c>
      <c r="D265" s="9" t="s">
        <v>4255</v>
      </c>
      <c r="E265" s="14">
        <v>40422</v>
      </c>
      <c r="F265" s="28" t="s">
        <v>4077</v>
      </c>
      <c r="G265" s="285" t="s">
        <v>7934</v>
      </c>
      <c r="H265" s="285" t="s">
        <v>5127</v>
      </c>
      <c r="I265" s="289"/>
      <c r="J265" s="285"/>
      <c r="K265" s="289"/>
      <c r="L265" s="289"/>
      <c r="M265" s="15">
        <v>41244</v>
      </c>
      <c r="N265" s="24">
        <v>1</v>
      </c>
      <c r="O265" s="17">
        <v>33094</v>
      </c>
      <c r="P265" s="17">
        <v>33094</v>
      </c>
      <c r="Q265" s="17">
        <f t="shared" si="6"/>
        <v>0</v>
      </c>
      <c r="R265" s="285" t="s">
        <v>5071</v>
      </c>
      <c r="S265" s="15">
        <v>40227</v>
      </c>
      <c r="T265" s="285">
        <v>237</v>
      </c>
    </row>
    <row r="266" spans="1:20" ht="87" customHeight="1" x14ac:dyDescent="0.2">
      <c r="A266" s="21">
        <v>262</v>
      </c>
      <c r="B266" s="289" t="s">
        <v>6130</v>
      </c>
      <c r="C266" s="289" t="s">
        <v>5274</v>
      </c>
      <c r="D266" s="9" t="s">
        <v>2483</v>
      </c>
      <c r="E266" s="14">
        <v>40422</v>
      </c>
      <c r="F266" s="241" t="s">
        <v>1478</v>
      </c>
      <c r="G266" s="285" t="s">
        <v>515</v>
      </c>
      <c r="H266" s="285" t="s">
        <v>5127</v>
      </c>
      <c r="I266" s="289"/>
      <c r="J266" s="285"/>
      <c r="K266" s="289"/>
      <c r="L266" s="289"/>
      <c r="M266" s="15">
        <v>41244</v>
      </c>
      <c r="N266" s="24">
        <v>1</v>
      </c>
      <c r="O266" s="17">
        <v>22500</v>
      </c>
      <c r="P266" s="17">
        <v>22500</v>
      </c>
      <c r="Q266" s="17">
        <f t="shared" si="6"/>
        <v>0</v>
      </c>
      <c r="R266" s="285" t="s">
        <v>5071</v>
      </c>
      <c r="S266" s="15">
        <v>40170</v>
      </c>
      <c r="T266" s="285">
        <v>582</v>
      </c>
    </row>
    <row r="267" spans="1:20" ht="87" customHeight="1" x14ac:dyDescent="0.2">
      <c r="A267" s="21">
        <v>263</v>
      </c>
      <c r="B267" s="289" t="s">
        <v>6131</v>
      </c>
      <c r="C267" s="289" t="s">
        <v>5274</v>
      </c>
      <c r="D267" s="9" t="s">
        <v>3305</v>
      </c>
      <c r="E267" s="14">
        <v>40178</v>
      </c>
      <c r="F267" s="241" t="s">
        <v>6768</v>
      </c>
      <c r="G267" s="285" t="s">
        <v>7967</v>
      </c>
      <c r="H267" s="285" t="s">
        <v>5127</v>
      </c>
      <c r="I267" s="289"/>
      <c r="J267" s="285"/>
      <c r="K267" s="289"/>
      <c r="L267" s="289"/>
      <c r="M267" s="15">
        <v>41244</v>
      </c>
      <c r="N267" s="24">
        <v>1</v>
      </c>
      <c r="O267" s="17">
        <v>142797.04999999999</v>
      </c>
      <c r="P267" s="17">
        <v>142797.04999999999</v>
      </c>
      <c r="Q267" s="17">
        <f t="shared" si="6"/>
        <v>0</v>
      </c>
      <c r="R267" s="285" t="s">
        <v>5071</v>
      </c>
      <c r="S267" s="15">
        <v>40155</v>
      </c>
      <c r="T267" s="285">
        <v>77</v>
      </c>
    </row>
    <row r="268" spans="1:20" ht="48" customHeight="1" x14ac:dyDescent="0.2">
      <c r="A268" s="21">
        <v>264</v>
      </c>
      <c r="B268" s="289" t="s">
        <v>6132</v>
      </c>
      <c r="C268" s="289" t="s">
        <v>5274</v>
      </c>
      <c r="D268" s="9" t="s">
        <v>5307</v>
      </c>
      <c r="E268" s="14">
        <v>40543</v>
      </c>
      <c r="F268" s="28" t="s">
        <v>6330</v>
      </c>
      <c r="G268" s="285" t="s">
        <v>7981</v>
      </c>
      <c r="H268" s="285" t="s">
        <v>5127</v>
      </c>
      <c r="I268" s="289"/>
      <c r="J268" s="22" t="s">
        <v>9411</v>
      </c>
      <c r="K268" s="15">
        <v>40544</v>
      </c>
      <c r="L268" s="289" t="s">
        <v>1029</v>
      </c>
      <c r="M268" s="15">
        <v>40543</v>
      </c>
      <c r="N268" s="24">
        <v>1</v>
      </c>
      <c r="O268" s="17">
        <v>24720</v>
      </c>
      <c r="P268" s="17">
        <v>24720</v>
      </c>
      <c r="Q268" s="17">
        <f t="shared" si="6"/>
        <v>0</v>
      </c>
      <c r="R268" s="285" t="s">
        <v>5071</v>
      </c>
      <c r="S268" s="15">
        <v>40501</v>
      </c>
      <c r="T268" s="285">
        <v>74</v>
      </c>
    </row>
    <row r="269" spans="1:20" ht="48" customHeight="1" x14ac:dyDescent="0.2">
      <c r="A269" s="21">
        <v>265</v>
      </c>
      <c r="B269" s="289" t="s">
        <v>6133</v>
      </c>
      <c r="C269" s="289" t="s">
        <v>5274</v>
      </c>
      <c r="D269" s="9" t="s">
        <v>3305</v>
      </c>
      <c r="E269" s="14">
        <v>40482</v>
      </c>
      <c r="F269" s="28" t="s">
        <v>449</v>
      </c>
      <c r="G269" s="285" t="s">
        <v>515</v>
      </c>
      <c r="H269" s="285" t="s">
        <v>5127</v>
      </c>
      <c r="I269" s="289"/>
      <c r="J269" s="285"/>
      <c r="K269" s="289"/>
      <c r="L269" s="289"/>
      <c r="M269" s="15">
        <v>41244</v>
      </c>
      <c r="N269" s="24">
        <v>1</v>
      </c>
      <c r="O269" s="17">
        <v>170000</v>
      </c>
      <c r="P269" s="17">
        <v>170000</v>
      </c>
      <c r="Q269" s="17">
        <f t="shared" si="6"/>
        <v>0</v>
      </c>
      <c r="R269" s="285" t="s">
        <v>5071</v>
      </c>
      <c r="S269" s="15">
        <v>40337</v>
      </c>
      <c r="T269" s="285">
        <v>82</v>
      </c>
    </row>
    <row r="270" spans="1:20" ht="48" customHeight="1" x14ac:dyDescent="0.2">
      <c r="A270" s="21">
        <v>266</v>
      </c>
      <c r="B270" s="289" t="s">
        <v>4294</v>
      </c>
      <c r="C270" s="289" t="s">
        <v>5274</v>
      </c>
      <c r="D270" s="9" t="s">
        <v>3305</v>
      </c>
      <c r="E270" s="14">
        <v>40482</v>
      </c>
      <c r="F270" s="28" t="s">
        <v>2730</v>
      </c>
      <c r="G270" s="285" t="s">
        <v>7934</v>
      </c>
      <c r="H270" s="285" t="s">
        <v>5127</v>
      </c>
      <c r="I270" s="289"/>
      <c r="J270" s="285"/>
      <c r="K270" s="289"/>
      <c r="L270" s="289"/>
      <c r="M270" s="15">
        <v>41244</v>
      </c>
      <c r="N270" s="24">
        <v>1</v>
      </c>
      <c r="O270" s="17">
        <v>180000</v>
      </c>
      <c r="P270" s="17">
        <v>180000</v>
      </c>
      <c r="Q270" s="17">
        <f t="shared" si="6"/>
        <v>0</v>
      </c>
      <c r="R270" s="285" t="s">
        <v>5071</v>
      </c>
      <c r="S270" s="15">
        <v>40340</v>
      </c>
      <c r="T270" s="285">
        <v>68</v>
      </c>
    </row>
    <row r="271" spans="1:20" ht="75.75" customHeight="1" x14ac:dyDescent="0.2">
      <c r="A271" s="21">
        <v>267</v>
      </c>
      <c r="B271" s="289" t="s">
        <v>4295</v>
      </c>
      <c r="C271" s="289"/>
      <c r="D271" s="9" t="s">
        <v>3419</v>
      </c>
      <c r="E271" s="14">
        <v>40389</v>
      </c>
      <c r="F271" s="28" t="s">
        <v>6629</v>
      </c>
      <c r="G271" s="285" t="s">
        <v>6266</v>
      </c>
      <c r="H271" s="285" t="s">
        <v>5127</v>
      </c>
      <c r="I271" s="289"/>
      <c r="J271" s="285" t="s">
        <v>9412</v>
      </c>
      <c r="K271" s="289">
        <v>2010</v>
      </c>
      <c r="L271" s="289" t="s">
        <v>1029</v>
      </c>
      <c r="M271" s="15">
        <v>40347</v>
      </c>
      <c r="N271" s="24">
        <v>2</v>
      </c>
      <c r="O271" s="17">
        <v>21380</v>
      </c>
      <c r="P271" s="17">
        <v>21380</v>
      </c>
      <c r="Q271" s="17">
        <f t="shared" si="6"/>
        <v>0</v>
      </c>
      <c r="R271" s="285" t="s">
        <v>5071</v>
      </c>
      <c r="S271" s="15">
        <v>40347</v>
      </c>
      <c r="T271" s="285">
        <v>950</v>
      </c>
    </row>
    <row r="272" spans="1:20" ht="62.25" customHeight="1" x14ac:dyDescent="0.2">
      <c r="A272" s="21">
        <v>268</v>
      </c>
      <c r="B272" s="289" t="s">
        <v>972</v>
      </c>
      <c r="C272" s="289"/>
      <c r="D272" s="9" t="s">
        <v>3419</v>
      </c>
      <c r="E272" s="14">
        <v>40389</v>
      </c>
      <c r="F272" s="241" t="s">
        <v>6630</v>
      </c>
      <c r="G272" s="285" t="s">
        <v>6266</v>
      </c>
      <c r="H272" s="285" t="s">
        <v>5127</v>
      </c>
      <c r="I272" s="289"/>
      <c r="J272" s="285" t="s">
        <v>9412</v>
      </c>
      <c r="K272" s="289">
        <v>2010</v>
      </c>
      <c r="L272" s="289" t="s">
        <v>1029</v>
      </c>
      <c r="M272" s="15">
        <v>40347</v>
      </c>
      <c r="N272" s="24">
        <v>1</v>
      </c>
      <c r="O272" s="17">
        <v>16700</v>
      </c>
      <c r="P272" s="17">
        <v>16700</v>
      </c>
      <c r="Q272" s="17">
        <f t="shared" si="6"/>
        <v>0</v>
      </c>
      <c r="R272" s="285" t="s">
        <v>5071</v>
      </c>
      <c r="S272" s="15">
        <v>40347</v>
      </c>
      <c r="T272" s="285">
        <v>950</v>
      </c>
    </row>
    <row r="273" spans="1:20" ht="32.25" customHeight="1" x14ac:dyDescent="0.2">
      <c r="A273" s="21">
        <v>269</v>
      </c>
      <c r="B273" s="289" t="s">
        <v>973</v>
      </c>
      <c r="C273" s="289"/>
      <c r="D273" s="9" t="s">
        <v>2790</v>
      </c>
      <c r="E273" s="14">
        <v>40543</v>
      </c>
      <c r="F273" s="26" t="s">
        <v>6809</v>
      </c>
      <c r="G273" s="285" t="s">
        <v>7917</v>
      </c>
      <c r="H273" s="285" t="s">
        <v>5127</v>
      </c>
      <c r="I273" s="289"/>
      <c r="J273" s="285" t="s">
        <v>3136</v>
      </c>
      <c r="K273" s="15">
        <v>42020</v>
      </c>
      <c r="L273" s="289">
        <v>25</v>
      </c>
      <c r="M273" s="22" t="s">
        <v>4256</v>
      </c>
      <c r="N273" s="24">
        <v>2</v>
      </c>
      <c r="O273" s="17">
        <v>21540</v>
      </c>
      <c r="P273" s="17">
        <v>21540</v>
      </c>
      <c r="Q273" s="17">
        <f t="shared" si="6"/>
        <v>0</v>
      </c>
      <c r="R273" s="285" t="s">
        <v>5071</v>
      </c>
      <c r="S273" s="15">
        <v>40518</v>
      </c>
      <c r="T273" s="285">
        <v>22</v>
      </c>
    </row>
    <row r="274" spans="1:20" ht="48" customHeight="1" x14ac:dyDescent="0.2">
      <c r="A274" s="21">
        <v>270</v>
      </c>
      <c r="B274" s="289" t="s">
        <v>974</v>
      </c>
      <c r="C274" s="289" t="s">
        <v>5274</v>
      </c>
      <c r="D274" s="9" t="s">
        <v>3305</v>
      </c>
      <c r="E274" s="14">
        <v>40482</v>
      </c>
      <c r="F274" s="28" t="s">
        <v>2730</v>
      </c>
      <c r="G274" s="285" t="s">
        <v>793</v>
      </c>
      <c r="H274" s="285" t="s">
        <v>5127</v>
      </c>
      <c r="I274" s="289"/>
      <c r="J274" s="285"/>
      <c r="K274" s="289"/>
      <c r="L274" s="289"/>
      <c r="M274" s="15">
        <v>40556</v>
      </c>
      <c r="N274" s="24">
        <v>1</v>
      </c>
      <c r="O274" s="17">
        <v>166350</v>
      </c>
      <c r="P274" s="17">
        <v>166350</v>
      </c>
      <c r="Q274" s="17">
        <f t="shared" si="6"/>
        <v>0</v>
      </c>
      <c r="R274" s="285" t="s">
        <v>5071</v>
      </c>
      <c r="S274" s="15">
        <v>40437</v>
      </c>
      <c r="T274" s="285">
        <v>40</v>
      </c>
    </row>
    <row r="275" spans="1:20" ht="51.75" customHeight="1" x14ac:dyDescent="0.2">
      <c r="A275" s="21">
        <v>271</v>
      </c>
      <c r="B275" s="289" t="s">
        <v>212</v>
      </c>
      <c r="C275" s="289" t="s">
        <v>5274</v>
      </c>
      <c r="D275" s="9" t="s">
        <v>3305</v>
      </c>
      <c r="E275" s="14"/>
      <c r="F275" s="28" t="s">
        <v>4956</v>
      </c>
      <c r="G275" s="285" t="s">
        <v>4946</v>
      </c>
      <c r="H275" s="285" t="s">
        <v>5127</v>
      </c>
      <c r="I275" s="289"/>
      <c r="J275" s="285"/>
      <c r="K275" s="289"/>
      <c r="L275" s="289"/>
      <c r="M275" s="15">
        <v>40451</v>
      </c>
      <c r="N275" s="24">
        <v>1</v>
      </c>
      <c r="O275" s="17">
        <v>92825</v>
      </c>
      <c r="P275" s="17">
        <v>92825</v>
      </c>
      <c r="Q275" s="17">
        <f t="shared" si="6"/>
        <v>0</v>
      </c>
      <c r="R275" s="285" t="s">
        <v>5071</v>
      </c>
      <c r="S275" s="14" t="s">
        <v>4967</v>
      </c>
      <c r="T275" s="285" t="s">
        <v>4966</v>
      </c>
    </row>
    <row r="276" spans="1:20" ht="44.25" customHeight="1" x14ac:dyDescent="0.2">
      <c r="A276" s="21">
        <v>272</v>
      </c>
      <c r="B276" s="289" t="s">
        <v>3828</v>
      </c>
      <c r="C276" s="289"/>
      <c r="D276" s="9" t="s">
        <v>2963</v>
      </c>
      <c r="E276" s="14"/>
      <c r="F276" s="28" t="s">
        <v>6538</v>
      </c>
      <c r="G276" s="56" t="s">
        <v>101</v>
      </c>
      <c r="H276" s="285" t="s">
        <v>5127</v>
      </c>
      <c r="I276" s="289"/>
      <c r="J276" s="285" t="s">
        <v>3136</v>
      </c>
      <c r="K276" s="15">
        <v>40794</v>
      </c>
      <c r="L276" s="289">
        <v>947</v>
      </c>
      <c r="M276" s="15">
        <v>41198</v>
      </c>
      <c r="N276" s="24">
        <v>1</v>
      </c>
      <c r="O276" s="17">
        <v>40000</v>
      </c>
      <c r="P276" s="17">
        <v>40000</v>
      </c>
      <c r="Q276" s="17">
        <f t="shared" si="6"/>
        <v>0</v>
      </c>
      <c r="R276" s="285" t="s">
        <v>5580</v>
      </c>
      <c r="S276" s="15">
        <v>40527</v>
      </c>
      <c r="T276" s="285"/>
    </row>
    <row r="277" spans="1:20" ht="40.5" customHeight="1" x14ac:dyDescent="0.2">
      <c r="A277" s="21">
        <v>273</v>
      </c>
      <c r="B277" s="289" t="s">
        <v>5807</v>
      </c>
      <c r="C277" s="289"/>
      <c r="D277" s="9" t="s">
        <v>6149</v>
      </c>
      <c r="E277" s="14"/>
      <c r="F277" s="28" t="s">
        <v>6539</v>
      </c>
      <c r="G277" s="56" t="s">
        <v>101</v>
      </c>
      <c r="H277" s="285" t="s">
        <v>5127</v>
      </c>
      <c r="I277" s="289"/>
      <c r="J277" s="285" t="s">
        <v>3136</v>
      </c>
      <c r="K277" s="15">
        <v>40794</v>
      </c>
      <c r="L277" s="289">
        <v>947</v>
      </c>
      <c r="M277" s="15">
        <v>41198</v>
      </c>
      <c r="N277" s="24">
        <v>1</v>
      </c>
      <c r="O277" s="17">
        <v>40000</v>
      </c>
      <c r="P277" s="17">
        <v>40000</v>
      </c>
      <c r="Q277" s="17">
        <f t="shared" si="6"/>
        <v>0</v>
      </c>
      <c r="R277" s="285" t="s">
        <v>5580</v>
      </c>
      <c r="S277" s="15">
        <v>40527</v>
      </c>
      <c r="T277" s="285"/>
    </row>
    <row r="278" spans="1:20" ht="32.25" customHeight="1" x14ac:dyDescent="0.2">
      <c r="A278" s="21">
        <v>274</v>
      </c>
      <c r="B278" s="289" t="s">
        <v>5808</v>
      </c>
      <c r="C278" s="289" t="s">
        <v>5274</v>
      </c>
      <c r="D278" s="9" t="s">
        <v>5271</v>
      </c>
      <c r="E278" s="15" t="s">
        <v>3537</v>
      </c>
      <c r="F278" s="28" t="s">
        <v>6490</v>
      </c>
      <c r="G278" s="285" t="s">
        <v>7917</v>
      </c>
      <c r="H278" s="285" t="s">
        <v>5127</v>
      </c>
      <c r="I278" s="289"/>
      <c r="J278" s="285"/>
      <c r="K278" s="289"/>
      <c r="L278" s="289"/>
      <c r="M278" s="15">
        <v>41000</v>
      </c>
      <c r="N278" s="16">
        <v>2</v>
      </c>
      <c r="O278" s="17">
        <v>60000</v>
      </c>
      <c r="P278" s="17">
        <v>60000</v>
      </c>
      <c r="Q278" s="17">
        <f t="shared" si="6"/>
        <v>0</v>
      </c>
      <c r="R278" s="285" t="s">
        <v>5071</v>
      </c>
      <c r="S278" s="15">
        <v>39699</v>
      </c>
      <c r="T278" s="285">
        <v>624</v>
      </c>
    </row>
    <row r="279" spans="1:20" ht="51.75" customHeight="1" x14ac:dyDescent="0.2">
      <c r="A279" s="21">
        <v>275</v>
      </c>
      <c r="B279" s="289" t="s">
        <v>5809</v>
      </c>
      <c r="C279" s="289" t="s">
        <v>5274</v>
      </c>
      <c r="D279" s="9" t="s">
        <v>6493</v>
      </c>
      <c r="E279" s="15">
        <v>39106</v>
      </c>
      <c r="F279" s="13" t="s">
        <v>6494</v>
      </c>
      <c r="G279" s="285" t="s">
        <v>7982</v>
      </c>
      <c r="H279" s="285" t="s">
        <v>5127</v>
      </c>
      <c r="I279" s="289"/>
      <c r="J279" s="285" t="s">
        <v>3136</v>
      </c>
      <c r="K279" s="15">
        <v>39240</v>
      </c>
      <c r="L279" s="289">
        <v>423</v>
      </c>
      <c r="M279" s="15">
        <v>39115</v>
      </c>
      <c r="N279" s="16">
        <v>2</v>
      </c>
      <c r="O279" s="17">
        <v>22440</v>
      </c>
      <c r="P279" s="17">
        <v>22440</v>
      </c>
      <c r="Q279" s="17">
        <f t="shared" si="6"/>
        <v>0</v>
      </c>
      <c r="R279" s="285" t="s">
        <v>4968</v>
      </c>
      <c r="S279" s="15">
        <v>39115</v>
      </c>
      <c r="T279" s="285">
        <v>35</v>
      </c>
    </row>
    <row r="280" spans="1:20" ht="72.75" customHeight="1" x14ac:dyDescent="0.2">
      <c r="A280" s="21">
        <v>276</v>
      </c>
      <c r="B280" s="289" t="s">
        <v>4085</v>
      </c>
      <c r="C280" s="289" t="s">
        <v>5274</v>
      </c>
      <c r="D280" s="9" t="s">
        <v>3896</v>
      </c>
      <c r="E280" s="15">
        <v>39812</v>
      </c>
      <c r="F280" s="28" t="s">
        <v>3646</v>
      </c>
      <c r="G280" s="285" t="s">
        <v>7982</v>
      </c>
      <c r="H280" s="285" t="s">
        <v>5127</v>
      </c>
      <c r="I280" s="289"/>
      <c r="J280" s="285" t="s">
        <v>9459</v>
      </c>
      <c r="K280" s="15">
        <v>40544</v>
      </c>
      <c r="L280" s="289" t="s">
        <v>1029</v>
      </c>
      <c r="M280" s="15">
        <v>39742</v>
      </c>
      <c r="N280" s="16">
        <v>1</v>
      </c>
      <c r="O280" s="17">
        <v>10612</v>
      </c>
      <c r="P280" s="17">
        <v>10612</v>
      </c>
      <c r="Q280" s="17">
        <f t="shared" si="6"/>
        <v>0</v>
      </c>
      <c r="R280" s="285" t="s">
        <v>5071</v>
      </c>
      <c r="S280" s="15">
        <v>39742</v>
      </c>
      <c r="T280" s="285">
        <v>1714</v>
      </c>
    </row>
    <row r="281" spans="1:20" ht="72.75" customHeight="1" x14ac:dyDescent="0.2">
      <c r="A281" s="21">
        <v>277</v>
      </c>
      <c r="B281" s="289" t="s">
        <v>5810</v>
      </c>
      <c r="C281" s="289"/>
      <c r="D281" s="9" t="s">
        <v>18</v>
      </c>
      <c r="E281" s="15">
        <v>39813</v>
      </c>
      <c r="F281" s="28" t="s">
        <v>566</v>
      </c>
      <c r="G281" s="285" t="s">
        <v>7934</v>
      </c>
      <c r="H281" s="285" t="s">
        <v>5127</v>
      </c>
      <c r="I281" s="289"/>
      <c r="J281" s="285"/>
      <c r="K281" s="289"/>
      <c r="L281" s="289"/>
      <c r="M281" s="15">
        <v>40544</v>
      </c>
      <c r="N281" s="16">
        <v>1</v>
      </c>
      <c r="O281" s="17">
        <v>18600</v>
      </c>
      <c r="P281" s="17">
        <v>18600</v>
      </c>
      <c r="Q281" s="17">
        <f t="shared" si="6"/>
        <v>0</v>
      </c>
      <c r="R281" s="285" t="s">
        <v>5071</v>
      </c>
      <c r="S281" s="22" t="s">
        <v>1352</v>
      </c>
      <c r="T281" s="285">
        <v>1607</v>
      </c>
    </row>
    <row r="282" spans="1:20" ht="51.75" customHeight="1" x14ac:dyDescent="0.2">
      <c r="A282" s="21">
        <v>278</v>
      </c>
      <c r="B282" s="289" t="s">
        <v>5811</v>
      </c>
      <c r="C282" s="289"/>
      <c r="D282" s="9" t="s">
        <v>18</v>
      </c>
      <c r="E282" s="14">
        <v>39813</v>
      </c>
      <c r="F282" s="241" t="s">
        <v>6769</v>
      </c>
      <c r="G282" s="285" t="s">
        <v>7967</v>
      </c>
      <c r="H282" s="285" t="s">
        <v>5127</v>
      </c>
      <c r="I282" s="289"/>
      <c r="J282" s="285"/>
      <c r="K282" s="289"/>
      <c r="L282" s="289"/>
      <c r="M282" s="15">
        <v>40544</v>
      </c>
      <c r="N282" s="16">
        <v>1</v>
      </c>
      <c r="O282" s="17">
        <v>18600</v>
      </c>
      <c r="P282" s="17">
        <v>18600</v>
      </c>
      <c r="Q282" s="17">
        <f t="shared" si="6"/>
        <v>0</v>
      </c>
      <c r="R282" s="285" t="s">
        <v>5071</v>
      </c>
      <c r="S282" s="22" t="s">
        <v>1352</v>
      </c>
      <c r="T282" s="285">
        <v>1607</v>
      </c>
    </row>
    <row r="283" spans="1:20" ht="51.75" customHeight="1" x14ac:dyDescent="0.2">
      <c r="A283" s="21">
        <v>279</v>
      </c>
      <c r="B283" s="289" t="s">
        <v>5812</v>
      </c>
      <c r="C283" s="289"/>
      <c r="D283" s="9" t="s">
        <v>70</v>
      </c>
      <c r="E283" s="15"/>
      <c r="F283" s="28"/>
      <c r="G283" s="285" t="s">
        <v>7983</v>
      </c>
      <c r="H283" s="285" t="s">
        <v>5127</v>
      </c>
      <c r="I283" s="289"/>
      <c r="J283" s="285" t="s">
        <v>9408</v>
      </c>
      <c r="K283" s="15">
        <v>40581</v>
      </c>
      <c r="L283" s="289" t="s">
        <v>1029</v>
      </c>
      <c r="M283" s="15">
        <v>40544</v>
      </c>
      <c r="N283" s="16">
        <v>2</v>
      </c>
      <c r="O283" s="17">
        <v>32600</v>
      </c>
      <c r="P283" s="17">
        <v>32600</v>
      </c>
      <c r="Q283" s="17">
        <f t="shared" si="6"/>
        <v>0</v>
      </c>
      <c r="R283" s="285" t="s">
        <v>5071</v>
      </c>
      <c r="S283" s="22" t="s">
        <v>4969</v>
      </c>
      <c r="T283" s="285">
        <v>949</v>
      </c>
    </row>
    <row r="284" spans="1:20" ht="51.75" customHeight="1" x14ac:dyDescent="0.2">
      <c r="A284" s="21">
        <v>280</v>
      </c>
      <c r="B284" s="289" t="s">
        <v>5813</v>
      </c>
      <c r="C284" s="289"/>
      <c r="D284" s="9" t="s">
        <v>70</v>
      </c>
      <c r="E284" s="15"/>
      <c r="F284" s="28"/>
      <c r="G284" s="285" t="s">
        <v>7983</v>
      </c>
      <c r="H284" s="285" t="s">
        <v>5127</v>
      </c>
      <c r="I284" s="289"/>
      <c r="J284" s="285" t="s">
        <v>9408</v>
      </c>
      <c r="K284" s="15">
        <v>40581</v>
      </c>
      <c r="L284" s="289" t="s">
        <v>1029</v>
      </c>
      <c r="M284" s="15">
        <v>40544</v>
      </c>
      <c r="N284" s="16">
        <v>3</v>
      </c>
      <c r="O284" s="17">
        <v>35100</v>
      </c>
      <c r="P284" s="17">
        <v>35100</v>
      </c>
      <c r="Q284" s="17">
        <f t="shared" si="6"/>
        <v>0</v>
      </c>
      <c r="R284" s="285" t="s">
        <v>5071</v>
      </c>
      <c r="S284" s="22" t="s">
        <v>4969</v>
      </c>
      <c r="T284" s="285">
        <v>949</v>
      </c>
    </row>
    <row r="285" spans="1:20" ht="51.75" customHeight="1" x14ac:dyDescent="0.2">
      <c r="A285" s="21">
        <v>281</v>
      </c>
      <c r="B285" s="289" t="s">
        <v>5814</v>
      </c>
      <c r="C285" s="289" t="s">
        <v>5274</v>
      </c>
      <c r="D285" s="9" t="s">
        <v>5017</v>
      </c>
      <c r="E285" s="12"/>
      <c r="F285" s="28" t="s">
        <v>4749</v>
      </c>
      <c r="G285" s="285" t="s">
        <v>8661</v>
      </c>
      <c r="H285" s="285" t="s">
        <v>5127</v>
      </c>
      <c r="I285" s="289"/>
      <c r="J285" s="285"/>
      <c r="K285" s="289"/>
      <c r="L285" s="289"/>
      <c r="M285" s="15"/>
      <c r="N285" s="16">
        <v>1</v>
      </c>
      <c r="O285" s="17">
        <v>10000</v>
      </c>
      <c r="P285" s="17">
        <v>10000</v>
      </c>
      <c r="Q285" s="17">
        <f t="shared" si="6"/>
        <v>0</v>
      </c>
      <c r="R285" s="22" t="s">
        <v>1611</v>
      </c>
      <c r="S285" s="22" t="s">
        <v>4970</v>
      </c>
      <c r="T285" s="285"/>
    </row>
    <row r="286" spans="1:20" ht="35.25" customHeight="1" x14ac:dyDescent="0.2">
      <c r="A286" s="21">
        <v>282</v>
      </c>
      <c r="B286" s="289" t="s">
        <v>5815</v>
      </c>
      <c r="C286" s="289" t="s">
        <v>5274</v>
      </c>
      <c r="D286" s="9" t="s">
        <v>2371</v>
      </c>
      <c r="E286" s="15"/>
      <c r="F286" s="28" t="s">
        <v>4750</v>
      </c>
      <c r="G286" s="285" t="s">
        <v>9194</v>
      </c>
      <c r="H286" s="285" t="s">
        <v>5127</v>
      </c>
      <c r="I286" s="289"/>
      <c r="J286" s="285"/>
      <c r="K286" s="289"/>
      <c r="L286" s="289"/>
      <c r="M286" s="15"/>
      <c r="N286" s="16">
        <v>1</v>
      </c>
      <c r="O286" s="17">
        <v>9960.2999999999993</v>
      </c>
      <c r="P286" s="17">
        <v>9960.2999999999993</v>
      </c>
      <c r="Q286" s="17">
        <f t="shared" si="6"/>
        <v>0</v>
      </c>
      <c r="R286" s="22" t="s">
        <v>2779</v>
      </c>
      <c r="S286" s="22" t="s">
        <v>4624</v>
      </c>
      <c r="T286" s="22" t="s">
        <v>5581</v>
      </c>
    </row>
    <row r="287" spans="1:20" ht="40.5" customHeight="1" x14ac:dyDescent="0.2">
      <c r="A287" s="21">
        <v>283</v>
      </c>
      <c r="B287" s="289" t="s">
        <v>3619</v>
      </c>
      <c r="C287" s="289"/>
      <c r="D287" s="13" t="s">
        <v>3590</v>
      </c>
      <c r="E287" s="289">
        <v>2011</v>
      </c>
      <c r="F287" s="13" t="s">
        <v>8060</v>
      </c>
      <c r="G287" s="285"/>
      <c r="H287" s="285" t="s">
        <v>2042</v>
      </c>
      <c r="I287" s="285" t="s">
        <v>2207</v>
      </c>
      <c r="J287" s="285" t="s">
        <v>3136</v>
      </c>
      <c r="K287" s="14">
        <v>40724</v>
      </c>
      <c r="L287" s="285">
        <v>724</v>
      </c>
      <c r="M287" s="15">
        <v>40724</v>
      </c>
      <c r="N287" s="16">
        <v>1</v>
      </c>
      <c r="O287" s="17">
        <v>266250</v>
      </c>
      <c r="P287" s="17">
        <v>0</v>
      </c>
      <c r="Q287" s="17">
        <f t="shared" si="6"/>
        <v>266250</v>
      </c>
      <c r="R287" s="22" t="s">
        <v>4626</v>
      </c>
      <c r="S287" s="22" t="s">
        <v>4627</v>
      </c>
      <c r="T287" s="285" t="s">
        <v>4625</v>
      </c>
    </row>
    <row r="288" spans="1:20" ht="62.25" customHeight="1" x14ac:dyDescent="0.2">
      <c r="A288" s="21">
        <v>284</v>
      </c>
      <c r="B288" s="289" t="s">
        <v>3620</v>
      </c>
      <c r="D288" s="13" t="s">
        <v>3590</v>
      </c>
      <c r="E288" s="289">
        <v>2011</v>
      </c>
      <c r="F288" s="13" t="s">
        <v>8061</v>
      </c>
      <c r="G288" s="285"/>
      <c r="H288" s="285" t="s">
        <v>2042</v>
      </c>
      <c r="I288" s="285" t="s">
        <v>2207</v>
      </c>
      <c r="J288" s="285" t="s">
        <v>3136</v>
      </c>
      <c r="K288" s="14">
        <v>40724</v>
      </c>
      <c r="L288" s="285">
        <v>724</v>
      </c>
      <c r="M288" s="15">
        <v>40724</v>
      </c>
      <c r="N288" s="16">
        <v>1</v>
      </c>
      <c r="O288" s="17">
        <v>266250</v>
      </c>
      <c r="P288" s="17">
        <v>0</v>
      </c>
      <c r="Q288" s="17">
        <f t="shared" si="6"/>
        <v>266250</v>
      </c>
      <c r="R288" s="22" t="s">
        <v>4626</v>
      </c>
      <c r="S288" s="22" t="s">
        <v>4627</v>
      </c>
      <c r="T288" s="285" t="s">
        <v>4625</v>
      </c>
    </row>
    <row r="289" spans="1:20" ht="60" customHeight="1" x14ac:dyDescent="0.2">
      <c r="A289" s="21">
        <v>286</v>
      </c>
      <c r="B289" s="289" t="s">
        <v>5489</v>
      </c>
      <c r="C289" s="289" t="s">
        <v>5274</v>
      </c>
      <c r="D289" s="9" t="s">
        <v>5699</v>
      </c>
      <c r="E289" s="15"/>
      <c r="F289" s="28" t="s">
        <v>6885</v>
      </c>
      <c r="G289" s="285" t="s">
        <v>7934</v>
      </c>
      <c r="H289" s="285" t="s">
        <v>5127</v>
      </c>
      <c r="I289" s="285"/>
      <c r="J289" s="285"/>
      <c r="K289" s="285"/>
      <c r="L289" s="285"/>
      <c r="M289" s="15">
        <v>40556</v>
      </c>
      <c r="N289" s="16">
        <v>1</v>
      </c>
      <c r="O289" s="17">
        <v>40338</v>
      </c>
      <c r="P289" s="17">
        <v>40338</v>
      </c>
      <c r="Q289" s="17">
        <f t="shared" si="6"/>
        <v>0</v>
      </c>
      <c r="R289" s="285" t="s">
        <v>5071</v>
      </c>
      <c r="S289" s="22" t="s">
        <v>4257</v>
      </c>
      <c r="T289" s="285">
        <v>129</v>
      </c>
    </row>
    <row r="290" spans="1:20" ht="35.25" customHeight="1" x14ac:dyDescent="0.2">
      <c r="A290" s="21">
        <v>287</v>
      </c>
      <c r="B290" s="289" t="s">
        <v>5490</v>
      </c>
      <c r="C290" s="289" t="s">
        <v>5274</v>
      </c>
      <c r="D290" s="9" t="s">
        <v>5063</v>
      </c>
      <c r="E290" s="15"/>
      <c r="F290" s="28" t="s">
        <v>6885</v>
      </c>
      <c r="G290" s="285" t="s">
        <v>515</v>
      </c>
      <c r="H290" s="285" t="s">
        <v>5127</v>
      </c>
      <c r="I290" s="285"/>
      <c r="J290" s="285"/>
      <c r="K290" s="285"/>
      <c r="L290" s="285"/>
      <c r="M290" s="15">
        <v>41244</v>
      </c>
      <c r="N290" s="16">
        <v>1</v>
      </c>
      <c r="O290" s="17">
        <v>40338</v>
      </c>
      <c r="P290" s="17">
        <v>40338</v>
      </c>
      <c r="Q290" s="17">
        <f t="shared" si="6"/>
        <v>0</v>
      </c>
      <c r="R290" s="285" t="s">
        <v>5071</v>
      </c>
      <c r="S290" s="22" t="s">
        <v>4258</v>
      </c>
      <c r="T290" s="285">
        <v>92</v>
      </c>
    </row>
    <row r="291" spans="1:20" ht="35.25" customHeight="1" x14ac:dyDescent="0.2">
      <c r="A291" s="21">
        <v>288</v>
      </c>
      <c r="B291" s="289" t="s">
        <v>4086</v>
      </c>
      <c r="C291" s="289" t="s">
        <v>5274</v>
      </c>
      <c r="D291" s="9" t="s">
        <v>1993</v>
      </c>
      <c r="E291" s="15"/>
      <c r="F291" s="28" t="s">
        <v>5488</v>
      </c>
      <c r="G291" s="285" t="s">
        <v>7982</v>
      </c>
      <c r="H291" s="285" t="s">
        <v>5127</v>
      </c>
      <c r="I291" s="285"/>
      <c r="J291" s="285" t="s">
        <v>9437</v>
      </c>
      <c r="K291" s="14">
        <v>40724</v>
      </c>
      <c r="L291" s="285" t="s">
        <v>1029</v>
      </c>
      <c r="M291" s="15">
        <v>40646</v>
      </c>
      <c r="N291" s="16">
        <v>1</v>
      </c>
      <c r="O291" s="17">
        <v>12090</v>
      </c>
      <c r="P291" s="17">
        <v>12090</v>
      </c>
      <c r="Q291" s="17">
        <f t="shared" si="6"/>
        <v>0</v>
      </c>
      <c r="R291" s="285" t="s">
        <v>5071</v>
      </c>
      <c r="S291" s="22" t="s">
        <v>4259</v>
      </c>
      <c r="T291" s="285">
        <v>335</v>
      </c>
    </row>
    <row r="292" spans="1:20" ht="32.25" customHeight="1" x14ac:dyDescent="0.2">
      <c r="A292" s="21">
        <v>289</v>
      </c>
      <c r="B292" s="289" t="s">
        <v>5491</v>
      </c>
      <c r="C292" s="289" t="s">
        <v>5274</v>
      </c>
      <c r="D292" s="9" t="s">
        <v>1993</v>
      </c>
      <c r="E292" s="15"/>
      <c r="F292" s="13" t="s">
        <v>6810</v>
      </c>
      <c r="G292" s="285" t="s">
        <v>7917</v>
      </c>
      <c r="H292" s="285" t="s">
        <v>5127</v>
      </c>
      <c r="I292" s="285"/>
      <c r="J292" s="285"/>
      <c r="K292" s="285"/>
      <c r="L292" s="285"/>
      <c r="M292" s="15">
        <v>41000</v>
      </c>
      <c r="N292" s="16">
        <v>1</v>
      </c>
      <c r="O292" s="17">
        <v>12090</v>
      </c>
      <c r="P292" s="17">
        <v>12090</v>
      </c>
      <c r="Q292" s="17">
        <f t="shared" ref="Q292:Q322" si="7">O292-P292</f>
        <v>0</v>
      </c>
      <c r="R292" s="285" t="s">
        <v>5071</v>
      </c>
      <c r="S292" s="22" t="s">
        <v>4259</v>
      </c>
      <c r="T292" s="285">
        <v>336</v>
      </c>
    </row>
    <row r="293" spans="1:20" ht="68.25" customHeight="1" x14ac:dyDescent="0.2">
      <c r="A293" s="21">
        <v>290</v>
      </c>
      <c r="B293" s="289" t="s">
        <v>5492</v>
      </c>
      <c r="C293" s="289" t="s">
        <v>5274</v>
      </c>
      <c r="D293" s="9" t="s">
        <v>1264</v>
      </c>
      <c r="E293" s="15">
        <v>40718</v>
      </c>
      <c r="F293" s="28" t="s">
        <v>7019</v>
      </c>
      <c r="G293" s="285" t="s">
        <v>7981</v>
      </c>
      <c r="H293" s="285" t="s">
        <v>5127</v>
      </c>
      <c r="I293" s="285"/>
      <c r="J293" s="285" t="s">
        <v>9490</v>
      </c>
      <c r="K293" s="15">
        <v>40816</v>
      </c>
      <c r="L293" s="12" t="s">
        <v>1029</v>
      </c>
      <c r="M293" s="15">
        <v>40718</v>
      </c>
      <c r="N293" s="24">
        <v>1</v>
      </c>
      <c r="O293" s="17">
        <f>59885+25664</f>
        <v>85549</v>
      </c>
      <c r="P293" s="17">
        <v>85549</v>
      </c>
      <c r="Q293" s="17">
        <f t="shared" si="7"/>
        <v>0</v>
      </c>
      <c r="R293" s="285" t="s">
        <v>5071</v>
      </c>
      <c r="S293" s="15">
        <v>40718</v>
      </c>
      <c r="T293" s="285">
        <v>3</v>
      </c>
    </row>
    <row r="294" spans="1:20" ht="35.25" customHeight="1" x14ac:dyDescent="0.2">
      <c r="A294" s="21">
        <v>291</v>
      </c>
      <c r="B294" s="289" t="s">
        <v>1601</v>
      </c>
      <c r="C294" s="289" t="s">
        <v>5274</v>
      </c>
      <c r="D294" s="9" t="s">
        <v>4068</v>
      </c>
      <c r="E294" s="22"/>
      <c r="F294" s="28" t="s">
        <v>6505</v>
      </c>
      <c r="G294" s="285" t="s">
        <v>7846</v>
      </c>
      <c r="H294" s="285" t="s">
        <v>5127</v>
      </c>
      <c r="I294" s="285"/>
      <c r="J294" s="285" t="s">
        <v>9437</v>
      </c>
      <c r="K294" s="285">
        <v>2011</v>
      </c>
      <c r="L294" s="285" t="s">
        <v>1029</v>
      </c>
      <c r="M294" s="15">
        <v>40555</v>
      </c>
      <c r="N294" s="24">
        <v>1</v>
      </c>
      <c r="O294" s="17">
        <v>44053</v>
      </c>
      <c r="P294" s="17">
        <v>44053</v>
      </c>
      <c r="Q294" s="17">
        <f t="shared" si="7"/>
        <v>0</v>
      </c>
      <c r="R294" s="285" t="s">
        <v>5071</v>
      </c>
      <c r="S294" s="15">
        <v>40555</v>
      </c>
      <c r="T294" s="285">
        <v>1</v>
      </c>
    </row>
    <row r="295" spans="1:20" ht="35.25" customHeight="1" x14ac:dyDescent="0.2">
      <c r="A295" s="21">
        <v>292</v>
      </c>
      <c r="B295" s="289" t="s">
        <v>5559</v>
      </c>
      <c r="C295" s="289"/>
      <c r="D295" s="27" t="s">
        <v>3410</v>
      </c>
      <c r="E295" s="15" t="s">
        <v>3781</v>
      </c>
      <c r="F295" s="28"/>
      <c r="G295" s="285" t="s">
        <v>4296</v>
      </c>
      <c r="H295" s="285" t="s">
        <v>1586</v>
      </c>
      <c r="I295" s="285"/>
      <c r="J295" s="285" t="s">
        <v>3136</v>
      </c>
      <c r="K295" s="14">
        <v>41079</v>
      </c>
      <c r="L295" s="285">
        <v>591</v>
      </c>
      <c r="M295" s="15">
        <v>39448</v>
      </c>
      <c r="N295" s="16">
        <v>1</v>
      </c>
      <c r="O295" s="17">
        <v>57195</v>
      </c>
      <c r="P295" s="17">
        <v>57195</v>
      </c>
      <c r="Q295" s="17">
        <f t="shared" si="7"/>
        <v>0</v>
      </c>
      <c r="R295" s="289" t="s">
        <v>3136</v>
      </c>
      <c r="S295" s="15">
        <v>40714</v>
      </c>
      <c r="T295" s="285">
        <v>686</v>
      </c>
    </row>
    <row r="296" spans="1:20" ht="121.5" customHeight="1" x14ac:dyDescent="0.2">
      <c r="A296" s="21">
        <v>293</v>
      </c>
      <c r="B296" s="289" t="s">
        <v>2184</v>
      </c>
      <c r="C296" s="289" t="s">
        <v>5274</v>
      </c>
      <c r="D296" s="27" t="s">
        <v>1125</v>
      </c>
      <c r="E296" s="15">
        <v>40798</v>
      </c>
      <c r="F296" s="9" t="s">
        <v>7020</v>
      </c>
      <c r="G296" s="29" t="s">
        <v>7981</v>
      </c>
      <c r="H296" s="285" t="s">
        <v>5127</v>
      </c>
      <c r="I296" s="285"/>
      <c r="J296" s="285" t="s">
        <v>9490</v>
      </c>
      <c r="K296" s="15">
        <v>40816</v>
      </c>
      <c r="L296" s="12" t="s">
        <v>1029</v>
      </c>
      <c r="M296" s="15">
        <v>40798</v>
      </c>
      <c r="N296" s="16">
        <v>1</v>
      </c>
      <c r="O296" s="17">
        <v>67900</v>
      </c>
      <c r="P296" s="17">
        <v>67900</v>
      </c>
      <c r="Q296" s="17">
        <f t="shared" si="7"/>
        <v>0</v>
      </c>
      <c r="R296" s="285" t="s">
        <v>5071</v>
      </c>
      <c r="S296" s="15">
        <v>40798</v>
      </c>
      <c r="T296" s="285">
        <v>22614</v>
      </c>
    </row>
    <row r="297" spans="1:20" ht="32.25" customHeight="1" x14ac:dyDescent="0.2">
      <c r="A297" s="21">
        <v>294</v>
      </c>
      <c r="B297" s="289" t="s">
        <v>2185</v>
      </c>
      <c r="C297" s="289" t="s">
        <v>5274</v>
      </c>
      <c r="D297" s="27" t="s">
        <v>1125</v>
      </c>
      <c r="E297" s="15"/>
      <c r="F297" s="9" t="s">
        <v>6811</v>
      </c>
      <c r="G297" s="284" t="s">
        <v>7917</v>
      </c>
      <c r="H297" s="285" t="s">
        <v>5127</v>
      </c>
      <c r="I297" s="285"/>
      <c r="J297" s="285"/>
      <c r="K297" s="285"/>
      <c r="L297" s="285"/>
      <c r="M297" s="15">
        <v>41275</v>
      </c>
      <c r="N297" s="16">
        <v>1</v>
      </c>
      <c r="O297" s="17">
        <v>67850</v>
      </c>
      <c r="P297" s="17">
        <v>67850</v>
      </c>
      <c r="Q297" s="17">
        <f t="shared" si="7"/>
        <v>0</v>
      </c>
      <c r="R297" s="285" t="s">
        <v>5071</v>
      </c>
      <c r="S297" s="15">
        <v>40798</v>
      </c>
      <c r="T297" s="285">
        <v>22613</v>
      </c>
    </row>
    <row r="298" spans="1:20" ht="32.25" customHeight="1" x14ac:dyDescent="0.2">
      <c r="A298" s="21">
        <v>295</v>
      </c>
      <c r="B298" s="289" t="s">
        <v>2186</v>
      </c>
      <c r="C298" s="289" t="s">
        <v>5274</v>
      </c>
      <c r="D298" s="9" t="s">
        <v>1264</v>
      </c>
      <c r="E298" s="14"/>
      <c r="F298" s="13" t="s">
        <v>6812</v>
      </c>
      <c r="G298" s="285" t="s">
        <v>7917</v>
      </c>
      <c r="H298" s="285" t="s">
        <v>5127</v>
      </c>
      <c r="I298" s="285"/>
      <c r="J298" s="285"/>
      <c r="K298" s="285"/>
      <c r="L298" s="285"/>
      <c r="M298" s="15">
        <v>41275</v>
      </c>
      <c r="N298" s="24">
        <v>1</v>
      </c>
      <c r="O298" s="17">
        <v>98059</v>
      </c>
      <c r="P298" s="17">
        <v>98059</v>
      </c>
      <c r="Q298" s="17">
        <f t="shared" si="7"/>
        <v>0</v>
      </c>
      <c r="R298" s="285" t="s">
        <v>5071</v>
      </c>
      <c r="S298" s="15">
        <v>40787</v>
      </c>
      <c r="T298" s="285">
        <v>18</v>
      </c>
    </row>
    <row r="299" spans="1:20" ht="34.5" customHeight="1" x14ac:dyDescent="0.2">
      <c r="A299" s="21">
        <v>296</v>
      </c>
      <c r="B299" s="289" t="s">
        <v>2187</v>
      </c>
      <c r="C299" s="289" t="s">
        <v>5274</v>
      </c>
      <c r="D299" s="27" t="s">
        <v>1125</v>
      </c>
      <c r="E299" s="15"/>
      <c r="F299" s="244" t="s">
        <v>9476</v>
      </c>
      <c r="G299" s="285" t="s">
        <v>7982</v>
      </c>
      <c r="H299" s="285" t="s">
        <v>5127</v>
      </c>
      <c r="I299" s="285"/>
      <c r="J299" s="285" t="s">
        <v>9437</v>
      </c>
      <c r="K299" s="14">
        <v>40816</v>
      </c>
      <c r="L299" s="285" t="s">
        <v>1029</v>
      </c>
      <c r="M299" s="15">
        <v>40798</v>
      </c>
      <c r="N299" s="16">
        <v>1</v>
      </c>
      <c r="O299" s="17">
        <v>67850</v>
      </c>
      <c r="P299" s="17">
        <v>67850</v>
      </c>
      <c r="Q299" s="17">
        <f t="shared" si="7"/>
        <v>0</v>
      </c>
      <c r="R299" s="285" t="s">
        <v>5071</v>
      </c>
      <c r="S299" s="15">
        <v>40798</v>
      </c>
      <c r="T299" s="285">
        <v>13979</v>
      </c>
    </row>
    <row r="300" spans="1:20" ht="34.5" customHeight="1" x14ac:dyDescent="0.2">
      <c r="A300" s="21">
        <v>297</v>
      </c>
      <c r="B300" s="289" t="s">
        <v>1196</v>
      </c>
      <c r="C300" s="289" t="s">
        <v>5274</v>
      </c>
      <c r="D300" s="9" t="s">
        <v>1264</v>
      </c>
      <c r="E300" s="14"/>
      <c r="F300" s="28" t="s">
        <v>6886</v>
      </c>
      <c r="G300" s="285" t="s">
        <v>515</v>
      </c>
      <c r="H300" s="285" t="s">
        <v>5127</v>
      </c>
      <c r="I300" s="285"/>
      <c r="J300" s="285"/>
      <c r="K300" s="285"/>
      <c r="L300" s="285"/>
      <c r="M300" s="15">
        <v>41244</v>
      </c>
      <c r="N300" s="24">
        <v>1</v>
      </c>
      <c r="O300" s="17">
        <v>98365</v>
      </c>
      <c r="P300" s="17">
        <v>98365</v>
      </c>
      <c r="Q300" s="17">
        <f t="shared" si="7"/>
        <v>0</v>
      </c>
      <c r="R300" s="285" t="s">
        <v>5071</v>
      </c>
      <c r="S300" s="15">
        <v>40774</v>
      </c>
      <c r="T300" s="285">
        <v>7</v>
      </c>
    </row>
    <row r="301" spans="1:20" ht="64.5" customHeight="1" x14ac:dyDescent="0.2">
      <c r="A301" s="21">
        <v>298</v>
      </c>
      <c r="B301" s="289" t="s">
        <v>3768</v>
      </c>
      <c r="C301" s="289" t="s">
        <v>5274</v>
      </c>
      <c r="D301" s="9" t="s">
        <v>1264</v>
      </c>
      <c r="E301" s="14"/>
      <c r="F301" s="28" t="s">
        <v>6479</v>
      </c>
      <c r="G301" s="285" t="s">
        <v>7977</v>
      </c>
      <c r="H301" s="285" t="s">
        <v>5127</v>
      </c>
      <c r="I301" s="285"/>
      <c r="J301" s="285" t="s">
        <v>9405</v>
      </c>
      <c r="K301" s="289">
        <v>2009</v>
      </c>
      <c r="L301" s="289" t="s">
        <v>1029</v>
      </c>
      <c r="M301" s="15">
        <v>40798</v>
      </c>
      <c r="N301" s="24">
        <v>1</v>
      </c>
      <c r="O301" s="17">
        <v>97745</v>
      </c>
      <c r="P301" s="17">
        <v>97745</v>
      </c>
      <c r="Q301" s="17">
        <f t="shared" si="7"/>
        <v>0</v>
      </c>
      <c r="R301" s="285" t="s">
        <v>5071</v>
      </c>
      <c r="S301" s="15">
        <v>40798</v>
      </c>
      <c r="T301" s="285" t="s">
        <v>2804</v>
      </c>
    </row>
    <row r="302" spans="1:20" ht="34.5" customHeight="1" x14ac:dyDescent="0.2">
      <c r="A302" s="21">
        <v>299</v>
      </c>
      <c r="B302" s="289" t="s">
        <v>453</v>
      </c>
      <c r="C302" s="289" t="s">
        <v>5274</v>
      </c>
      <c r="D302" s="9" t="s">
        <v>1264</v>
      </c>
      <c r="E302" s="14"/>
      <c r="F302" s="241" t="s">
        <v>3824</v>
      </c>
      <c r="G302" s="285" t="s">
        <v>7934</v>
      </c>
      <c r="H302" s="285" t="s">
        <v>5127</v>
      </c>
      <c r="I302" s="285"/>
      <c r="J302" s="285"/>
      <c r="K302" s="285"/>
      <c r="L302" s="285"/>
      <c r="M302" s="15">
        <v>40905</v>
      </c>
      <c r="N302" s="24">
        <v>1</v>
      </c>
      <c r="O302" s="17">
        <v>99989</v>
      </c>
      <c r="P302" s="17">
        <v>99989</v>
      </c>
      <c r="Q302" s="17">
        <f t="shared" si="7"/>
        <v>0</v>
      </c>
      <c r="R302" s="285" t="s">
        <v>5071</v>
      </c>
      <c r="S302" s="15">
        <v>40816</v>
      </c>
      <c r="T302" s="285">
        <v>13</v>
      </c>
    </row>
    <row r="303" spans="1:20" ht="67.5" customHeight="1" x14ac:dyDescent="0.2">
      <c r="A303" s="21">
        <v>300</v>
      </c>
      <c r="B303" s="289" t="s">
        <v>3759</v>
      </c>
      <c r="C303" s="289"/>
      <c r="D303" s="9" t="s">
        <v>5823</v>
      </c>
      <c r="E303" s="14"/>
      <c r="F303" s="28" t="s">
        <v>6631</v>
      </c>
      <c r="G303" s="285" t="s">
        <v>6266</v>
      </c>
      <c r="H303" s="285" t="s">
        <v>5127</v>
      </c>
      <c r="I303" s="285"/>
      <c r="J303" s="285" t="s">
        <v>9439</v>
      </c>
      <c r="K303" s="14">
        <v>40816</v>
      </c>
      <c r="L303" s="285" t="s">
        <v>1029</v>
      </c>
      <c r="M303" s="15">
        <v>40556</v>
      </c>
      <c r="N303" s="24">
        <v>1</v>
      </c>
      <c r="O303" s="17">
        <v>16500</v>
      </c>
      <c r="P303" s="17">
        <v>16500</v>
      </c>
      <c r="Q303" s="17">
        <f t="shared" si="7"/>
        <v>0</v>
      </c>
      <c r="R303" s="285" t="s">
        <v>5071</v>
      </c>
      <c r="S303" s="15">
        <v>40556</v>
      </c>
      <c r="T303" s="285" t="s">
        <v>1029</v>
      </c>
    </row>
    <row r="304" spans="1:20" ht="67.5" customHeight="1" x14ac:dyDescent="0.2">
      <c r="A304" s="21">
        <v>301</v>
      </c>
      <c r="B304" s="289" t="s">
        <v>3760</v>
      </c>
      <c r="C304" s="289"/>
      <c r="D304" s="9" t="s">
        <v>1264</v>
      </c>
      <c r="E304" s="14"/>
      <c r="F304" s="28" t="s">
        <v>6698</v>
      </c>
      <c r="G304" s="285" t="s">
        <v>4946</v>
      </c>
      <c r="H304" s="285" t="s">
        <v>5127</v>
      </c>
      <c r="I304" s="285"/>
      <c r="J304" s="285" t="s">
        <v>3136</v>
      </c>
      <c r="K304" s="14">
        <v>42243</v>
      </c>
      <c r="L304" s="285">
        <v>725</v>
      </c>
      <c r="M304" s="14">
        <v>41620</v>
      </c>
      <c r="N304" s="24">
        <v>1</v>
      </c>
      <c r="O304" s="17">
        <v>94041</v>
      </c>
      <c r="P304" s="17">
        <v>94041</v>
      </c>
      <c r="Q304" s="17">
        <f t="shared" si="7"/>
        <v>0</v>
      </c>
      <c r="R304" s="285" t="s">
        <v>5071</v>
      </c>
      <c r="S304" s="15">
        <v>40806</v>
      </c>
      <c r="T304" s="285">
        <v>13</v>
      </c>
    </row>
    <row r="305" spans="1:20" ht="35.25" customHeight="1" x14ac:dyDescent="0.2">
      <c r="A305" s="21">
        <v>302</v>
      </c>
      <c r="B305" s="289" t="s">
        <v>3761</v>
      </c>
      <c r="C305" s="289"/>
      <c r="D305" s="9" t="s">
        <v>4063</v>
      </c>
      <c r="E305" s="14"/>
      <c r="F305" s="28" t="s">
        <v>6699</v>
      </c>
      <c r="G305" s="29" t="s">
        <v>4946</v>
      </c>
      <c r="H305" s="285" t="s">
        <v>5127</v>
      </c>
      <c r="I305" s="285"/>
      <c r="J305" s="285" t="s">
        <v>9458</v>
      </c>
      <c r="K305" s="285">
        <v>2011</v>
      </c>
      <c r="L305" s="285" t="s">
        <v>1029</v>
      </c>
      <c r="M305" s="15">
        <v>40815</v>
      </c>
      <c r="N305" s="24">
        <v>1</v>
      </c>
      <c r="O305" s="17">
        <v>35000</v>
      </c>
      <c r="P305" s="17">
        <v>35000</v>
      </c>
      <c r="Q305" s="17">
        <f t="shared" si="7"/>
        <v>0</v>
      </c>
      <c r="R305" s="285" t="s">
        <v>5071</v>
      </c>
      <c r="S305" s="15">
        <v>40815</v>
      </c>
      <c r="T305" s="285">
        <v>1</v>
      </c>
    </row>
    <row r="306" spans="1:20" ht="66.75" customHeight="1" x14ac:dyDescent="0.2">
      <c r="A306" s="21">
        <v>303</v>
      </c>
      <c r="B306" s="289" t="s">
        <v>3762</v>
      </c>
      <c r="C306" s="289"/>
      <c r="D306" s="9" t="s">
        <v>4063</v>
      </c>
      <c r="E306" s="14"/>
      <c r="F306" s="28" t="s">
        <v>6700</v>
      </c>
      <c r="G306" s="285" t="s">
        <v>4946</v>
      </c>
      <c r="H306" s="285" t="s">
        <v>5127</v>
      </c>
      <c r="I306" s="285"/>
      <c r="J306" s="285" t="s">
        <v>9458</v>
      </c>
      <c r="K306" s="285">
        <v>2011</v>
      </c>
      <c r="L306" s="285" t="s">
        <v>1029</v>
      </c>
      <c r="M306" s="15">
        <v>40815</v>
      </c>
      <c r="N306" s="24">
        <v>1</v>
      </c>
      <c r="O306" s="17">
        <v>35000</v>
      </c>
      <c r="P306" s="17">
        <v>35000</v>
      </c>
      <c r="Q306" s="17">
        <f t="shared" si="7"/>
        <v>0</v>
      </c>
      <c r="R306" s="285" t="s">
        <v>5071</v>
      </c>
      <c r="S306" s="15">
        <v>40815</v>
      </c>
      <c r="T306" s="285">
        <v>1</v>
      </c>
    </row>
    <row r="307" spans="1:20" ht="54" customHeight="1" x14ac:dyDescent="0.2">
      <c r="A307" s="21">
        <v>304</v>
      </c>
      <c r="B307" s="289" t="s">
        <v>3763</v>
      </c>
      <c r="C307" s="289" t="s">
        <v>5274</v>
      </c>
      <c r="D307" s="9" t="s">
        <v>1264</v>
      </c>
      <c r="E307" s="14"/>
      <c r="F307" s="241" t="s">
        <v>6540</v>
      </c>
      <c r="G307" s="56" t="s">
        <v>101</v>
      </c>
      <c r="H307" s="285" t="s">
        <v>5127</v>
      </c>
      <c r="I307" s="285"/>
      <c r="J307" s="285" t="s">
        <v>9460</v>
      </c>
      <c r="K307" s="285">
        <v>2011</v>
      </c>
      <c r="L307" s="285" t="s">
        <v>1029</v>
      </c>
      <c r="M307" s="15">
        <v>40701</v>
      </c>
      <c r="N307" s="24">
        <v>1</v>
      </c>
      <c r="O307" s="17">
        <v>79160</v>
      </c>
      <c r="P307" s="17">
        <v>79160</v>
      </c>
      <c r="Q307" s="17">
        <f t="shared" si="7"/>
        <v>0</v>
      </c>
      <c r="R307" s="285" t="s">
        <v>5071</v>
      </c>
      <c r="S307" s="15">
        <v>40701</v>
      </c>
      <c r="T307" s="285">
        <v>2</v>
      </c>
    </row>
    <row r="308" spans="1:20" ht="60.75" customHeight="1" x14ac:dyDescent="0.2">
      <c r="A308" s="21">
        <v>305</v>
      </c>
      <c r="B308" s="289" t="s">
        <v>3764</v>
      </c>
      <c r="C308" s="289"/>
      <c r="D308" s="9" t="s">
        <v>1264</v>
      </c>
      <c r="E308" s="22"/>
      <c r="F308" s="241" t="s">
        <v>6675</v>
      </c>
      <c r="G308" s="285" t="s">
        <v>3090</v>
      </c>
      <c r="H308" s="285" t="s">
        <v>5127</v>
      </c>
      <c r="I308" s="285"/>
      <c r="J308" s="285" t="s">
        <v>9408</v>
      </c>
      <c r="K308" s="285">
        <v>2011</v>
      </c>
      <c r="L308" s="285" t="s">
        <v>1029</v>
      </c>
      <c r="M308" s="15">
        <v>41214</v>
      </c>
      <c r="N308" s="24">
        <v>1</v>
      </c>
      <c r="O308" s="17">
        <v>94811</v>
      </c>
      <c r="P308" s="17">
        <v>94811</v>
      </c>
      <c r="Q308" s="17">
        <f t="shared" si="7"/>
        <v>0</v>
      </c>
      <c r="R308" s="285" t="s">
        <v>5071</v>
      </c>
      <c r="S308" s="15">
        <v>40801</v>
      </c>
      <c r="T308" s="285">
        <v>10</v>
      </c>
    </row>
    <row r="309" spans="1:20" ht="65.25" customHeight="1" x14ac:dyDescent="0.2">
      <c r="A309" s="21">
        <v>306</v>
      </c>
      <c r="B309" s="289" t="s">
        <v>1827</v>
      </c>
      <c r="C309" s="289" t="s">
        <v>5274</v>
      </c>
      <c r="D309" s="9" t="s">
        <v>6586</v>
      </c>
      <c r="E309" s="14"/>
      <c r="F309" s="13" t="s">
        <v>6587</v>
      </c>
      <c r="G309" s="285" t="s">
        <v>2074</v>
      </c>
      <c r="H309" s="285" t="s">
        <v>5127</v>
      </c>
      <c r="I309" s="285"/>
      <c r="J309" s="285" t="s">
        <v>3132</v>
      </c>
      <c r="K309" s="14">
        <v>39807</v>
      </c>
      <c r="L309" s="285" t="s">
        <v>5891</v>
      </c>
      <c r="M309" s="15"/>
      <c r="N309" s="24">
        <v>1</v>
      </c>
      <c r="O309" s="17">
        <v>15200</v>
      </c>
      <c r="P309" s="17">
        <v>15200</v>
      </c>
      <c r="Q309" s="17">
        <f t="shared" si="7"/>
        <v>0</v>
      </c>
      <c r="R309" s="285"/>
      <c r="S309" s="15"/>
      <c r="T309" s="285"/>
    </row>
    <row r="310" spans="1:20" ht="39.75" customHeight="1" x14ac:dyDescent="0.2">
      <c r="A310" s="21">
        <v>307</v>
      </c>
      <c r="B310" s="289" t="s">
        <v>1828</v>
      </c>
      <c r="C310" s="289" t="s">
        <v>5274</v>
      </c>
      <c r="D310" s="9" t="s">
        <v>6472</v>
      </c>
      <c r="E310" s="14"/>
      <c r="F310" s="28" t="s">
        <v>2224</v>
      </c>
      <c r="G310" s="285" t="s">
        <v>515</v>
      </c>
      <c r="H310" s="285" t="s">
        <v>5127</v>
      </c>
      <c r="I310" s="285"/>
      <c r="J310" s="285"/>
      <c r="K310" s="285"/>
      <c r="L310" s="285"/>
      <c r="M310" s="15">
        <v>41244</v>
      </c>
      <c r="N310" s="24">
        <v>1</v>
      </c>
      <c r="O310" s="17">
        <v>234500</v>
      </c>
      <c r="P310" s="17">
        <v>234500</v>
      </c>
      <c r="Q310" s="17">
        <f t="shared" si="7"/>
        <v>0</v>
      </c>
      <c r="R310" s="285" t="s">
        <v>5071</v>
      </c>
      <c r="S310" s="15">
        <v>40532</v>
      </c>
      <c r="T310" s="285" t="s">
        <v>2715</v>
      </c>
    </row>
    <row r="311" spans="1:20" ht="89.25" customHeight="1" x14ac:dyDescent="0.2">
      <c r="A311" s="21">
        <v>308</v>
      </c>
      <c r="B311" s="289" t="s">
        <v>1829</v>
      </c>
      <c r="C311" s="289"/>
      <c r="D311" s="9" t="s">
        <v>1264</v>
      </c>
      <c r="E311" s="22"/>
      <c r="F311" s="28" t="s">
        <v>4450</v>
      </c>
      <c r="G311" s="285" t="s">
        <v>7846</v>
      </c>
      <c r="H311" s="285" t="s">
        <v>5127</v>
      </c>
      <c r="I311" s="285"/>
      <c r="J311" s="285"/>
      <c r="K311" s="285"/>
      <c r="L311" s="285"/>
      <c r="M311" s="15">
        <v>41198</v>
      </c>
      <c r="N311" s="24">
        <v>1</v>
      </c>
      <c r="O311" s="17">
        <v>84734</v>
      </c>
      <c r="P311" s="17">
        <v>84734</v>
      </c>
      <c r="Q311" s="17">
        <f t="shared" si="7"/>
        <v>0</v>
      </c>
      <c r="R311" s="285" t="s">
        <v>5071</v>
      </c>
      <c r="S311" s="15">
        <v>40861</v>
      </c>
      <c r="T311" s="285" t="s">
        <v>2714</v>
      </c>
    </row>
    <row r="312" spans="1:20" ht="39" customHeight="1" x14ac:dyDescent="0.2">
      <c r="A312" s="21">
        <v>309</v>
      </c>
      <c r="B312" s="289" t="s">
        <v>6013</v>
      </c>
      <c r="C312" s="289"/>
      <c r="D312" s="9" t="s">
        <v>1264</v>
      </c>
      <c r="E312" s="14"/>
      <c r="F312" s="28" t="s">
        <v>6701</v>
      </c>
      <c r="G312" s="285" t="s">
        <v>4946</v>
      </c>
      <c r="H312" s="285" t="s">
        <v>5127</v>
      </c>
      <c r="I312" s="285"/>
      <c r="J312" s="285"/>
      <c r="K312" s="285"/>
      <c r="L312" s="285"/>
      <c r="M312" s="15">
        <v>40861</v>
      </c>
      <c r="N312" s="24">
        <v>1</v>
      </c>
      <c r="O312" s="17">
        <v>93547</v>
      </c>
      <c r="P312" s="17">
        <v>93547</v>
      </c>
      <c r="Q312" s="17">
        <f t="shared" si="7"/>
        <v>0</v>
      </c>
      <c r="R312" s="285" t="s">
        <v>5071</v>
      </c>
      <c r="S312" s="15">
        <v>40861</v>
      </c>
      <c r="T312" s="285" t="s">
        <v>1097</v>
      </c>
    </row>
    <row r="313" spans="1:20" ht="44.25" customHeight="1" x14ac:dyDescent="0.2">
      <c r="A313" s="21">
        <v>310</v>
      </c>
      <c r="B313" s="289" t="s">
        <v>3420</v>
      </c>
      <c r="C313" s="289"/>
      <c r="D313" s="9" t="s">
        <v>4069</v>
      </c>
      <c r="E313" s="14"/>
      <c r="F313" s="28" t="s">
        <v>6541</v>
      </c>
      <c r="G313" s="56" t="s">
        <v>101</v>
      </c>
      <c r="H313" s="285" t="s">
        <v>5127</v>
      </c>
      <c r="I313" s="285"/>
      <c r="J313" s="285"/>
      <c r="K313" s="285"/>
      <c r="L313" s="285"/>
      <c r="M313" s="15">
        <v>40909</v>
      </c>
      <c r="N313" s="24">
        <v>1</v>
      </c>
      <c r="O313" s="17">
        <v>15000</v>
      </c>
      <c r="P313" s="17">
        <v>15000</v>
      </c>
      <c r="Q313" s="17">
        <f t="shared" si="7"/>
        <v>0</v>
      </c>
      <c r="R313" s="285" t="s">
        <v>5071</v>
      </c>
      <c r="S313" s="15">
        <v>40896</v>
      </c>
      <c r="T313" s="285" t="s">
        <v>1096</v>
      </c>
    </row>
    <row r="314" spans="1:20" ht="54" customHeight="1" x14ac:dyDescent="0.2">
      <c r="A314" s="21">
        <v>311</v>
      </c>
      <c r="B314" s="289" t="s">
        <v>3451</v>
      </c>
      <c r="C314" s="289"/>
      <c r="D314" s="9" t="s">
        <v>5612</v>
      </c>
      <c r="E314" s="14"/>
      <c r="F314" s="28"/>
      <c r="G314" s="285" t="s">
        <v>7605</v>
      </c>
      <c r="H314" s="285" t="s">
        <v>7613</v>
      </c>
      <c r="I314" s="285"/>
      <c r="J314" s="285" t="s">
        <v>1937</v>
      </c>
      <c r="K314" s="14" t="s">
        <v>7614</v>
      </c>
      <c r="L314" s="285" t="s">
        <v>7615</v>
      </c>
      <c r="M314" s="15">
        <v>41046</v>
      </c>
      <c r="N314" s="24">
        <v>4</v>
      </c>
      <c r="O314" s="17">
        <v>154600</v>
      </c>
      <c r="P314" s="17">
        <v>154600</v>
      </c>
      <c r="Q314" s="17">
        <f t="shared" si="7"/>
        <v>0</v>
      </c>
      <c r="R314" s="285" t="s">
        <v>3136</v>
      </c>
      <c r="S314" s="15">
        <v>41046</v>
      </c>
      <c r="T314" s="285" t="s">
        <v>2805</v>
      </c>
    </row>
    <row r="315" spans="1:20" ht="78" customHeight="1" x14ac:dyDescent="0.2">
      <c r="A315" s="21">
        <v>312</v>
      </c>
      <c r="B315" s="289" t="s">
        <v>3452</v>
      </c>
      <c r="D315" s="9" t="s">
        <v>5612</v>
      </c>
      <c r="E315" s="14"/>
      <c r="F315" s="28"/>
      <c r="G315" s="285" t="s">
        <v>7605</v>
      </c>
      <c r="H315" s="285" t="s">
        <v>7613</v>
      </c>
      <c r="I315" s="285"/>
      <c r="J315" s="285" t="s">
        <v>1937</v>
      </c>
      <c r="K315" s="14" t="s">
        <v>7614</v>
      </c>
      <c r="L315" s="285" t="s">
        <v>7615</v>
      </c>
      <c r="M315" s="15">
        <v>41046</v>
      </c>
      <c r="N315" s="24">
        <v>6</v>
      </c>
      <c r="O315" s="17">
        <v>93000</v>
      </c>
      <c r="P315" s="17">
        <v>93000</v>
      </c>
      <c r="Q315" s="17">
        <f t="shared" si="7"/>
        <v>0</v>
      </c>
      <c r="R315" s="285" t="s">
        <v>3136</v>
      </c>
      <c r="S315" s="15">
        <v>41046</v>
      </c>
      <c r="T315" s="285" t="s">
        <v>2805</v>
      </c>
    </row>
    <row r="316" spans="1:20" ht="67.5" customHeight="1" x14ac:dyDescent="0.2">
      <c r="A316" s="21">
        <v>313</v>
      </c>
      <c r="B316" s="289" t="s">
        <v>2275</v>
      </c>
      <c r="C316" s="289"/>
      <c r="D316" s="9" t="s">
        <v>5612</v>
      </c>
      <c r="E316" s="14"/>
      <c r="F316" s="28"/>
      <c r="G316" s="285" t="s">
        <v>4296</v>
      </c>
      <c r="H316" s="285" t="s">
        <v>1586</v>
      </c>
      <c r="I316" s="285"/>
      <c r="J316" s="285" t="s">
        <v>3136</v>
      </c>
      <c r="K316" s="14">
        <v>41079</v>
      </c>
      <c r="L316" s="285">
        <v>591</v>
      </c>
      <c r="M316" s="15">
        <v>41046</v>
      </c>
      <c r="N316" s="24">
        <v>7</v>
      </c>
      <c r="O316" s="17">
        <v>69400</v>
      </c>
      <c r="P316" s="17">
        <v>69400</v>
      </c>
      <c r="Q316" s="17">
        <f t="shared" si="7"/>
        <v>0</v>
      </c>
      <c r="R316" s="285" t="s">
        <v>3136</v>
      </c>
      <c r="S316" s="15">
        <v>41046</v>
      </c>
      <c r="T316" s="285" t="s">
        <v>2805</v>
      </c>
    </row>
    <row r="317" spans="1:20" ht="66.75" customHeight="1" x14ac:dyDescent="0.2">
      <c r="A317" s="21">
        <v>314</v>
      </c>
      <c r="B317" s="289" t="s">
        <v>1816</v>
      </c>
      <c r="C317" s="289" t="s">
        <v>5274</v>
      </c>
      <c r="D317" s="9" t="s">
        <v>5413</v>
      </c>
      <c r="E317" s="14"/>
      <c r="F317" s="28" t="s">
        <v>6887</v>
      </c>
      <c r="G317" s="285" t="s">
        <v>515</v>
      </c>
      <c r="H317" s="285" t="s">
        <v>5127</v>
      </c>
      <c r="I317" s="285"/>
      <c r="J317" s="285"/>
      <c r="K317" s="285"/>
      <c r="L317" s="285"/>
      <c r="M317" s="15">
        <v>41000</v>
      </c>
      <c r="N317" s="24">
        <v>1</v>
      </c>
      <c r="O317" s="17">
        <v>33453.019999999997</v>
      </c>
      <c r="P317" s="17">
        <v>33453.019999999997</v>
      </c>
      <c r="Q317" s="17">
        <f t="shared" si="7"/>
        <v>0</v>
      </c>
      <c r="R317" s="285" t="s">
        <v>5071</v>
      </c>
      <c r="S317" s="15">
        <v>40905</v>
      </c>
      <c r="T317" s="285">
        <v>945</v>
      </c>
    </row>
    <row r="318" spans="1:20" ht="65.25" customHeight="1" x14ac:dyDescent="0.2">
      <c r="A318" s="21">
        <v>315</v>
      </c>
      <c r="B318" s="289" t="s">
        <v>1817</v>
      </c>
      <c r="C318" s="289" t="s">
        <v>5274</v>
      </c>
      <c r="D318" s="9" t="s">
        <v>5413</v>
      </c>
      <c r="E318" s="14"/>
      <c r="F318" s="28" t="s">
        <v>6475</v>
      </c>
      <c r="G318" s="285" t="s">
        <v>7977</v>
      </c>
      <c r="H318" s="285" t="s">
        <v>5127</v>
      </c>
      <c r="I318" s="285"/>
      <c r="J318" s="285" t="s">
        <v>9405</v>
      </c>
      <c r="K318" s="289">
        <v>2009</v>
      </c>
      <c r="L318" s="289" t="s">
        <v>1029</v>
      </c>
      <c r="M318" s="15">
        <v>41000</v>
      </c>
      <c r="N318" s="24">
        <v>1</v>
      </c>
      <c r="O318" s="17">
        <v>33453.019999999997</v>
      </c>
      <c r="P318" s="17">
        <v>33453.019999999997</v>
      </c>
      <c r="Q318" s="17">
        <f t="shared" si="7"/>
        <v>0</v>
      </c>
      <c r="R318" s="285" t="s">
        <v>5071</v>
      </c>
      <c r="S318" s="15">
        <v>40905</v>
      </c>
      <c r="T318" s="285">
        <v>945</v>
      </c>
    </row>
    <row r="319" spans="1:20" ht="63.75" customHeight="1" x14ac:dyDescent="0.2">
      <c r="A319" s="21">
        <v>316</v>
      </c>
      <c r="B319" s="289" t="s">
        <v>1818</v>
      </c>
      <c r="C319" s="289" t="s">
        <v>5274</v>
      </c>
      <c r="D319" s="9" t="s">
        <v>3305</v>
      </c>
      <c r="E319" s="14"/>
      <c r="F319" s="28" t="s">
        <v>7095</v>
      </c>
      <c r="G319" s="285" t="s">
        <v>7934</v>
      </c>
      <c r="H319" s="285" t="s">
        <v>5127</v>
      </c>
      <c r="I319" s="285"/>
      <c r="J319" s="285"/>
      <c r="K319" s="285"/>
      <c r="L319" s="285"/>
      <c r="M319" s="15">
        <v>41000</v>
      </c>
      <c r="N319" s="24">
        <v>1</v>
      </c>
      <c r="O319" s="17">
        <v>13305.21</v>
      </c>
      <c r="P319" s="17">
        <v>13305.21</v>
      </c>
      <c r="Q319" s="17">
        <f t="shared" si="7"/>
        <v>0</v>
      </c>
      <c r="R319" s="285" t="s">
        <v>5071</v>
      </c>
      <c r="S319" s="15">
        <v>40953</v>
      </c>
      <c r="T319" s="285">
        <v>65</v>
      </c>
    </row>
    <row r="320" spans="1:20" ht="69.75" customHeight="1" x14ac:dyDescent="0.2">
      <c r="A320" s="21">
        <v>317</v>
      </c>
      <c r="B320" s="289" t="s">
        <v>3014</v>
      </c>
      <c r="C320" s="289" t="s">
        <v>5274</v>
      </c>
      <c r="D320" s="9" t="s">
        <v>5982</v>
      </c>
      <c r="E320" s="14"/>
      <c r="F320" s="28" t="s">
        <v>7096</v>
      </c>
      <c r="G320" s="285" t="s">
        <v>7934</v>
      </c>
      <c r="H320" s="285" t="s">
        <v>5127</v>
      </c>
      <c r="I320" s="285"/>
      <c r="J320" s="285"/>
      <c r="K320" s="285"/>
      <c r="L320" s="285"/>
      <c r="M320" s="15">
        <v>41244</v>
      </c>
      <c r="N320" s="24">
        <v>1</v>
      </c>
      <c r="O320" s="17">
        <v>268000</v>
      </c>
      <c r="P320" s="17">
        <v>268000</v>
      </c>
      <c r="Q320" s="17">
        <f t="shared" si="7"/>
        <v>0</v>
      </c>
      <c r="R320" s="285" t="s">
        <v>5071</v>
      </c>
      <c r="S320" s="15">
        <v>41012</v>
      </c>
      <c r="T320" s="285">
        <v>28</v>
      </c>
    </row>
    <row r="321" spans="1:20" ht="52.5" customHeight="1" x14ac:dyDescent="0.2">
      <c r="A321" s="21">
        <v>319</v>
      </c>
      <c r="B321" s="289" t="s">
        <v>5918</v>
      </c>
      <c r="C321" s="289"/>
      <c r="D321" s="9" t="s">
        <v>463</v>
      </c>
      <c r="E321" s="22" t="s">
        <v>3412</v>
      </c>
      <c r="F321" s="13" t="s">
        <v>2871</v>
      </c>
      <c r="G321" s="285" t="s">
        <v>8293</v>
      </c>
      <c r="H321" s="285" t="s">
        <v>5127</v>
      </c>
      <c r="I321" s="285"/>
      <c r="J321" s="285"/>
      <c r="K321" s="285"/>
      <c r="L321" s="285"/>
      <c r="M321" s="15">
        <v>41087</v>
      </c>
      <c r="N321" s="24">
        <v>1</v>
      </c>
      <c r="O321" s="17">
        <v>11150</v>
      </c>
      <c r="P321" s="17">
        <v>11150</v>
      </c>
      <c r="Q321" s="17">
        <f t="shared" si="7"/>
        <v>0</v>
      </c>
      <c r="R321" s="285" t="s">
        <v>5582</v>
      </c>
      <c r="S321" s="15">
        <v>41087</v>
      </c>
      <c r="T321" s="285">
        <v>128</v>
      </c>
    </row>
    <row r="322" spans="1:20" ht="45.75" customHeight="1" x14ac:dyDescent="0.2">
      <c r="A322" s="21">
        <v>320</v>
      </c>
      <c r="B322" s="30" t="s">
        <v>3621</v>
      </c>
      <c r="D322" s="47" t="s">
        <v>579</v>
      </c>
      <c r="E322" s="119">
        <v>2012</v>
      </c>
      <c r="F322" s="47" t="s">
        <v>3321</v>
      </c>
      <c r="G322" s="49" t="s">
        <v>4877</v>
      </c>
      <c r="H322" s="49" t="s">
        <v>2042</v>
      </c>
      <c r="I322" s="49" t="s">
        <v>2207</v>
      </c>
      <c r="J322" s="285" t="s">
        <v>7434</v>
      </c>
      <c r="K322" s="14">
        <v>42807</v>
      </c>
      <c r="L322" s="22" t="s">
        <v>7435</v>
      </c>
      <c r="M322" s="51">
        <v>41873</v>
      </c>
      <c r="N322" s="52">
        <v>1</v>
      </c>
      <c r="O322" s="48">
        <v>275000</v>
      </c>
      <c r="P322" s="48">
        <v>14513.91</v>
      </c>
      <c r="Q322" s="48">
        <f t="shared" si="7"/>
        <v>260486.09</v>
      </c>
      <c r="R322" s="49" t="s">
        <v>3136</v>
      </c>
      <c r="S322" s="14">
        <v>41250</v>
      </c>
      <c r="T322" s="285">
        <v>1174</v>
      </c>
    </row>
    <row r="323" spans="1:20" ht="52.5" customHeight="1" x14ac:dyDescent="0.2">
      <c r="A323" s="21">
        <v>321</v>
      </c>
      <c r="B323" s="289" t="s">
        <v>1991</v>
      </c>
      <c r="C323" s="289"/>
      <c r="D323" s="13" t="s">
        <v>12208</v>
      </c>
      <c r="E323" s="22">
        <v>2012</v>
      </c>
      <c r="F323" s="9" t="s">
        <v>982</v>
      </c>
      <c r="G323" s="285" t="s">
        <v>4877</v>
      </c>
      <c r="H323" s="285" t="s">
        <v>2042</v>
      </c>
      <c r="I323" s="285" t="s">
        <v>2207</v>
      </c>
      <c r="J323" s="285" t="s">
        <v>7434</v>
      </c>
      <c r="K323" s="14">
        <v>42807</v>
      </c>
      <c r="L323" s="22" t="s">
        <v>7435</v>
      </c>
      <c r="M323" s="15">
        <v>41873</v>
      </c>
      <c r="N323" s="24">
        <v>1</v>
      </c>
      <c r="O323" s="17">
        <v>66550</v>
      </c>
      <c r="P323" s="17">
        <v>21074.23</v>
      </c>
      <c r="Q323" s="17">
        <f t="shared" ref="Q323:Q386" si="8">O323-P323</f>
        <v>45475.770000000004</v>
      </c>
      <c r="R323" s="285" t="s">
        <v>3136</v>
      </c>
      <c r="S323" s="14">
        <v>41250</v>
      </c>
      <c r="T323" s="285">
        <v>1174</v>
      </c>
    </row>
    <row r="324" spans="1:20" ht="44.25" customHeight="1" x14ac:dyDescent="0.2">
      <c r="A324" s="21">
        <v>322</v>
      </c>
      <c r="B324" s="289" t="s">
        <v>5979</v>
      </c>
      <c r="C324" s="289"/>
      <c r="D324" s="13" t="s">
        <v>3707</v>
      </c>
      <c r="E324" s="22">
        <v>2012</v>
      </c>
      <c r="F324" s="13"/>
      <c r="G324" s="285" t="s">
        <v>4877</v>
      </c>
      <c r="H324" s="285" t="s">
        <v>2042</v>
      </c>
      <c r="I324" s="285" t="s">
        <v>2207</v>
      </c>
      <c r="J324" s="285" t="s">
        <v>7434</v>
      </c>
      <c r="K324" s="14">
        <v>42807</v>
      </c>
      <c r="L324" s="22" t="s">
        <v>7435</v>
      </c>
      <c r="M324" s="15">
        <v>41873</v>
      </c>
      <c r="N324" s="24">
        <v>1</v>
      </c>
      <c r="O324" s="17">
        <v>15000</v>
      </c>
      <c r="P324" s="17">
        <v>0</v>
      </c>
      <c r="Q324" s="17">
        <f t="shared" si="8"/>
        <v>15000</v>
      </c>
      <c r="R324" s="285" t="s">
        <v>3136</v>
      </c>
      <c r="S324" s="14">
        <v>41250</v>
      </c>
      <c r="T324" s="285">
        <v>1174</v>
      </c>
    </row>
    <row r="325" spans="1:20" ht="77.25" customHeight="1" x14ac:dyDescent="0.2">
      <c r="A325" s="21">
        <v>323</v>
      </c>
      <c r="B325" s="289" t="s">
        <v>5919</v>
      </c>
      <c r="C325" s="289"/>
      <c r="D325" s="9" t="s">
        <v>5240</v>
      </c>
      <c r="E325" s="22">
        <v>2012</v>
      </c>
      <c r="F325" s="13" t="s">
        <v>5241</v>
      </c>
      <c r="G325" s="285" t="s">
        <v>8293</v>
      </c>
      <c r="H325" s="285" t="s">
        <v>5127</v>
      </c>
      <c r="I325" s="289"/>
      <c r="J325" s="285"/>
      <c r="K325" s="289"/>
      <c r="L325" s="289"/>
      <c r="M325" s="15">
        <v>41255</v>
      </c>
      <c r="N325" s="24">
        <v>2</v>
      </c>
      <c r="O325" s="17">
        <v>24600</v>
      </c>
      <c r="P325" s="17">
        <v>24600</v>
      </c>
      <c r="Q325" s="17">
        <f t="shared" si="8"/>
        <v>0</v>
      </c>
      <c r="R325" s="285" t="s">
        <v>15</v>
      </c>
      <c r="S325" s="14">
        <v>41269</v>
      </c>
      <c r="T325" s="285">
        <v>201</v>
      </c>
    </row>
    <row r="326" spans="1:20" ht="78" customHeight="1" x14ac:dyDescent="0.2">
      <c r="A326" s="21">
        <v>324</v>
      </c>
      <c r="B326" s="289" t="s">
        <v>5920</v>
      </c>
      <c r="C326" s="289"/>
      <c r="D326" s="9" t="s">
        <v>1486</v>
      </c>
      <c r="E326" s="22">
        <v>2012</v>
      </c>
      <c r="F326" s="13" t="s">
        <v>5242</v>
      </c>
      <c r="G326" s="285" t="s">
        <v>8293</v>
      </c>
      <c r="H326" s="285" t="s">
        <v>5127</v>
      </c>
      <c r="I326" s="289"/>
      <c r="J326" s="285"/>
      <c r="K326" s="289"/>
      <c r="L326" s="289"/>
      <c r="M326" s="15">
        <v>41261</v>
      </c>
      <c r="N326" s="24">
        <v>1</v>
      </c>
      <c r="O326" s="17">
        <v>11267.23</v>
      </c>
      <c r="P326" s="17">
        <v>11267.23</v>
      </c>
      <c r="Q326" s="17">
        <f t="shared" si="8"/>
        <v>0</v>
      </c>
      <c r="R326" s="285" t="s">
        <v>15</v>
      </c>
      <c r="S326" s="14">
        <v>41269</v>
      </c>
      <c r="T326" s="285">
        <v>201</v>
      </c>
    </row>
    <row r="327" spans="1:20" ht="51" customHeight="1" x14ac:dyDescent="0.2">
      <c r="A327" s="21">
        <v>325</v>
      </c>
      <c r="B327" s="30" t="s">
        <v>4629</v>
      </c>
      <c r="C327" s="30"/>
      <c r="D327" s="46" t="s">
        <v>1264</v>
      </c>
      <c r="E327" s="53"/>
      <c r="F327" s="47" t="s">
        <v>5222</v>
      </c>
      <c r="G327" s="49" t="s">
        <v>7982</v>
      </c>
      <c r="H327" s="49" t="s">
        <v>5127</v>
      </c>
      <c r="I327" s="30"/>
      <c r="J327" s="49" t="s">
        <v>9437</v>
      </c>
      <c r="K327" s="51">
        <v>41274</v>
      </c>
      <c r="L327" s="30" t="s">
        <v>1029</v>
      </c>
      <c r="M327" s="51">
        <v>41220</v>
      </c>
      <c r="N327" s="52">
        <v>1</v>
      </c>
      <c r="O327" s="48">
        <v>90714</v>
      </c>
      <c r="P327" s="48">
        <v>44586.02</v>
      </c>
      <c r="Q327" s="48">
        <f t="shared" si="8"/>
        <v>46127.98</v>
      </c>
      <c r="R327" s="49" t="s">
        <v>6911</v>
      </c>
      <c r="S327" s="53">
        <v>41220</v>
      </c>
      <c r="T327" s="49">
        <v>374</v>
      </c>
    </row>
    <row r="328" spans="1:20" s="18" customFormat="1" ht="87.75" customHeight="1" x14ac:dyDescent="0.2">
      <c r="A328" s="21">
        <v>326</v>
      </c>
      <c r="B328" s="289" t="s">
        <v>4630</v>
      </c>
      <c r="C328" s="289" t="s">
        <v>5274</v>
      </c>
      <c r="D328" s="9" t="s">
        <v>5413</v>
      </c>
      <c r="E328" s="15">
        <v>41275</v>
      </c>
      <c r="F328" s="13" t="s">
        <v>7021</v>
      </c>
      <c r="G328" s="285" t="s">
        <v>7981</v>
      </c>
      <c r="H328" s="285" t="s">
        <v>5127</v>
      </c>
      <c r="I328" s="289"/>
      <c r="J328" s="285" t="s">
        <v>3136</v>
      </c>
      <c r="K328" s="15">
        <v>41317</v>
      </c>
      <c r="L328" s="289">
        <v>175</v>
      </c>
      <c r="M328" s="15">
        <v>41275</v>
      </c>
      <c r="N328" s="24">
        <v>2</v>
      </c>
      <c r="O328" s="17">
        <v>20750.080000000002</v>
      </c>
      <c r="P328" s="17">
        <v>20750.080000000002</v>
      </c>
      <c r="Q328" s="17">
        <f t="shared" si="8"/>
        <v>0</v>
      </c>
      <c r="R328" s="285" t="s">
        <v>2517</v>
      </c>
      <c r="S328" s="14" t="s">
        <v>2516</v>
      </c>
      <c r="T328" s="285">
        <v>4262</v>
      </c>
    </row>
    <row r="329" spans="1:20" ht="57.75" customHeight="1" x14ac:dyDescent="0.2">
      <c r="A329" s="21">
        <v>327</v>
      </c>
      <c r="B329" s="20" t="s">
        <v>4631</v>
      </c>
      <c r="C329" s="20" t="s">
        <v>5274</v>
      </c>
      <c r="D329" s="54" t="s">
        <v>2801</v>
      </c>
      <c r="E329" s="57">
        <v>41275</v>
      </c>
      <c r="F329" s="55" t="s">
        <v>2793</v>
      </c>
      <c r="G329" s="37" t="s">
        <v>7981</v>
      </c>
      <c r="H329" s="37" t="s">
        <v>5127</v>
      </c>
      <c r="I329" s="20"/>
      <c r="J329" s="37" t="s">
        <v>3136</v>
      </c>
      <c r="K329" s="57">
        <v>41317</v>
      </c>
      <c r="L329" s="20">
        <v>175</v>
      </c>
      <c r="M329" s="57">
        <v>41275</v>
      </c>
      <c r="N329" s="33">
        <v>1</v>
      </c>
      <c r="O329" s="34">
        <v>13234.22</v>
      </c>
      <c r="P329" s="34">
        <v>13234.22</v>
      </c>
      <c r="Q329" s="34">
        <f t="shared" si="8"/>
        <v>0</v>
      </c>
      <c r="R329" s="37" t="s">
        <v>2517</v>
      </c>
      <c r="S329" s="32" t="s">
        <v>2518</v>
      </c>
      <c r="T329" s="37">
        <v>4262</v>
      </c>
    </row>
    <row r="330" spans="1:20" ht="57.75" customHeight="1" x14ac:dyDescent="0.2">
      <c r="A330" s="21">
        <v>328</v>
      </c>
      <c r="B330" s="289" t="s">
        <v>4632</v>
      </c>
      <c r="C330" s="289" t="s">
        <v>5274</v>
      </c>
      <c r="D330" s="9" t="s">
        <v>1959</v>
      </c>
      <c r="E330" s="15">
        <v>41333</v>
      </c>
      <c r="F330" s="13" t="s">
        <v>7022</v>
      </c>
      <c r="G330" s="285" t="s">
        <v>7981</v>
      </c>
      <c r="H330" s="285" t="s">
        <v>5127</v>
      </c>
      <c r="I330" s="289"/>
      <c r="J330" s="285" t="s">
        <v>3136</v>
      </c>
      <c r="K330" s="15">
        <v>41348</v>
      </c>
      <c r="L330" s="289">
        <v>259</v>
      </c>
      <c r="M330" s="15">
        <v>41333</v>
      </c>
      <c r="N330" s="24">
        <v>1</v>
      </c>
      <c r="O330" s="17">
        <v>99000</v>
      </c>
      <c r="P330" s="17">
        <v>99000</v>
      </c>
      <c r="Q330" s="17">
        <f t="shared" si="8"/>
        <v>0</v>
      </c>
      <c r="R330" s="285" t="s">
        <v>3405</v>
      </c>
      <c r="S330" s="14">
        <v>41291</v>
      </c>
      <c r="T330" s="285">
        <v>139</v>
      </c>
    </row>
    <row r="331" spans="1:20" ht="57.75" customHeight="1" x14ac:dyDescent="0.2">
      <c r="A331" s="21">
        <v>329</v>
      </c>
      <c r="B331" s="289" t="s">
        <v>3680</v>
      </c>
      <c r="C331" s="289" t="s">
        <v>5274</v>
      </c>
      <c r="D331" s="9" t="s">
        <v>1959</v>
      </c>
      <c r="E331" s="14"/>
      <c r="F331" s="13" t="s">
        <v>6910</v>
      </c>
      <c r="G331" s="285" t="s">
        <v>7982</v>
      </c>
      <c r="H331" s="285" t="s">
        <v>5127</v>
      </c>
      <c r="I331" s="289"/>
      <c r="J331" s="285" t="s">
        <v>3136</v>
      </c>
      <c r="K331" s="15">
        <v>41348</v>
      </c>
      <c r="L331" s="289">
        <v>257</v>
      </c>
      <c r="M331" s="15">
        <v>41333</v>
      </c>
      <c r="N331" s="24">
        <v>1</v>
      </c>
      <c r="O331" s="17">
        <v>99000</v>
      </c>
      <c r="P331" s="17">
        <v>99000</v>
      </c>
      <c r="Q331" s="17">
        <f t="shared" si="8"/>
        <v>0</v>
      </c>
      <c r="R331" s="285" t="s">
        <v>6911</v>
      </c>
      <c r="S331" s="14">
        <v>41291</v>
      </c>
      <c r="T331" s="285">
        <v>139</v>
      </c>
    </row>
    <row r="332" spans="1:20" ht="32.25" customHeight="1" x14ac:dyDescent="0.2">
      <c r="A332" s="21">
        <v>330</v>
      </c>
      <c r="B332" s="289" t="s">
        <v>3681</v>
      </c>
      <c r="C332" s="289" t="s">
        <v>5274</v>
      </c>
      <c r="D332" s="9" t="s">
        <v>1959</v>
      </c>
      <c r="E332" s="14"/>
      <c r="F332" s="13" t="s">
        <v>6813</v>
      </c>
      <c r="G332" s="285" t="s">
        <v>7917</v>
      </c>
      <c r="H332" s="285" t="s">
        <v>5127</v>
      </c>
      <c r="I332" s="289"/>
      <c r="J332" s="285" t="s">
        <v>3136</v>
      </c>
      <c r="K332" s="15">
        <v>41348</v>
      </c>
      <c r="L332" s="289">
        <v>258</v>
      </c>
      <c r="M332" s="15">
        <v>41333</v>
      </c>
      <c r="N332" s="24">
        <v>1</v>
      </c>
      <c r="O332" s="17">
        <v>99000</v>
      </c>
      <c r="P332" s="17">
        <v>99000</v>
      </c>
      <c r="Q332" s="17">
        <f t="shared" si="8"/>
        <v>0</v>
      </c>
      <c r="R332" s="285" t="s">
        <v>3405</v>
      </c>
      <c r="S332" s="14">
        <v>41291</v>
      </c>
      <c r="T332" s="285">
        <v>139</v>
      </c>
    </row>
    <row r="333" spans="1:20" ht="45" customHeight="1" x14ac:dyDescent="0.2">
      <c r="A333" s="21">
        <v>331</v>
      </c>
      <c r="B333" s="289" t="s">
        <v>3682</v>
      </c>
      <c r="C333" s="289"/>
      <c r="D333" s="9" t="s">
        <v>479</v>
      </c>
      <c r="E333" s="22"/>
      <c r="F333" s="13" t="s">
        <v>871</v>
      </c>
      <c r="G333" s="285" t="s">
        <v>3090</v>
      </c>
      <c r="H333" s="285" t="s">
        <v>5127</v>
      </c>
      <c r="I333" s="289"/>
      <c r="J333" s="285" t="s">
        <v>3136</v>
      </c>
      <c r="K333" s="15">
        <v>41942</v>
      </c>
      <c r="L333" s="289">
        <v>989</v>
      </c>
      <c r="M333" s="15">
        <v>41361</v>
      </c>
      <c r="N333" s="24">
        <v>1</v>
      </c>
      <c r="O333" s="17">
        <v>144286.20000000001</v>
      </c>
      <c r="P333" s="17">
        <v>144286.20000000001</v>
      </c>
      <c r="Q333" s="17">
        <f t="shared" si="8"/>
        <v>0</v>
      </c>
      <c r="R333" s="285" t="s">
        <v>3405</v>
      </c>
      <c r="S333" s="14">
        <v>41361</v>
      </c>
      <c r="T333" s="285" t="s">
        <v>28</v>
      </c>
    </row>
    <row r="334" spans="1:20" ht="89.25" customHeight="1" x14ac:dyDescent="0.2">
      <c r="A334" s="21">
        <v>332</v>
      </c>
      <c r="B334" s="289" t="s">
        <v>5658</v>
      </c>
      <c r="C334" s="289"/>
      <c r="D334" s="9" t="s">
        <v>211</v>
      </c>
      <c r="E334" s="14"/>
      <c r="F334" s="13" t="s">
        <v>2225</v>
      </c>
      <c r="G334" s="285" t="s">
        <v>7982</v>
      </c>
      <c r="H334" s="285" t="s">
        <v>5127</v>
      </c>
      <c r="I334" s="289"/>
      <c r="J334" s="285" t="s">
        <v>3136</v>
      </c>
      <c r="K334" s="15">
        <v>41915</v>
      </c>
      <c r="L334" s="289">
        <v>885</v>
      </c>
      <c r="M334" s="15">
        <v>41365</v>
      </c>
      <c r="N334" s="24">
        <v>1</v>
      </c>
      <c r="O334" s="17">
        <v>25260</v>
      </c>
      <c r="P334" s="17">
        <v>25260</v>
      </c>
      <c r="Q334" s="17">
        <f t="shared" si="8"/>
        <v>0</v>
      </c>
      <c r="R334" s="285" t="s">
        <v>6911</v>
      </c>
      <c r="S334" s="14">
        <v>41339</v>
      </c>
      <c r="T334" s="285">
        <v>19</v>
      </c>
    </row>
    <row r="335" spans="1:20" ht="60.75" customHeight="1" x14ac:dyDescent="0.2">
      <c r="A335" s="21">
        <v>333</v>
      </c>
      <c r="B335" s="289" t="s">
        <v>5659</v>
      </c>
      <c r="C335" s="289" t="s">
        <v>5274</v>
      </c>
      <c r="D335" s="9" t="s">
        <v>1948</v>
      </c>
      <c r="E335" s="14"/>
      <c r="F335" s="13" t="s">
        <v>6887</v>
      </c>
      <c r="G335" s="285" t="s">
        <v>7934</v>
      </c>
      <c r="H335" s="285" t="s">
        <v>5127</v>
      </c>
      <c r="I335" s="289"/>
      <c r="J335" s="285" t="s">
        <v>3136</v>
      </c>
      <c r="K335" s="15">
        <v>41401</v>
      </c>
      <c r="L335" s="289">
        <v>422</v>
      </c>
      <c r="M335" s="15">
        <v>41365</v>
      </c>
      <c r="N335" s="24">
        <v>1</v>
      </c>
      <c r="O335" s="17">
        <v>14340</v>
      </c>
      <c r="P335" s="17">
        <v>14340</v>
      </c>
      <c r="Q335" s="17">
        <f t="shared" si="8"/>
        <v>0</v>
      </c>
      <c r="R335" s="285" t="s">
        <v>5791</v>
      </c>
      <c r="S335" s="14">
        <v>41359</v>
      </c>
      <c r="T335" s="22" t="s">
        <v>5790</v>
      </c>
    </row>
    <row r="336" spans="1:20" ht="60.75" customHeight="1" x14ac:dyDescent="0.2">
      <c r="A336" s="21">
        <v>334</v>
      </c>
      <c r="B336" s="289" t="s">
        <v>5660</v>
      </c>
      <c r="C336" s="289" t="s">
        <v>5274</v>
      </c>
      <c r="D336" s="9" t="s">
        <v>1951</v>
      </c>
      <c r="E336" s="14"/>
      <c r="F336" s="241" t="s">
        <v>6891</v>
      </c>
      <c r="G336" s="285" t="s">
        <v>7934</v>
      </c>
      <c r="H336" s="285" t="s">
        <v>5127</v>
      </c>
      <c r="I336" s="289"/>
      <c r="J336" s="285" t="s">
        <v>3136</v>
      </c>
      <c r="K336" s="15">
        <v>41401</v>
      </c>
      <c r="L336" s="289">
        <v>422</v>
      </c>
      <c r="M336" s="15">
        <v>41365</v>
      </c>
      <c r="N336" s="24">
        <v>1</v>
      </c>
      <c r="O336" s="17">
        <v>13130</v>
      </c>
      <c r="P336" s="17">
        <v>13130</v>
      </c>
      <c r="Q336" s="17">
        <f t="shared" si="8"/>
        <v>0</v>
      </c>
      <c r="R336" s="285" t="s">
        <v>5791</v>
      </c>
      <c r="S336" s="14">
        <v>41359</v>
      </c>
      <c r="T336" s="22" t="s">
        <v>5790</v>
      </c>
    </row>
    <row r="337" spans="1:20" ht="60.75" customHeight="1" x14ac:dyDescent="0.2">
      <c r="A337" s="21">
        <v>335</v>
      </c>
      <c r="B337" s="289" t="s">
        <v>5661</v>
      </c>
      <c r="C337" s="289" t="s">
        <v>5274</v>
      </c>
      <c r="D337" s="9" t="s">
        <v>3515</v>
      </c>
      <c r="E337" s="14"/>
      <c r="F337" s="78" t="s">
        <v>7097</v>
      </c>
      <c r="G337" s="285" t="s">
        <v>7934</v>
      </c>
      <c r="H337" s="285" t="s">
        <v>5127</v>
      </c>
      <c r="I337" s="289"/>
      <c r="J337" s="285" t="s">
        <v>3136</v>
      </c>
      <c r="K337" s="15">
        <v>41401</v>
      </c>
      <c r="L337" s="289">
        <v>422</v>
      </c>
      <c r="M337" s="15">
        <v>41365</v>
      </c>
      <c r="N337" s="24">
        <v>1</v>
      </c>
      <c r="O337" s="17">
        <v>16975</v>
      </c>
      <c r="P337" s="17">
        <v>16975</v>
      </c>
      <c r="Q337" s="17">
        <f t="shared" si="8"/>
        <v>0</v>
      </c>
      <c r="R337" s="285" t="s">
        <v>5791</v>
      </c>
      <c r="S337" s="14">
        <v>41359</v>
      </c>
      <c r="T337" s="22" t="s">
        <v>5790</v>
      </c>
    </row>
    <row r="338" spans="1:20" ht="70.5" customHeight="1" x14ac:dyDescent="0.2">
      <c r="A338" s="21">
        <v>336</v>
      </c>
      <c r="B338" s="289" t="s">
        <v>3784</v>
      </c>
      <c r="C338" s="289"/>
      <c r="D338" s="9" t="s">
        <v>2261</v>
      </c>
      <c r="E338" s="15">
        <v>41244</v>
      </c>
      <c r="F338" s="76" t="s">
        <v>2262</v>
      </c>
      <c r="G338" s="285" t="s">
        <v>7981</v>
      </c>
      <c r="H338" s="285" t="s">
        <v>5127</v>
      </c>
      <c r="I338" s="289"/>
      <c r="J338" s="285" t="s">
        <v>9490</v>
      </c>
      <c r="K338" s="15">
        <v>41364</v>
      </c>
      <c r="L338" s="12" t="s">
        <v>1029</v>
      </c>
      <c r="M338" s="15">
        <v>41244</v>
      </c>
      <c r="N338" s="24">
        <v>1</v>
      </c>
      <c r="O338" s="17">
        <v>21375</v>
      </c>
      <c r="P338" s="17">
        <v>21375</v>
      </c>
      <c r="Q338" s="17">
        <f t="shared" si="8"/>
        <v>0</v>
      </c>
      <c r="R338" s="285" t="s">
        <v>3405</v>
      </c>
      <c r="S338" s="14">
        <v>41244</v>
      </c>
      <c r="T338" s="22" t="s">
        <v>5792</v>
      </c>
    </row>
    <row r="339" spans="1:20" ht="99.75" customHeight="1" x14ac:dyDescent="0.2">
      <c r="A339" s="21">
        <v>337</v>
      </c>
      <c r="B339" s="289" t="s">
        <v>3785</v>
      </c>
      <c r="C339" s="289"/>
      <c r="D339" s="9" t="s">
        <v>5500</v>
      </c>
      <c r="E339" s="15">
        <v>41244</v>
      </c>
      <c r="F339" s="26" t="s">
        <v>5501</v>
      </c>
      <c r="G339" s="285" t="s">
        <v>7981</v>
      </c>
      <c r="H339" s="285" t="s">
        <v>5127</v>
      </c>
      <c r="I339" s="289"/>
      <c r="J339" s="285" t="s">
        <v>9490</v>
      </c>
      <c r="K339" s="15">
        <v>41364</v>
      </c>
      <c r="L339" s="12" t="s">
        <v>1029</v>
      </c>
      <c r="M339" s="15">
        <v>41244</v>
      </c>
      <c r="N339" s="24">
        <v>1</v>
      </c>
      <c r="O339" s="17">
        <v>13884</v>
      </c>
      <c r="P339" s="17">
        <v>13884</v>
      </c>
      <c r="Q339" s="17">
        <f t="shared" si="8"/>
        <v>0</v>
      </c>
      <c r="R339" s="285" t="s">
        <v>3405</v>
      </c>
      <c r="S339" s="14">
        <v>41244</v>
      </c>
      <c r="T339" s="22" t="s">
        <v>5792</v>
      </c>
    </row>
    <row r="340" spans="1:20" ht="99.75" customHeight="1" x14ac:dyDescent="0.2">
      <c r="A340" s="21">
        <v>338</v>
      </c>
      <c r="B340" s="289" t="s">
        <v>4089</v>
      </c>
      <c r="C340" s="289"/>
      <c r="D340" s="9" t="s">
        <v>5500</v>
      </c>
      <c r="E340" s="14"/>
      <c r="F340" s="26" t="s">
        <v>5427</v>
      </c>
      <c r="G340" s="285" t="s">
        <v>7934</v>
      </c>
      <c r="H340" s="285" t="s">
        <v>5127</v>
      </c>
      <c r="I340" s="289"/>
      <c r="J340" s="285" t="s">
        <v>3136</v>
      </c>
      <c r="K340" s="15">
        <v>42489</v>
      </c>
      <c r="L340" s="289">
        <v>385</v>
      </c>
      <c r="M340" s="15">
        <v>41365</v>
      </c>
      <c r="N340" s="24">
        <v>1</v>
      </c>
      <c r="O340" s="17">
        <v>14884</v>
      </c>
      <c r="P340" s="17">
        <v>14884</v>
      </c>
      <c r="Q340" s="17">
        <f t="shared" si="8"/>
        <v>0</v>
      </c>
      <c r="R340" s="285" t="s">
        <v>3405</v>
      </c>
      <c r="S340" s="14">
        <v>41194</v>
      </c>
      <c r="T340" s="22" t="s">
        <v>2280</v>
      </c>
    </row>
    <row r="341" spans="1:20" ht="27.75" customHeight="1" x14ac:dyDescent="0.2">
      <c r="A341" s="21">
        <v>339</v>
      </c>
      <c r="B341" s="289" t="s">
        <v>3786</v>
      </c>
      <c r="C341" s="289"/>
      <c r="D341" s="9" t="s">
        <v>5500</v>
      </c>
      <c r="E341" s="14"/>
      <c r="F341" s="26" t="s">
        <v>3556</v>
      </c>
      <c r="G341" s="285" t="s">
        <v>7917</v>
      </c>
      <c r="H341" s="285" t="s">
        <v>5127</v>
      </c>
      <c r="I341" s="289"/>
      <c r="J341" s="285"/>
      <c r="K341" s="289"/>
      <c r="L341" s="289"/>
      <c r="M341" s="15">
        <v>41365</v>
      </c>
      <c r="N341" s="24">
        <v>1</v>
      </c>
      <c r="O341" s="17">
        <v>13884</v>
      </c>
      <c r="P341" s="17">
        <v>13884</v>
      </c>
      <c r="Q341" s="17">
        <f t="shared" si="8"/>
        <v>0</v>
      </c>
      <c r="R341" s="285" t="s">
        <v>3405</v>
      </c>
      <c r="S341" s="14">
        <v>41236</v>
      </c>
      <c r="T341" s="22" t="s">
        <v>2279</v>
      </c>
    </row>
    <row r="342" spans="1:20" ht="112.5" customHeight="1" x14ac:dyDescent="0.2">
      <c r="A342" s="21">
        <v>340</v>
      </c>
      <c r="B342" s="289" t="s">
        <v>3787</v>
      </c>
      <c r="C342" s="289"/>
      <c r="D342" s="9" t="s">
        <v>4996</v>
      </c>
      <c r="E342" s="22">
        <v>2013</v>
      </c>
      <c r="F342" s="76" t="s">
        <v>6815</v>
      </c>
      <c r="G342" s="285" t="s">
        <v>7917</v>
      </c>
      <c r="H342" s="285" t="s">
        <v>5127</v>
      </c>
      <c r="I342" s="289"/>
      <c r="J342" s="285"/>
      <c r="K342" s="289"/>
      <c r="L342" s="289"/>
      <c r="M342" s="15">
        <v>41365</v>
      </c>
      <c r="N342" s="24">
        <v>1</v>
      </c>
      <c r="O342" s="17">
        <v>14325</v>
      </c>
      <c r="P342" s="17">
        <v>14325</v>
      </c>
      <c r="Q342" s="17">
        <f t="shared" si="8"/>
        <v>0</v>
      </c>
      <c r="R342" s="285" t="s">
        <v>3405</v>
      </c>
      <c r="S342" s="14">
        <v>41236</v>
      </c>
      <c r="T342" s="22" t="s">
        <v>5793</v>
      </c>
    </row>
    <row r="343" spans="1:20" ht="52.5" customHeight="1" x14ac:dyDescent="0.2">
      <c r="A343" s="21">
        <v>341</v>
      </c>
      <c r="B343" s="289" t="s">
        <v>4362</v>
      </c>
      <c r="C343" s="289" t="s">
        <v>5274</v>
      </c>
      <c r="D343" s="9" t="s">
        <v>4763</v>
      </c>
      <c r="E343" s="22">
        <v>2013</v>
      </c>
      <c r="F343" s="76" t="s">
        <v>4364</v>
      </c>
      <c r="G343" s="285" t="s">
        <v>7981</v>
      </c>
      <c r="H343" s="285" t="s">
        <v>5127</v>
      </c>
      <c r="I343" s="289"/>
      <c r="J343" s="285" t="s">
        <v>3136</v>
      </c>
      <c r="K343" s="15">
        <v>41449</v>
      </c>
      <c r="L343" s="289">
        <v>611</v>
      </c>
      <c r="M343" s="15">
        <v>41456</v>
      </c>
      <c r="N343" s="24">
        <v>1</v>
      </c>
      <c r="O343" s="17">
        <v>123047.67999999999</v>
      </c>
      <c r="P343" s="17">
        <v>123047.67999999999</v>
      </c>
      <c r="Q343" s="17">
        <f t="shared" si="8"/>
        <v>0</v>
      </c>
      <c r="R343" s="285" t="s">
        <v>11</v>
      </c>
      <c r="S343" s="14">
        <v>41267</v>
      </c>
      <c r="T343" s="285">
        <v>5223</v>
      </c>
    </row>
    <row r="344" spans="1:20" ht="60.75" customHeight="1" x14ac:dyDescent="0.2">
      <c r="A344" s="21">
        <v>342</v>
      </c>
      <c r="B344" s="289" t="s">
        <v>4363</v>
      </c>
      <c r="C344" s="289"/>
      <c r="D344" s="9" t="s">
        <v>4155</v>
      </c>
      <c r="E344" s="22">
        <v>2013</v>
      </c>
      <c r="F344" s="26" t="s">
        <v>7023</v>
      </c>
      <c r="G344" s="285" t="s">
        <v>7981</v>
      </c>
      <c r="H344" s="285" t="s">
        <v>5127</v>
      </c>
      <c r="I344" s="289"/>
      <c r="J344" s="285" t="s">
        <v>3136</v>
      </c>
      <c r="K344" s="15">
        <v>41452</v>
      </c>
      <c r="L344" s="289">
        <v>636</v>
      </c>
      <c r="M344" s="15">
        <v>41375</v>
      </c>
      <c r="N344" s="24">
        <v>1</v>
      </c>
      <c r="O344" s="17">
        <v>70000</v>
      </c>
      <c r="P344" s="17">
        <v>70000</v>
      </c>
      <c r="Q344" s="17">
        <f t="shared" si="8"/>
        <v>0</v>
      </c>
      <c r="R344" s="285" t="s">
        <v>11</v>
      </c>
      <c r="S344" s="14">
        <v>41345</v>
      </c>
      <c r="T344" s="285">
        <v>1054</v>
      </c>
    </row>
    <row r="345" spans="1:20" ht="46.5" customHeight="1" x14ac:dyDescent="0.2">
      <c r="A345" s="21">
        <v>343</v>
      </c>
      <c r="B345" s="289" t="s">
        <v>4599</v>
      </c>
      <c r="C345" s="289"/>
      <c r="D345" s="9" t="s">
        <v>2145</v>
      </c>
      <c r="E345" s="22">
        <v>2013</v>
      </c>
      <c r="F345" s="26" t="s">
        <v>7024</v>
      </c>
      <c r="G345" s="285" t="s">
        <v>7981</v>
      </c>
      <c r="H345" s="285" t="s">
        <v>5127</v>
      </c>
      <c r="I345" s="289"/>
      <c r="J345" s="285" t="s">
        <v>3136</v>
      </c>
      <c r="K345" s="15">
        <v>41452</v>
      </c>
      <c r="L345" s="289">
        <v>636</v>
      </c>
      <c r="M345" s="15">
        <v>41375</v>
      </c>
      <c r="N345" s="24">
        <v>1</v>
      </c>
      <c r="O345" s="17">
        <v>86000</v>
      </c>
      <c r="P345" s="17">
        <v>86000</v>
      </c>
      <c r="Q345" s="17">
        <f t="shared" si="8"/>
        <v>0</v>
      </c>
      <c r="R345" s="285" t="s">
        <v>11</v>
      </c>
      <c r="S345" s="14">
        <v>41345</v>
      </c>
      <c r="T345" s="285">
        <v>1054</v>
      </c>
    </row>
    <row r="346" spans="1:20" ht="46.5" customHeight="1" x14ac:dyDescent="0.2">
      <c r="A346" s="21">
        <v>344</v>
      </c>
      <c r="B346" s="289" t="s">
        <v>4600</v>
      </c>
      <c r="C346" s="289"/>
      <c r="D346" s="9" t="s">
        <v>5916</v>
      </c>
      <c r="E346" s="22">
        <v>2013</v>
      </c>
      <c r="F346" s="26" t="s">
        <v>7025</v>
      </c>
      <c r="G346" s="285" t="s">
        <v>7981</v>
      </c>
      <c r="H346" s="285" t="s">
        <v>5127</v>
      </c>
      <c r="I346" s="289"/>
      <c r="J346" s="285" t="s">
        <v>3136</v>
      </c>
      <c r="K346" s="15">
        <v>41452</v>
      </c>
      <c r="L346" s="289">
        <v>636</v>
      </c>
      <c r="M346" s="15">
        <v>41375</v>
      </c>
      <c r="N346" s="24">
        <v>1</v>
      </c>
      <c r="O346" s="17">
        <v>30867.69</v>
      </c>
      <c r="P346" s="17">
        <v>30867.69</v>
      </c>
      <c r="Q346" s="17">
        <f t="shared" si="8"/>
        <v>0</v>
      </c>
      <c r="R346" s="285" t="s">
        <v>11</v>
      </c>
      <c r="S346" s="14">
        <v>41345</v>
      </c>
      <c r="T346" s="285">
        <v>1054</v>
      </c>
    </row>
    <row r="347" spans="1:20" ht="49.5" customHeight="1" x14ac:dyDescent="0.2">
      <c r="A347" s="21">
        <v>345</v>
      </c>
      <c r="B347" s="289" t="s">
        <v>3036</v>
      </c>
      <c r="C347" s="289"/>
      <c r="D347" s="9" t="s">
        <v>5824</v>
      </c>
      <c r="E347" s="22">
        <v>2013</v>
      </c>
      <c r="F347" s="26" t="s">
        <v>7026</v>
      </c>
      <c r="G347" s="285" t="s">
        <v>7981</v>
      </c>
      <c r="H347" s="285" t="s">
        <v>5127</v>
      </c>
      <c r="I347" s="289"/>
      <c r="J347" s="285" t="s">
        <v>3136</v>
      </c>
      <c r="K347" s="15">
        <v>41452</v>
      </c>
      <c r="L347" s="289">
        <v>636</v>
      </c>
      <c r="M347" s="15">
        <v>41375</v>
      </c>
      <c r="N347" s="24">
        <v>2</v>
      </c>
      <c r="O347" s="17">
        <v>13800</v>
      </c>
      <c r="P347" s="17">
        <v>13800</v>
      </c>
      <c r="Q347" s="17">
        <f t="shared" si="8"/>
        <v>0</v>
      </c>
      <c r="R347" s="285" t="s">
        <v>11</v>
      </c>
      <c r="S347" s="14">
        <v>41345</v>
      </c>
      <c r="T347" s="285">
        <v>1054</v>
      </c>
    </row>
    <row r="348" spans="1:20" ht="49.5" customHeight="1" x14ac:dyDescent="0.2">
      <c r="A348" s="21">
        <v>346</v>
      </c>
      <c r="B348" s="289" t="s">
        <v>3037</v>
      </c>
      <c r="C348" s="289"/>
      <c r="D348" s="9" t="s">
        <v>6107</v>
      </c>
      <c r="E348" s="22">
        <v>2013</v>
      </c>
      <c r="F348" s="13" t="s">
        <v>7027</v>
      </c>
      <c r="G348" s="285" t="s">
        <v>7981</v>
      </c>
      <c r="H348" s="285" t="s">
        <v>5127</v>
      </c>
      <c r="I348" s="289"/>
      <c r="J348" s="285" t="s">
        <v>3136</v>
      </c>
      <c r="K348" s="15">
        <v>41452</v>
      </c>
      <c r="L348" s="289">
        <v>636</v>
      </c>
      <c r="M348" s="15">
        <v>41375</v>
      </c>
      <c r="N348" s="24">
        <v>1</v>
      </c>
      <c r="O348" s="17">
        <v>32000</v>
      </c>
      <c r="P348" s="17">
        <v>32000</v>
      </c>
      <c r="Q348" s="17">
        <f t="shared" si="8"/>
        <v>0</v>
      </c>
      <c r="R348" s="285" t="s">
        <v>11</v>
      </c>
      <c r="S348" s="14">
        <v>41345</v>
      </c>
      <c r="T348" s="285">
        <v>1054</v>
      </c>
    </row>
    <row r="349" spans="1:20" ht="42.75" customHeight="1" x14ac:dyDescent="0.2">
      <c r="A349" s="21">
        <v>347</v>
      </c>
      <c r="B349" s="289" t="s">
        <v>3038</v>
      </c>
      <c r="C349" s="289"/>
      <c r="D349" s="9" t="s">
        <v>6381</v>
      </c>
      <c r="E349" s="22">
        <v>2013</v>
      </c>
      <c r="F349" s="13" t="s">
        <v>3352</v>
      </c>
      <c r="G349" s="285" t="s">
        <v>7981</v>
      </c>
      <c r="H349" s="285" t="s">
        <v>5127</v>
      </c>
      <c r="I349" s="289"/>
      <c r="J349" s="285" t="s">
        <v>3136</v>
      </c>
      <c r="K349" s="15">
        <v>41452</v>
      </c>
      <c r="L349" s="289">
        <v>636</v>
      </c>
      <c r="M349" s="15">
        <v>41375</v>
      </c>
      <c r="N349" s="24">
        <v>1</v>
      </c>
      <c r="O349" s="17">
        <v>20000</v>
      </c>
      <c r="P349" s="17">
        <v>20000</v>
      </c>
      <c r="Q349" s="17">
        <f t="shared" si="8"/>
        <v>0</v>
      </c>
      <c r="R349" s="285" t="s">
        <v>11</v>
      </c>
      <c r="S349" s="14">
        <v>41345</v>
      </c>
      <c r="T349" s="285">
        <v>1054</v>
      </c>
    </row>
    <row r="350" spans="1:20" ht="64.5" customHeight="1" x14ac:dyDescent="0.2">
      <c r="A350" s="21">
        <v>348</v>
      </c>
      <c r="B350" s="289" t="s">
        <v>3039</v>
      </c>
      <c r="C350" s="289"/>
      <c r="D350" s="9" t="s">
        <v>4904</v>
      </c>
      <c r="E350" s="22">
        <v>2013</v>
      </c>
      <c r="F350" s="26" t="s">
        <v>7028</v>
      </c>
      <c r="G350" s="285" t="s">
        <v>7981</v>
      </c>
      <c r="H350" s="285" t="s">
        <v>5127</v>
      </c>
      <c r="I350" s="289"/>
      <c r="J350" s="285" t="s">
        <v>3136</v>
      </c>
      <c r="K350" s="15">
        <v>41452</v>
      </c>
      <c r="L350" s="289">
        <v>636</v>
      </c>
      <c r="M350" s="15">
        <v>41375</v>
      </c>
      <c r="N350" s="24">
        <v>1</v>
      </c>
      <c r="O350" s="17">
        <v>37000</v>
      </c>
      <c r="P350" s="17">
        <v>37000</v>
      </c>
      <c r="Q350" s="17">
        <f t="shared" si="8"/>
        <v>0</v>
      </c>
      <c r="R350" s="285" t="s">
        <v>11</v>
      </c>
      <c r="S350" s="14">
        <v>41345</v>
      </c>
      <c r="T350" s="285">
        <v>1054</v>
      </c>
    </row>
    <row r="351" spans="1:20" ht="64.5" customHeight="1" x14ac:dyDescent="0.2">
      <c r="A351" s="21">
        <v>349</v>
      </c>
      <c r="B351" s="289" t="s">
        <v>3040</v>
      </c>
      <c r="C351" s="289"/>
      <c r="D351" s="9" t="s">
        <v>5313</v>
      </c>
      <c r="E351" s="22">
        <v>2013</v>
      </c>
      <c r="F351" s="26" t="s">
        <v>7029</v>
      </c>
      <c r="G351" s="285" t="s">
        <v>7981</v>
      </c>
      <c r="H351" s="285" t="s">
        <v>5127</v>
      </c>
      <c r="I351" s="289"/>
      <c r="J351" s="285" t="s">
        <v>3136</v>
      </c>
      <c r="K351" s="15">
        <v>41452</v>
      </c>
      <c r="L351" s="289">
        <v>636</v>
      </c>
      <c r="M351" s="15">
        <v>41375</v>
      </c>
      <c r="N351" s="24">
        <v>1</v>
      </c>
      <c r="O351" s="17">
        <v>26600</v>
      </c>
      <c r="P351" s="17">
        <v>26600</v>
      </c>
      <c r="Q351" s="17">
        <f t="shared" si="8"/>
        <v>0</v>
      </c>
      <c r="R351" s="285" t="s">
        <v>11</v>
      </c>
      <c r="S351" s="14">
        <v>41345</v>
      </c>
      <c r="T351" s="285">
        <v>1054</v>
      </c>
    </row>
    <row r="352" spans="1:20" ht="35.25" customHeight="1" x14ac:dyDescent="0.2">
      <c r="A352" s="21">
        <v>350</v>
      </c>
      <c r="B352" s="289" t="s">
        <v>3041</v>
      </c>
      <c r="C352" s="289"/>
      <c r="D352" s="9" t="s">
        <v>7033</v>
      </c>
      <c r="E352" s="22">
        <v>2013</v>
      </c>
      <c r="F352" s="76" t="s">
        <v>7030</v>
      </c>
      <c r="G352" s="285" t="s">
        <v>7981</v>
      </c>
      <c r="H352" s="285" t="s">
        <v>5127</v>
      </c>
      <c r="I352" s="289"/>
      <c r="J352" s="285" t="s">
        <v>3136</v>
      </c>
      <c r="K352" s="15">
        <v>41486</v>
      </c>
      <c r="L352" s="289">
        <v>718</v>
      </c>
      <c r="M352" s="15">
        <v>41486</v>
      </c>
      <c r="N352" s="24">
        <v>1</v>
      </c>
      <c r="O352" s="17">
        <v>556433.85</v>
      </c>
      <c r="P352" s="17">
        <v>556433.85</v>
      </c>
      <c r="Q352" s="17">
        <f t="shared" si="8"/>
        <v>0</v>
      </c>
      <c r="R352" s="285" t="s">
        <v>11</v>
      </c>
      <c r="S352" s="14">
        <v>41365</v>
      </c>
      <c r="T352" s="285">
        <v>1621</v>
      </c>
    </row>
    <row r="353" spans="1:20" ht="35.25" customHeight="1" x14ac:dyDescent="0.2">
      <c r="A353" s="21">
        <v>351</v>
      </c>
      <c r="B353" s="289" t="s">
        <v>3042</v>
      </c>
      <c r="C353" s="289"/>
      <c r="D353" s="9" t="s">
        <v>7032</v>
      </c>
      <c r="E353" s="22">
        <v>2013</v>
      </c>
      <c r="F353" s="26" t="s">
        <v>7031</v>
      </c>
      <c r="G353" s="285" t="s">
        <v>7981</v>
      </c>
      <c r="H353" s="285" t="s">
        <v>5127</v>
      </c>
      <c r="I353" s="289"/>
      <c r="J353" s="285" t="s">
        <v>3136</v>
      </c>
      <c r="K353" s="15">
        <v>41486</v>
      </c>
      <c r="L353" s="289">
        <v>718</v>
      </c>
      <c r="M353" s="15">
        <v>41486</v>
      </c>
      <c r="N353" s="24">
        <v>1</v>
      </c>
      <c r="O353" s="17">
        <v>152367.34</v>
      </c>
      <c r="P353" s="17">
        <v>152367.34</v>
      </c>
      <c r="Q353" s="17">
        <f t="shared" si="8"/>
        <v>0</v>
      </c>
      <c r="R353" s="285" t="s">
        <v>11</v>
      </c>
      <c r="S353" s="14">
        <v>41365</v>
      </c>
      <c r="T353" s="285">
        <v>1621</v>
      </c>
    </row>
    <row r="354" spans="1:20" ht="33" customHeight="1" x14ac:dyDescent="0.2">
      <c r="A354" s="21">
        <v>352</v>
      </c>
      <c r="B354" s="289" t="s">
        <v>3043</v>
      </c>
      <c r="C354" s="289"/>
      <c r="D354" s="9" t="s">
        <v>122</v>
      </c>
      <c r="E354" s="22">
        <v>2013</v>
      </c>
      <c r="F354" s="26" t="s">
        <v>6821</v>
      </c>
      <c r="G354" s="285" t="s">
        <v>7917</v>
      </c>
      <c r="H354" s="285" t="s">
        <v>5127</v>
      </c>
      <c r="I354" s="289"/>
      <c r="J354" s="285" t="s">
        <v>3136</v>
      </c>
      <c r="K354" s="15">
        <v>41486</v>
      </c>
      <c r="L354" s="289">
        <v>717</v>
      </c>
      <c r="M354" s="15">
        <v>41486</v>
      </c>
      <c r="N354" s="24">
        <v>1</v>
      </c>
      <c r="O354" s="17">
        <v>556433.85</v>
      </c>
      <c r="P354" s="17">
        <v>556433.85</v>
      </c>
      <c r="Q354" s="17">
        <f t="shared" si="8"/>
        <v>0</v>
      </c>
      <c r="R354" s="285" t="s">
        <v>6816</v>
      </c>
      <c r="S354" s="14">
        <v>41365</v>
      </c>
      <c r="T354" s="285">
        <v>1621</v>
      </c>
    </row>
    <row r="355" spans="1:20" ht="33" customHeight="1" x14ac:dyDescent="0.2">
      <c r="A355" s="21">
        <v>353</v>
      </c>
      <c r="B355" s="289" t="s">
        <v>3044</v>
      </c>
      <c r="C355" s="289"/>
      <c r="D355" s="9" t="s">
        <v>4144</v>
      </c>
      <c r="E355" s="22">
        <v>2013</v>
      </c>
      <c r="F355" s="26" t="s">
        <v>6817</v>
      </c>
      <c r="G355" s="285" t="s">
        <v>7917</v>
      </c>
      <c r="H355" s="285" t="s">
        <v>5127</v>
      </c>
      <c r="I355" s="289"/>
      <c r="J355" s="285" t="s">
        <v>3136</v>
      </c>
      <c r="K355" s="15">
        <v>41486</v>
      </c>
      <c r="L355" s="289">
        <v>717</v>
      </c>
      <c r="M355" s="15">
        <v>41486</v>
      </c>
      <c r="N355" s="24">
        <v>1</v>
      </c>
      <c r="O355" s="17">
        <v>312358.36</v>
      </c>
      <c r="P355" s="17">
        <v>312358.36</v>
      </c>
      <c r="Q355" s="17">
        <f t="shared" si="8"/>
        <v>0</v>
      </c>
      <c r="R355" s="285" t="s">
        <v>6816</v>
      </c>
      <c r="S355" s="14">
        <v>41365</v>
      </c>
      <c r="T355" s="285">
        <v>1621</v>
      </c>
    </row>
    <row r="356" spans="1:20" ht="49.5" customHeight="1" x14ac:dyDescent="0.2">
      <c r="A356" s="21">
        <v>354</v>
      </c>
      <c r="B356" s="289" t="s">
        <v>3306</v>
      </c>
      <c r="C356" s="289"/>
      <c r="D356" s="9" t="s">
        <v>4144</v>
      </c>
      <c r="E356" s="22">
        <v>2013</v>
      </c>
      <c r="F356" s="26" t="s">
        <v>6825</v>
      </c>
      <c r="G356" s="285" t="s">
        <v>7982</v>
      </c>
      <c r="H356" s="285" t="s">
        <v>5127</v>
      </c>
      <c r="I356" s="289"/>
      <c r="J356" s="285" t="s">
        <v>3136</v>
      </c>
      <c r="K356" s="15">
        <v>41486</v>
      </c>
      <c r="L356" s="289">
        <v>716</v>
      </c>
      <c r="M356" s="15">
        <v>41486</v>
      </c>
      <c r="N356" s="24">
        <v>1</v>
      </c>
      <c r="O356" s="17">
        <v>312358.36</v>
      </c>
      <c r="P356" s="17">
        <v>312358.36</v>
      </c>
      <c r="Q356" s="17">
        <f t="shared" si="8"/>
        <v>0</v>
      </c>
      <c r="R356" s="285" t="s">
        <v>11</v>
      </c>
      <c r="S356" s="14">
        <v>41365</v>
      </c>
      <c r="T356" s="285">
        <v>1621</v>
      </c>
    </row>
    <row r="357" spans="1:20" ht="98.25" customHeight="1" x14ac:dyDescent="0.2">
      <c r="A357" s="21">
        <v>355</v>
      </c>
      <c r="B357" s="289" t="s">
        <v>3307</v>
      </c>
      <c r="C357" s="289" t="s">
        <v>5274</v>
      </c>
      <c r="D357" s="13" t="s">
        <v>1559</v>
      </c>
      <c r="E357" s="22">
        <v>2013</v>
      </c>
      <c r="F357" s="76" t="s">
        <v>6822</v>
      </c>
      <c r="G357" s="285" t="s">
        <v>7917</v>
      </c>
      <c r="H357" s="285" t="s">
        <v>5127</v>
      </c>
      <c r="I357" s="289"/>
      <c r="J357" s="285" t="s">
        <v>3136</v>
      </c>
      <c r="K357" s="15">
        <v>41561</v>
      </c>
      <c r="L357" s="289">
        <v>989</v>
      </c>
      <c r="M357" s="15">
        <v>41312</v>
      </c>
      <c r="N357" s="24">
        <v>1</v>
      </c>
      <c r="O357" s="17">
        <v>221500</v>
      </c>
      <c r="P357" s="17">
        <v>221500</v>
      </c>
      <c r="Q357" s="17">
        <f t="shared" si="8"/>
        <v>0</v>
      </c>
      <c r="R357" s="285" t="s">
        <v>6816</v>
      </c>
      <c r="S357" s="14">
        <v>41309</v>
      </c>
      <c r="T357" s="285">
        <v>400</v>
      </c>
    </row>
    <row r="358" spans="1:20" ht="36.75" customHeight="1" x14ac:dyDescent="0.2">
      <c r="A358" s="21">
        <v>356</v>
      </c>
      <c r="B358" s="289" t="s">
        <v>3308</v>
      </c>
      <c r="C358" s="289" t="s">
        <v>5274</v>
      </c>
      <c r="D358" s="13" t="s">
        <v>4454</v>
      </c>
      <c r="E358" s="22">
        <v>2013</v>
      </c>
      <c r="F358" s="76" t="s">
        <v>6818</v>
      </c>
      <c r="G358" s="285" t="s">
        <v>7917</v>
      </c>
      <c r="H358" s="285" t="s">
        <v>5127</v>
      </c>
      <c r="I358" s="289"/>
      <c r="J358" s="285" t="s">
        <v>3136</v>
      </c>
      <c r="K358" s="15">
        <v>41561</v>
      </c>
      <c r="L358" s="289">
        <v>989</v>
      </c>
      <c r="M358" s="15">
        <v>41312</v>
      </c>
      <c r="N358" s="24">
        <v>1</v>
      </c>
      <c r="O358" s="17">
        <v>340824.8</v>
      </c>
      <c r="P358" s="17">
        <v>340824.8</v>
      </c>
      <c r="Q358" s="17">
        <f t="shared" si="8"/>
        <v>0</v>
      </c>
      <c r="R358" s="285" t="s">
        <v>6823</v>
      </c>
      <c r="S358" s="14">
        <v>41309</v>
      </c>
      <c r="T358" s="285">
        <v>400</v>
      </c>
    </row>
    <row r="359" spans="1:20" ht="35.25" customHeight="1" x14ac:dyDescent="0.2">
      <c r="A359" s="21">
        <v>357</v>
      </c>
      <c r="B359" s="289" t="s">
        <v>3309</v>
      </c>
      <c r="C359" s="289" t="s">
        <v>5274</v>
      </c>
      <c r="D359" s="13" t="s">
        <v>4455</v>
      </c>
      <c r="E359" s="22">
        <v>2013</v>
      </c>
      <c r="F359" s="76" t="s">
        <v>6819</v>
      </c>
      <c r="G359" s="285" t="s">
        <v>7917</v>
      </c>
      <c r="H359" s="285" t="s">
        <v>5127</v>
      </c>
      <c r="I359" s="289"/>
      <c r="J359" s="285" t="s">
        <v>3136</v>
      </c>
      <c r="K359" s="15">
        <v>41561</v>
      </c>
      <c r="L359" s="289">
        <v>989</v>
      </c>
      <c r="M359" s="15">
        <v>41312</v>
      </c>
      <c r="N359" s="24">
        <v>1</v>
      </c>
      <c r="O359" s="17">
        <v>286311</v>
      </c>
      <c r="P359" s="17">
        <v>286311</v>
      </c>
      <c r="Q359" s="17">
        <f t="shared" si="8"/>
        <v>0</v>
      </c>
      <c r="R359" s="285" t="s">
        <v>6816</v>
      </c>
      <c r="S359" s="14">
        <v>41309</v>
      </c>
      <c r="T359" s="285">
        <v>400</v>
      </c>
    </row>
    <row r="360" spans="1:20" ht="37.5" customHeight="1" x14ac:dyDescent="0.2">
      <c r="A360" s="21">
        <v>358</v>
      </c>
      <c r="B360" s="289" t="s">
        <v>3310</v>
      </c>
      <c r="C360" s="289" t="s">
        <v>5274</v>
      </c>
      <c r="D360" s="13" t="s">
        <v>4456</v>
      </c>
      <c r="E360" s="22">
        <v>2013</v>
      </c>
      <c r="F360" s="76" t="s">
        <v>6820</v>
      </c>
      <c r="G360" s="285" t="s">
        <v>7917</v>
      </c>
      <c r="H360" s="285" t="s">
        <v>5127</v>
      </c>
      <c r="I360" s="289"/>
      <c r="J360" s="285" t="s">
        <v>3136</v>
      </c>
      <c r="K360" s="15">
        <v>41561</v>
      </c>
      <c r="L360" s="289">
        <v>989</v>
      </c>
      <c r="M360" s="15">
        <v>41312</v>
      </c>
      <c r="N360" s="24">
        <v>1</v>
      </c>
      <c r="O360" s="17">
        <v>440712.5</v>
      </c>
      <c r="P360" s="17">
        <v>440712.5</v>
      </c>
      <c r="Q360" s="17">
        <f t="shared" si="8"/>
        <v>0</v>
      </c>
      <c r="R360" s="285" t="s">
        <v>6816</v>
      </c>
      <c r="S360" s="14">
        <v>41309</v>
      </c>
      <c r="T360" s="285">
        <v>400</v>
      </c>
    </row>
    <row r="361" spans="1:20" ht="46.5" customHeight="1" x14ac:dyDescent="0.2">
      <c r="A361" s="21">
        <v>359</v>
      </c>
      <c r="B361" s="289" t="s">
        <v>2854</v>
      </c>
      <c r="C361" s="289"/>
      <c r="D361" s="13" t="s">
        <v>1576</v>
      </c>
      <c r="E361" s="22">
        <v>2013</v>
      </c>
      <c r="F361" s="26" t="s">
        <v>7034</v>
      </c>
      <c r="G361" s="285" t="s">
        <v>7981</v>
      </c>
      <c r="H361" s="285" t="s">
        <v>5127</v>
      </c>
      <c r="I361" s="289"/>
      <c r="J361" s="285" t="s">
        <v>3136</v>
      </c>
      <c r="K361" s="15">
        <v>41561</v>
      </c>
      <c r="L361" s="289">
        <v>990</v>
      </c>
      <c r="M361" s="15">
        <v>41519</v>
      </c>
      <c r="N361" s="24">
        <v>1</v>
      </c>
      <c r="O361" s="17">
        <v>5500</v>
      </c>
      <c r="P361" s="17">
        <v>5500</v>
      </c>
      <c r="Q361" s="17">
        <f t="shared" si="8"/>
        <v>0</v>
      </c>
      <c r="R361" s="285" t="s">
        <v>5741</v>
      </c>
      <c r="S361" s="14">
        <v>41292</v>
      </c>
      <c r="T361" s="285">
        <v>110</v>
      </c>
    </row>
    <row r="362" spans="1:20" ht="50.25" customHeight="1" x14ac:dyDescent="0.2">
      <c r="A362" s="21">
        <v>360</v>
      </c>
      <c r="B362" s="289" t="s">
        <v>2855</v>
      </c>
      <c r="C362" s="289"/>
      <c r="D362" s="13" t="s">
        <v>1575</v>
      </c>
      <c r="E362" s="22">
        <v>2013</v>
      </c>
      <c r="F362" s="26"/>
      <c r="G362" s="285" t="s">
        <v>7981</v>
      </c>
      <c r="H362" s="285" t="s">
        <v>5127</v>
      </c>
      <c r="I362" s="289"/>
      <c r="J362" s="285" t="s">
        <v>3136</v>
      </c>
      <c r="K362" s="15">
        <v>41561</v>
      </c>
      <c r="L362" s="289">
        <v>990</v>
      </c>
      <c r="M362" s="15">
        <v>41519</v>
      </c>
      <c r="N362" s="24">
        <v>1</v>
      </c>
      <c r="O362" s="24">
        <v>2200</v>
      </c>
      <c r="P362" s="17">
        <v>2200</v>
      </c>
      <c r="Q362" s="17">
        <f t="shared" si="8"/>
        <v>0</v>
      </c>
      <c r="R362" s="285" t="s">
        <v>5741</v>
      </c>
      <c r="S362" s="14">
        <v>41292</v>
      </c>
      <c r="T362" s="285">
        <v>110</v>
      </c>
    </row>
    <row r="363" spans="1:20" ht="50.25" customHeight="1" x14ac:dyDescent="0.2">
      <c r="A363" s="21">
        <v>361</v>
      </c>
      <c r="B363" s="30" t="s">
        <v>2856</v>
      </c>
      <c r="C363" s="30"/>
      <c r="D363" s="13" t="s">
        <v>1123</v>
      </c>
      <c r="E363" s="22">
        <v>2013</v>
      </c>
      <c r="F363" s="26" t="s">
        <v>7035</v>
      </c>
      <c r="G363" s="285" t="s">
        <v>7981</v>
      </c>
      <c r="H363" s="285" t="s">
        <v>5127</v>
      </c>
      <c r="I363" s="289"/>
      <c r="J363" s="285" t="s">
        <v>3136</v>
      </c>
      <c r="K363" s="15">
        <v>41561</v>
      </c>
      <c r="L363" s="289">
        <v>990</v>
      </c>
      <c r="M363" s="15">
        <v>41519</v>
      </c>
      <c r="N363" s="24">
        <v>1</v>
      </c>
      <c r="O363" s="17">
        <v>3500</v>
      </c>
      <c r="P363" s="17">
        <v>3500</v>
      </c>
      <c r="Q363" s="17">
        <f t="shared" si="8"/>
        <v>0</v>
      </c>
      <c r="R363" s="285" t="s">
        <v>5741</v>
      </c>
      <c r="S363" s="14">
        <v>41292</v>
      </c>
      <c r="T363" s="285">
        <v>110</v>
      </c>
    </row>
    <row r="364" spans="1:20" ht="62.25" customHeight="1" x14ac:dyDescent="0.2">
      <c r="A364" s="21">
        <v>362</v>
      </c>
      <c r="B364" s="289" t="s">
        <v>1211</v>
      </c>
      <c r="C364" s="289"/>
      <c r="D364" s="13" t="s">
        <v>1577</v>
      </c>
      <c r="E364" s="22">
        <v>2013</v>
      </c>
      <c r="F364" s="26" t="s">
        <v>6819</v>
      </c>
      <c r="G364" s="285" t="s">
        <v>7981</v>
      </c>
      <c r="H364" s="285" t="s">
        <v>5127</v>
      </c>
      <c r="I364" s="289"/>
      <c r="J364" s="285" t="s">
        <v>3136</v>
      </c>
      <c r="K364" s="15">
        <v>41561</v>
      </c>
      <c r="L364" s="289">
        <v>990</v>
      </c>
      <c r="M364" s="15">
        <v>41519</v>
      </c>
      <c r="N364" s="24">
        <v>1</v>
      </c>
      <c r="O364" s="17">
        <v>6500</v>
      </c>
      <c r="P364" s="17">
        <v>6500</v>
      </c>
      <c r="Q364" s="17">
        <f t="shared" si="8"/>
        <v>0</v>
      </c>
      <c r="R364" s="285" t="s">
        <v>5741</v>
      </c>
      <c r="S364" s="14">
        <v>41292</v>
      </c>
      <c r="T364" s="285">
        <v>110</v>
      </c>
    </row>
    <row r="365" spans="1:20" ht="62.25" customHeight="1" x14ac:dyDescent="0.2">
      <c r="A365" s="21">
        <v>363</v>
      </c>
      <c r="B365" s="30" t="s">
        <v>1212</v>
      </c>
      <c r="C365" s="30"/>
      <c r="D365" s="47" t="s">
        <v>1578</v>
      </c>
      <c r="E365" s="22">
        <v>2013</v>
      </c>
      <c r="F365" s="26" t="s">
        <v>59</v>
      </c>
      <c r="G365" s="285" t="s">
        <v>7981</v>
      </c>
      <c r="H365" s="285" t="s">
        <v>5127</v>
      </c>
      <c r="I365" s="289"/>
      <c r="J365" s="285" t="s">
        <v>3136</v>
      </c>
      <c r="K365" s="15">
        <v>41561</v>
      </c>
      <c r="L365" s="289">
        <v>990</v>
      </c>
      <c r="M365" s="15">
        <v>41519</v>
      </c>
      <c r="N365" s="24">
        <v>1</v>
      </c>
      <c r="O365" s="17">
        <v>9000</v>
      </c>
      <c r="P365" s="17">
        <v>9000</v>
      </c>
      <c r="Q365" s="17">
        <f t="shared" si="8"/>
        <v>0</v>
      </c>
      <c r="R365" s="285" t="s">
        <v>5741</v>
      </c>
      <c r="S365" s="14">
        <v>41292</v>
      </c>
      <c r="T365" s="285">
        <v>110</v>
      </c>
    </row>
    <row r="366" spans="1:20" ht="72.75" customHeight="1" x14ac:dyDescent="0.2">
      <c r="A366" s="21">
        <v>364</v>
      </c>
      <c r="B366" s="289" t="s">
        <v>4365</v>
      </c>
      <c r="C366" s="289"/>
      <c r="D366" s="13" t="s">
        <v>1579</v>
      </c>
      <c r="E366" s="22">
        <v>2013</v>
      </c>
      <c r="F366" s="26"/>
      <c r="G366" s="285" t="s">
        <v>7981</v>
      </c>
      <c r="H366" s="285" t="s">
        <v>5127</v>
      </c>
      <c r="I366" s="289"/>
      <c r="J366" s="285" t="s">
        <v>3136</v>
      </c>
      <c r="K366" s="15">
        <v>41561</v>
      </c>
      <c r="L366" s="289">
        <v>990</v>
      </c>
      <c r="M366" s="15">
        <v>41519</v>
      </c>
      <c r="N366" s="24">
        <v>1</v>
      </c>
      <c r="O366" s="17">
        <v>1000</v>
      </c>
      <c r="P366" s="17">
        <v>1000</v>
      </c>
      <c r="Q366" s="17">
        <f t="shared" si="8"/>
        <v>0</v>
      </c>
      <c r="R366" s="285" t="s">
        <v>5741</v>
      </c>
      <c r="S366" s="14">
        <v>41292</v>
      </c>
      <c r="T366" s="285">
        <v>110</v>
      </c>
    </row>
    <row r="367" spans="1:20" ht="72.75" customHeight="1" x14ac:dyDescent="0.2">
      <c r="A367" s="21">
        <v>365</v>
      </c>
      <c r="B367" s="30" t="s">
        <v>4366</v>
      </c>
      <c r="C367" s="30"/>
      <c r="D367" s="13" t="s">
        <v>3827</v>
      </c>
      <c r="E367" s="22">
        <v>2013</v>
      </c>
      <c r="F367" s="76"/>
      <c r="G367" s="285" t="s">
        <v>7981</v>
      </c>
      <c r="H367" s="285" t="s">
        <v>5127</v>
      </c>
      <c r="I367" s="289"/>
      <c r="J367" s="285" t="s">
        <v>3136</v>
      </c>
      <c r="K367" s="15">
        <v>41561</v>
      </c>
      <c r="L367" s="289">
        <v>990</v>
      </c>
      <c r="M367" s="15">
        <v>41519</v>
      </c>
      <c r="N367" s="24">
        <v>1</v>
      </c>
      <c r="O367" s="17">
        <v>2234.5</v>
      </c>
      <c r="P367" s="17">
        <v>2234.5</v>
      </c>
      <c r="Q367" s="17">
        <f t="shared" si="8"/>
        <v>0</v>
      </c>
      <c r="R367" s="285" t="s">
        <v>5741</v>
      </c>
      <c r="S367" s="14">
        <v>41292</v>
      </c>
      <c r="T367" s="285">
        <v>110</v>
      </c>
    </row>
    <row r="368" spans="1:20" ht="39" customHeight="1" x14ac:dyDescent="0.2">
      <c r="A368" s="21">
        <v>366</v>
      </c>
      <c r="B368" s="289" t="s">
        <v>5398</v>
      </c>
      <c r="C368" s="289"/>
      <c r="D368" s="13" t="s">
        <v>1943</v>
      </c>
      <c r="E368" s="22">
        <v>2013</v>
      </c>
      <c r="F368" s="26"/>
      <c r="G368" s="285" t="s">
        <v>7981</v>
      </c>
      <c r="H368" s="285" t="s">
        <v>5127</v>
      </c>
      <c r="I368" s="289"/>
      <c r="J368" s="285" t="s">
        <v>3136</v>
      </c>
      <c r="K368" s="15">
        <v>41561</v>
      </c>
      <c r="L368" s="289">
        <v>990</v>
      </c>
      <c r="M368" s="15">
        <v>41519</v>
      </c>
      <c r="N368" s="24">
        <v>1</v>
      </c>
      <c r="O368" s="17">
        <v>3000</v>
      </c>
      <c r="P368" s="17">
        <v>3000</v>
      </c>
      <c r="Q368" s="17">
        <f t="shared" si="8"/>
        <v>0</v>
      </c>
      <c r="R368" s="285" t="s">
        <v>5741</v>
      </c>
      <c r="S368" s="14">
        <v>41292</v>
      </c>
      <c r="T368" s="285">
        <v>110</v>
      </c>
    </row>
    <row r="369" spans="1:20" ht="55.5" customHeight="1" x14ac:dyDescent="0.2">
      <c r="A369" s="21">
        <v>367</v>
      </c>
      <c r="B369" s="30" t="s">
        <v>5399</v>
      </c>
      <c r="C369" s="30"/>
      <c r="D369" s="13" t="s">
        <v>1740</v>
      </c>
      <c r="E369" s="22">
        <v>2013</v>
      </c>
      <c r="F369" s="76" t="s">
        <v>6824</v>
      </c>
      <c r="G369" s="285" t="s">
        <v>7917</v>
      </c>
      <c r="H369" s="285" t="s">
        <v>5127</v>
      </c>
      <c r="I369" s="289"/>
      <c r="J369" s="285" t="s">
        <v>3136</v>
      </c>
      <c r="K369" s="15">
        <v>41561</v>
      </c>
      <c r="L369" s="289">
        <v>990</v>
      </c>
      <c r="M369" s="15">
        <v>41519</v>
      </c>
      <c r="N369" s="24">
        <v>1</v>
      </c>
      <c r="O369" s="17">
        <v>6200</v>
      </c>
      <c r="P369" s="17">
        <v>6200</v>
      </c>
      <c r="Q369" s="17">
        <f t="shared" si="8"/>
        <v>0</v>
      </c>
      <c r="R369" s="285" t="s">
        <v>6816</v>
      </c>
      <c r="S369" s="14">
        <v>41292</v>
      </c>
      <c r="T369" s="285">
        <v>110</v>
      </c>
    </row>
    <row r="370" spans="1:20" ht="39" customHeight="1" x14ac:dyDescent="0.2">
      <c r="A370" s="21">
        <v>368</v>
      </c>
      <c r="B370" s="289" t="s">
        <v>5893</v>
      </c>
      <c r="C370" s="289"/>
      <c r="D370" s="13" t="s">
        <v>1576</v>
      </c>
      <c r="E370" s="22">
        <v>2013</v>
      </c>
      <c r="F370" s="26" t="s">
        <v>6825</v>
      </c>
      <c r="G370" s="285" t="s">
        <v>7917</v>
      </c>
      <c r="H370" s="285" t="s">
        <v>5127</v>
      </c>
      <c r="I370" s="289"/>
      <c r="J370" s="285" t="s">
        <v>3136</v>
      </c>
      <c r="K370" s="15">
        <v>41561</v>
      </c>
      <c r="L370" s="289">
        <v>990</v>
      </c>
      <c r="M370" s="15">
        <v>41519</v>
      </c>
      <c r="N370" s="24">
        <v>1</v>
      </c>
      <c r="O370" s="17">
        <v>5500</v>
      </c>
      <c r="P370" s="17">
        <v>5500</v>
      </c>
      <c r="Q370" s="17">
        <f t="shared" si="8"/>
        <v>0</v>
      </c>
      <c r="R370" s="285" t="s">
        <v>6816</v>
      </c>
      <c r="S370" s="14">
        <v>41292</v>
      </c>
      <c r="T370" s="285">
        <v>110</v>
      </c>
    </row>
    <row r="371" spans="1:20" ht="34.5" customHeight="1" x14ac:dyDescent="0.2">
      <c r="A371" s="21">
        <v>369</v>
      </c>
      <c r="B371" s="30" t="s">
        <v>5894</v>
      </c>
      <c r="C371" s="30"/>
      <c r="D371" s="13" t="s">
        <v>1575</v>
      </c>
      <c r="E371" s="22">
        <v>2013</v>
      </c>
      <c r="F371" s="26"/>
      <c r="G371" s="285" t="s">
        <v>7917</v>
      </c>
      <c r="H371" s="285" t="s">
        <v>5127</v>
      </c>
      <c r="I371" s="289"/>
      <c r="J371" s="285" t="s">
        <v>3136</v>
      </c>
      <c r="K371" s="15">
        <v>41561</v>
      </c>
      <c r="L371" s="289">
        <v>990</v>
      </c>
      <c r="M371" s="15">
        <v>41519</v>
      </c>
      <c r="N371" s="24">
        <v>1</v>
      </c>
      <c r="O371" s="17">
        <v>2200</v>
      </c>
      <c r="P371" s="17">
        <v>2200</v>
      </c>
      <c r="Q371" s="17">
        <f t="shared" si="8"/>
        <v>0</v>
      </c>
      <c r="R371" s="285" t="s">
        <v>5741</v>
      </c>
      <c r="S371" s="14">
        <v>41292</v>
      </c>
      <c r="T371" s="285">
        <v>110</v>
      </c>
    </row>
    <row r="372" spans="1:20" ht="34.5" customHeight="1" x14ac:dyDescent="0.2">
      <c r="A372" s="21">
        <v>370</v>
      </c>
      <c r="B372" s="289" t="s">
        <v>5044</v>
      </c>
      <c r="C372" s="289"/>
      <c r="D372" s="13" t="s">
        <v>5613</v>
      </c>
      <c r="E372" s="22">
        <v>2013</v>
      </c>
      <c r="F372" s="26" t="s">
        <v>6826</v>
      </c>
      <c r="G372" s="285" t="s">
        <v>7917</v>
      </c>
      <c r="H372" s="285" t="s">
        <v>5127</v>
      </c>
      <c r="I372" s="289"/>
      <c r="J372" s="285" t="s">
        <v>3136</v>
      </c>
      <c r="K372" s="15">
        <v>41561</v>
      </c>
      <c r="L372" s="289">
        <v>990</v>
      </c>
      <c r="M372" s="15">
        <v>41519</v>
      </c>
      <c r="N372" s="24">
        <v>1</v>
      </c>
      <c r="O372" s="17">
        <v>3500</v>
      </c>
      <c r="P372" s="17">
        <v>3500</v>
      </c>
      <c r="Q372" s="17">
        <f t="shared" si="8"/>
        <v>0</v>
      </c>
      <c r="R372" s="285" t="s">
        <v>5741</v>
      </c>
      <c r="S372" s="14">
        <v>41292</v>
      </c>
      <c r="T372" s="285">
        <v>110</v>
      </c>
    </row>
    <row r="373" spans="1:20" ht="41.25" customHeight="1" x14ac:dyDescent="0.2">
      <c r="A373" s="21">
        <v>371</v>
      </c>
      <c r="B373" s="289" t="s">
        <v>4084</v>
      </c>
      <c r="C373" s="289"/>
      <c r="D373" s="13" t="s">
        <v>1577</v>
      </c>
      <c r="E373" s="22">
        <v>2013</v>
      </c>
      <c r="F373" s="26" t="s">
        <v>6827</v>
      </c>
      <c r="G373" s="285" t="s">
        <v>7917</v>
      </c>
      <c r="H373" s="285" t="s">
        <v>5127</v>
      </c>
      <c r="I373" s="289"/>
      <c r="J373" s="285" t="s">
        <v>3136</v>
      </c>
      <c r="K373" s="15">
        <v>41561</v>
      </c>
      <c r="L373" s="289">
        <v>990</v>
      </c>
      <c r="M373" s="15">
        <v>41519</v>
      </c>
      <c r="N373" s="24">
        <v>1</v>
      </c>
      <c r="O373" s="17">
        <v>6500</v>
      </c>
      <c r="P373" s="17">
        <v>6500</v>
      </c>
      <c r="Q373" s="17">
        <f t="shared" si="8"/>
        <v>0</v>
      </c>
      <c r="R373" s="285" t="s">
        <v>5741</v>
      </c>
      <c r="S373" s="14">
        <v>41292</v>
      </c>
      <c r="T373" s="285">
        <v>110</v>
      </c>
    </row>
    <row r="374" spans="1:20" ht="41.25" customHeight="1" x14ac:dyDescent="0.2">
      <c r="A374" s="21">
        <v>372</v>
      </c>
      <c r="B374" s="30" t="s">
        <v>4083</v>
      </c>
      <c r="C374" s="30"/>
      <c r="D374" s="13" t="s">
        <v>1578</v>
      </c>
      <c r="E374" s="22">
        <v>2013</v>
      </c>
      <c r="F374" s="26" t="s">
        <v>6828</v>
      </c>
      <c r="G374" s="285" t="s">
        <v>7917</v>
      </c>
      <c r="H374" s="285" t="s">
        <v>5127</v>
      </c>
      <c r="I374" s="289"/>
      <c r="J374" s="285" t="s">
        <v>3136</v>
      </c>
      <c r="K374" s="15">
        <v>41561</v>
      </c>
      <c r="L374" s="289">
        <v>990</v>
      </c>
      <c r="M374" s="15">
        <v>41519</v>
      </c>
      <c r="N374" s="24">
        <v>1</v>
      </c>
      <c r="O374" s="17">
        <v>9000</v>
      </c>
      <c r="P374" s="17">
        <v>9000</v>
      </c>
      <c r="Q374" s="17">
        <f t="shared" si="8"/>
        <v>0</v>
      </c>
      <c r="R374" s="285" t="s">
        <v>5741</v>
      </c>
      <c r="S374" s="14">
        <v>41292</v>
      </c>
      <c r="T374" s="285">
        <v>110</v>
      </c>
    </row>
    <row r="375" spans="1:20" ht="42.75" customHeight="1" x14ac:dyDescent="0.2">
      <c r="A375" s="21">
        <v>373</v>
      </c>
      <c r="B375" s="289" t="s">
        <v>4082</v>
      </c>
      <c r="C375" s="289"/>
      <c r="D375" s="13" t="s">
        <v>1579</v>
      </c>
      <c r="E375" s="22">
        <v>2013</v>
      </c>
      <c r="F375" s="26"/>
      <c r="G375" s="285" t="s">
        <v>7917</v>
      </c>
      <c r="H375" s="285" t="s">
        <v>5127</v>
      </c>
      <c r="I375" s="289"/>
      <c r="J375" s="285" t="s">
        <v>3136</v>
      </c>
      <c r="K375" s="15">
        <v>41561</v>
      </c>
      <c r="L375" s="289">
        <v>990</v>
      </c>
      <c r="M375" s="15">
        <v>41519</v>
      </c>
      <c r="N375" s="24">
        <v>1</v>
      </c>
      <c r="O375" s="17">
        <v>1000</v>
      </c>
      <c r="P375" s="17">
        <v>1000</v>
      </c>
      <c r="Q375" s="17">
        <f t="shared" si="8"/>
        <v>0</v>
      </c>
      <c r="R375" s="285" t="s">
        <v>5741</v>
      </c>
      <c r="S375" s="14">
        <v>41292</v>
      </c>
      <c r="T375" s="285">
        <v>110</v>
      </c>
    </row>
    <row r="376" spans="1:20" ht="42.75" customHeight="1" x14ac:dyDescent="0.2">
      <c r="A376" s="21">
        <v>374</v>
      </c>
      <c r="B376" s="30" t="s">
        <v>4081</v>
      </c>
      <c r="C376" s="30"/>
      <c r="D376" s="13" t="s">
        <v>3827</v>
      </c>
      <c r="E376" s="22">
        <v>2013</v>
      </c>
      <c r="F376" s="76"/>
      <c r="G376" s="285" t="s">
        <v>7917</v>
      </c>
      <c r="H376" s="285" t="s">
        <v>5127</v>
      </c>
      <c r="I376" s="289"/>
      <c r="J376" s="285" t="s">
        <v>3136</v>
      </c>
      <c r="K376" s="15">
        <v>41561</v>
      </c>
      <c r="L376" s="289">
        <v>990</v>
      </c>
      <c r="M376" s="15">
        <v>41519</v>
      </c>
      <c r="N376" s="24">
        <v>1</v>
      </c>
      <c r="O376" s="17">
        <v>2234.5</v>
      </c>
      <c r="P376" s="17">
        <v>2234.5</v>
      </c>
      <c r="Q376" s="17">
        <f t="shared" si="8"/>
        <v>0</v>
      </c>
      <c r="R376" s="285" t="s">
        <v>5741</v>
      </c>
      <c r="S376" s="14">
        <v>41292</v>
      </c>
      <c r="T376" s="285">
        <v>110</v>
      </c>
    </row>
    <row r="377" spans="1:20" ht="37.5" customHeight="1" x14ac:dyDescent="0.2">
      <c r="A377" s="21">
        <v>375</v>
      </c>
      <c r="B377" s="289" t="s">
        <v>5945</v>
      </c>
      <c r="C377" s="289"/>
      <c r="D377" s="13" t="s">
        <v>1943</v>
      </c>
      <c r="E377" s="22">
        <v>2013</v>
      </c>
      <c r="F377" s="26"/>
      <c r="G377" s="285" t="s">
        <v>7917</v>
      </c>
      <c r="H377" s="285" t="s">
        <v>5127</v>
      </c>
      <c r="I377" s="289"/>
      <c r="J377" s="285" t="s">
        <v>3136</v>
      </c>
      <c r="K377" s="15">
        <v>41561</v>
      </c>
      <c r="L377" s="289">
        <v>990</v>
      </c>
      <c r="M377" s="15">
        <v>41519</v>
      </c>
      <c r="N377" s="24">
        <v>1</v>
      </c>
      <c r="O377" s="17">
        <v>3000</v>
      </c>
      <c r="P377" s="17">
        <v>3000</v>
      </c>
      <c r="Q377" s="17">
        <f t="shared" si="8"/>
        <v>0</v>
      </c>
      <c r="R377" s="285" t="s">
        <v>5741</v>
      </c>
      <c r="S377" s="14">
        <v>41292</v>
      </c>
      <c r="T377" s="285">
        <v>110</v>
      </c>
    </row>
    <row r="378" spans="1:20" ht="37.5" customHeight="1" x14ac:dyDescent="0.2">
      <c r="A378" s="21">
        <v>376</v>
      </c>
      <c r="B378" s="30" t="s">
        <v>3371</v>
      </c>
      <c r="C378" s="30"/>
      <c r="D378" s="13" t="s">
        <v>1576</v>
      </c>
      <c r="E378" s="22">
        <v>2013</v>
      </c>
      <c r="F378" s="26" t="s">
        <v>6912</v>
      </c>
      <c r="G378" s="285" t="s">
        <v>7982</v>
      </c>
      <c r="H378" s="285" t="s">
        <v>5127</v>
      </c>
      <c r="I378" s="289"/>
      <c r="J378" s="285" t="s">
        <v>3136</v>
      </c>
      <c r="K378" s="15">
        <v>41561</v>
      </c>
      <c r="L378" s="289">
        <v>990</v>
      </c>
      <c r="M378" s="15">
        <v>41519</v>
      </c>
      <c r="N378" s="24">
        <v>1</v>
      </c>
      <c r="O378" s="17">
        <v>5500</v>
      </c>
      <c r="P378" s="17">
        <v>5500</v>
      </c>
      <c r="Q378" s="17">
        <f t="shared" si="8"/>
        <v>0</v>
      </c>
      <c r="R378" s="285" t="s">
        <v>5741</v>
      </c>
      <c r="S378" s="14">
        <v>41292</v>
      </c>
      <c r="T378" s="285">
        <v>110</v>
      </c>
    </row>
    <row r="379" spans="1:20" ht="36.75" customHeight="1" x14ac:dyDescent="0.2">
      <c r="A379" s="21">
        <v>377</v>
      </c>
      <c r="B379" s="289" t="s">
        <v>3367</v>
      </c>
      <c r="C379" s="289"/>
      <c r="D379" s="13" t="s">
        <v>1575</v>
      </c>
      <c r="E379" s="22">
        <v>2013</v>
      </c>
      <c r="F379" s="26"/>
      <c r="G379" s="285" t="s">
        <v>7982</v>
      </c>
      <c r="H379" s="285" t="s">
        <v>5127</v>
      </c>
      <c r="I379" s="289"/>
      <c r="J379" s="285" t="s">
        <v>3136</v>
      </c>
      <c r="K379" s="15">
        <v>41561</v>
      </c>
      <c r="L379" s="289">
        <v>990</v>
      </c>
      <c r="M379" s="15">
        <v>41519</v>
      </c>
      <c r="N379" s="24">
        <v>1</v>
      </c>
      <c r="O379" s="17">
        <v>2200</v>
      </c>
      <c r="P379" s="17">
        <v>2200</v>
      </c>
      <c r="Q379" s="17">
        <f t="shared" si="8"/>
        <v>0</v>
      </c>
      <c r="R379" s="285" t="s">
        <v>5741</v>
      </c>
      <c r="S379" s="14">
        <v>41292</v>
      </c>
      <c r="T379" s="285">
        <v>110</v>
      </c>
    </row>
    <row r="380" spans="1:20" ht="36.75" customHeight="1" x14ac:dyDescent="0.2">
      <c r="A380" s="21">
        <v>378</v>
      </c>
      <c r="B380" s="30" t="s">
        <v>3370</v>
      </c>
      <c r="C380" s="30"/>
      <c r="D380" s="13" t="s">
        <v>5613</v>
      </c>
      <c r="E380" s="22">
        <v>2013</v>
      </c>
      <c r="F380" s="26" t="s">
        <v>6913</v>
      </c>
      <c r="G380" s="285" t="s">
        <v>7982</v>
      </c>
      <c r="H380" s="285" t="s">
        <v>5127</v>
      </c>
      <c r="I380" s="289"/>
      <c r="J380" s="285" t="s">
        <v>3136</v>
      </c>
      <c r="K380" s="15">
        <v>41561</v>
      </c>
      <c r="L380" s="289">
        <v>990</v>
      </c>
      <c r="M380" s="15">
        <v>41519</v>
      </c>
      <c r="N380" s="24">
        <v>1</v>
      </c>
      <c r="O380" s="17">
        <v>3500</v>
      </c>
      <c r="P380" s="17">
        <v>3500</v>
      </c>
      <c r="Q380" s="17">
        <f t="shared" si="8"/>
        <v>0</v>
      </c>
      <c r="R380" s="285" t="s">
        <v>5741</v>
      </c>
      <c r="S380" s="14">
        <v>41292</v>
      </c>
      <c r="T380" s="285">
        <v>110</v>
      </c>
    </row>
    <row r="381" spans="1:20" ht="75.75" customHeight="1" x14ac:dyDescent="0.2">
      <c r="A381" s="21">
        <v>379</v>
      </c>
      <c r="B381" s="289" t="s">
        <v>3372</v>
      </c>
      <c r="C381" s="289"/>
      <c r="D381" s="13" t="s">
        <v>1577</v>
      </c>
      <c r="E381" s="22">
        <v>2013</v>
      </c>
      <c r="F381" s="26" t="s">
        <v>6819</v>
      </c>
      <c r="G381" s="285" t="s">
        <v>7982</v>
      </c>
      <c r="H381" s="285" t="s">
        <v>5127</v>
      </c>
      <c r="I381" s="289"/>
      <c r="J381" s="285" t="s">
        <v>3136</v>
      </c>
      <c r="K381" s="15">
        <v>41561</v>
      </c>
      <c r="L381" s="289">
        <v>990</v>
      </c>
      <c r="M381" s="15">
        <v>41519</v>
      </c>
      <c r="N381" s="24">
        <v>1</v>
      </c>
      <c r="O381" s="17">
        <v>6500</v>
      </c>
      <c r="P381" s="17">
        <v>6500</v>
      </c>
      <c r="Q381" s="17">
        <f t="shared" si="8"/>
        <v>0</v>
      </c>
      <c r="R381" s="285" t="s">
        <v>5741</v>
      </c>
      <c r="S381" s="14">
        <v>41292</v>
      </c>
      <c r="T381" s="285">
        <v>110</v>
      </c>
    </row>
    <row r="382" spans="1:20" ht="77.25" customHeight="1" x14ac:dyDescent="0.2">
      <c r="A382" s="21">
        <v>380</v>
      </c>
      <c r="B382" s="30" t="s">
        <v>3373</v>
      </c>
      <c r="C382" s="30"/>
      <c r="D382" s="13" t="s">
        <v>1578</v>
      </c>
      <c r="E382" s="22">
        <v>2013</v>
      </c>
      <c r="F382" s="26" t="s">
        <v>59</v>
      </c>
      <c r="G382" s="285" t="s">
        <v>7982</v>
      </c>
      <c r="H382" s="285" t="s">
        <v>5127</v>
      </c>
      <c r="I382" s="289"/>
      <c r="J382" s="285" t="s">
        <v>3136</v>
      </c>
      <c r="K382" s="15">
        <v>41561</v>
      </c>
      <c r="L382" s="289">
        <v>990</v>
      </c>
      <c r="M382" s="15">
        <v>41519</v>
      </c>
      <c r="N382" s="24">
        <v>1</v>
      </c>
      <c r="O382" s="17">
        <v>9000</v>
      </c>
      <c r="P382" s="17">
        <v>9000</v>
      </c>
      <c r="Q382" s="17">
        <f t="shared" si="8"/>
        <v>0</v>
      </c>
      <c r="R382" s="285" t="s">
        <v>5741</v>
      </c>
      <c r="S382" s="14">
        <v>41292</v>
      </c>
      <c r="T382" s="285">
        <v>110</v>
      </c>
    </row>
    <row r="383" spans="1:20" ht="45" customHeight="1" x14ac:dyDescent="0.2">
      <c r="A383" s="21">
        <v>381</v>
      </c>
      <c r="B383" s="289" t="s">
        <v>5944</v>
      </c>
      <c r="C383" s="289"/>
      <c r="D383" s="13" t="s">
        <v>1579</v>
      </c>
      <c r="E383" s="22">
        <v>2013</v>
      </c>
      <c r="F383" s="26"/>
      <c r="G383" s="285" t="s">
        <v>7982</v>
      </c>
      <c r="H383" s="285" t="s">
        <v>5127</v>
      </c>
      <c r="I383" s="289"/>
      <c r="J383" s="285" t="s">
        <v>3136</v>
      </c>
      <c r="K383" s="15">
        <v>41561</v>
      </c>
      <c r="L383" s="289">
        <v>990</v>
      </c>
      <c r="M383" s="15">
        <v>41519</v>
      </c>
      <c r="N383" s="24">
        <v>1</v>
      </c>
      <c r="O383" s="17">
        <v>1000</v>
      </c>
      <c r="P383" s="17">
        <v>1000</v>
      </c>
      <c r="Q383" s="17">
        <f t="shared" si="8"/>
        <v>0</v>
      </c>
      <c r="R383" s="285" t="s">
        <v>5741</v>
      </c>
      <c r="S383" s="14">
        <v>41292</v>
      </c>
      <c r="T383" s="285">
        <v>110</v>
      </c>
    </row>
    <row r="384" spans="1:20" ht="45" customHeight="1" x14ac:dyDescent="0.2">
      <c r="A384" s="21">
        <v>382</v>
      </c>
      <c r="B384" s="289" t="s">
        <v>3368</v>
      </c>
      <c r="C384" s="289"/>
      <c r="D384" s="13" t="s">
        <v>3827</v>
      </c>
      <c r="E384" s="22">
        <v>2013</v>
      </c>
      <c r="F384" s="76" t="s">
        <v>6914</v>
      </c>
      <c r="G384" s="285" t="s">
        <v>7982</v>
      </c>
      <c r="H384" s="285" t="s">
        <v>5127</v>
      </c>
      <c r="I384" s="289"/>
      <c r="J384" s="285" t="s">
        <v>3136</v>
      </c>
      <c r="K384" s="15">
        <v>41561</v>
      </c>
      <c r="L384" s="289">
        <v>990</v>
      </c>
      <c r="M384" s="15">
        <v>41519</v>
      </c>
      <c r="N384" s="24">
        <v>1</v>
      </c>
      <c r="O384" s="17">
        <v>2234.5</v>
      </c>
      <c r="P384" s="17">
        <v>2234.5</v>
      </c>
      <c r="Q384" s="17">
        <f t="shared" si="8"/>
        <v>0</v>
      </c>
      <c r="R384" s="285" t="s">
        <v>5741</v>
      </c>
      <c r="S384" s="14">
        <v>41292</v>
      </c>
      <c r="T384" s="285">
        <v>110</v>
      </c>
    </row>
    <row r="385" spans="1:20" ht="45" customHeight="1" x14ac:dyDescent="0.2">
      <c r="A385" s="21">
        <v>383</v>
      </c>
      <c r="B385" s="289" t="s">
        <v>3369</v>
      </c>
      <c r="C385" s="289"/>
      <c r="D385" s="13" t="s">
        <v>987</v>
      </c>
      <c r="E385" s="22">
        <v>2013</v>
      </c>
      <c r="F385" s="26"/>
      <c r="G385" s="285" t="s">
        <v>7982</v>
      </c>
      <c r="H385" s="285" t="s">
        <v>5127</v>
      </c>
      <c r="I385" s="289"/>
      <c r="J385" s="285" t="s">
        <v>3136</v>
      </c>
      <c r="K385" s="15">
        <v>41561</v>
      </c>
      <c r="L385" s="289">
        <v>990</v>
      </c>
      <c r="M385" s="15">
        <v>41519</v>
      </c>
      <c r="N385" s="24">
        <v>1</v>
      </c>
      <c r="O385" s="17">
        <v>3000</v>
      </c>
      <c r="P385" s="17">
        <v>3000</v>
      </c>
      <c r="Q385" s="17">
        <f t="shared" si="8"/>
        <v>0</v>
      </c>
      <c r="R385" s="285" t="s">
        <v>5741</v>
      </c>
      <c r="S385" s="14">
        <v>41292</v>
      </c>
      <c r="T385" s="285">
        <v>110</v>
      </c>
    </row>
    <row r="386" spans="1:20" ht="39.75" customHeight="1" x14ac:dyDescent="0.2">
      <c r="A386" s="21">
        <v>384</v>
      </c>
      <c r="B386" s="289" t="s">
        <v>5045</v>
      </c>
      <c r="C386" s="289"/>
      <c r="D386" s="13" t="s">
        <v>1667</v>
      </c>
      <c r="E386" s="22">
        <v>2013</v>
      </c>
      <c r="F386" s="26" t="s">
        <v>6829</v>
      </c>
      <c r="G386" s="285" t="s">
        <v>7917</v>
      </c>
      <c r="H386" s="285" t="s">
        <v>5127</v>
      </c>
      <c r="I386" s="289"/>
      <c r="J386" s="285" t="s">
        <v>3136</v>
      </c>
      <c r="K386" s="15">
        <v>41604</v>
      </c>
      <c r="L386" s="289">
        <v>1138</v>
      </c>
      <c r="M386" s="15">
        <v>41564</v>
      </c>
      <c r="N386" s="24">
        <v>4</v>
      </c>
      <c r="O386" s="17">
        <v>109094.39999999999</v>
      </c>
      <c r="P386" s="17">
        <v>109094.39999999999</v>
      </c>
      <c r="Q386" s="17">
        <f t="shared" si="8"/>
        <v>0</v>
      </c>
      <c r="R386" s="285" t="s">
        <v>5741</v>
      </c>
      <c r="S386" s="14">
        <v>41564</v>
      </c>
      <c r="T386" s="285">
        <v>4373</v>
      </c>
    </row>
    <row r="387" spans="1:20" ht="39.75" customHeight="1" x14ac:dyDescent="0.2">
      <c r="A387" s="21">
        <v>385</v>
      </c>
      <c r="B387" s="289" t="s">
        <v>4049</v>
      </c>
      <c r="C387" s="289"/>
      <c r="D387" s="13" t="s">
        <v>4963</v>
      </c>
      <c r="E387" s="22">
        <v>2013</v>
      </c>
      <c r="F387" s="26" t="s">
        <v>6830</v>
      </c>
      <c r="G387" s="285" t="s">
        <v>7917</v>
      </c>
      <c r="H387" s="285" t="s">
        <v>5127</v>
      </c>
      <c r="I387" s="289"/>
      <c r="J387" s="285" t="s">
        <v>3136</v>
      </c>
      <c r="K387" s="15">
        <v>41604</v>
      </c>
      <c r="L387" s="289">
        <v>1138</v>
      </c>
      <c r="M387" s="15">
        <v>41564</v>
      </c>
      <c r="N387" s="24">
        <v>1</v>
      </c>
      <c r="O387" s="17">
        <v>6597</v>
      </c>
      <c r="P387" s="17">
        <v>6597</v>
      </c>
      <c r="Q387" s="17">
        <f t="shared" ref="Q387:Q450" si="9">O387-P387</f>
        <v>0</v>
      </c>
      <c r="R387" s="285" t="s">
        <v>5741</v>
      </c>
      <c r="S387" s="14">
        <v>41564</v>
      </c>
      <c r="T387" s="285">
        <v>4373</v>
      </c>
    </row>
    <row r="388" spans="1:20" ht="39" customHeight="1" x14ac:dyDescent="0.2">
      <c r="A388" s="21">
        <v>386</v>
      </c>
      <c r="B388" s="289" t="s">
        <v>4050</v>
      </c>
      <c r="C388" s="289"/>
      <c r="D388" s="13" t="s">
        <v>1512</v>
      </c>
      <c r="E388" s="22">
        <v>2013</v>
      </c>
      <c r="F388" s="26" t="s">
        <v>3437</v>
      </c>
      <c r="G388" s="285" t="s">
        <v>8293</v>
      </c>
      <c r="H388" s="285" t="s">
        <v>5127</v>
      </c>
      <c r="I388" s="289"/>
      <c r="J388" s="285"/>
      <c r="K388" s="289"/>
      <c r="L388" s="289"/>
      <c r="M388" s="15">
        <v>41631</v>
      </c>
      <c r="N388" s="24">
        <v>1</v>
      </c>
      <c r="O388" s="17">
        <v>32500</v>
      </c>
      <c r="P388" s="17">
        <v>32500</v>
      </c>
      <c r="Q388" s="17">
        <f t="shared" si="9"/>
        <v>0</v>
      </c>
      <c r="R388" s="285" t="s">
        <v>5742</v>
      </c>
      <c r="S388" s="14">
        <v>41639</v>
      </c>
      <c r="T388" s="285">
        <v>261</v>
      </c>
    </row>
    <row r="389" spans="1:20" ht="39" customHeight="1" x14ac:dyDescent="0.2">
      <c r="A389" s="21">
        <v>387</v>
      </c>
      <c r="B389" s="30" t="s">
        <v>4051</v>
      </c>
      <c r="C389" s="30"/>
      <c r="D389" s="13" t="s">
        <v>3946</v>
      </c>
      <c r="E389" s="22">
        <v>2013</v>
      </c>
      <c r="F389" s="26" t="s">
        <v>4845</v>
      </c>
      <c r="G389" s="285" t="s">
        <v>8293</v>
      </c>
      <c r="H389" s="285" t="s">
        <v>5127</v>
      </c>
      <c r="I389" s="289"/>
      <c r="J389" s="285"/>
      <c r="K389" s="289"/>
      <c r="L389" s="289"/>
      <c r="M389" s="15">
        <v>41631</v>
      </c>
      <c r="N389" s="24">
        <v>1</v>
      </c>
      <c r="O389" s="17">
        <v>14500</v>
      </c>
      <c r="P389" s="17">
        <v>14500</v>
      </c>
      <c r="Q389" s="17">
        <f t="shared" si="9"/>
        <v>0</v>
      </c>
      <c r="R389" s="285" t="s">
        <v>5742</v>
      </c>
      <c r="S389" s="14">
        <v>41639</v>
      </c>
      <c r="T389" s="285">
        <v>261</v>
      </c>
    </row>
    <row r="390" spans="1:20" ht="40.5" customHeight="1" x14ac:dyDescent="0.2">
      <c r="A390" s="21">
        <v>388</v>
      </c>
      <c r="B390" s="289" t="s">
        <v>4052</v>
      </c>
      <c r="C390" s="289"/>
      <c r="D390" s="13" t="s">
        <v>4846</v>
      </c>
      <c r="E390" s="22">
        <v>2013</v>
      </c>
      <c r="F390" s="26" t="s">
        <v>4847</v>
      </c>
      <c r="G390" s="285" t="s">
        <v>8293</v>
      </c>
      <c r="H390" s="285" t="s">
        <v>5127</v>
      </c>
      <c r="I390" s="289"/>
      <c r="J390" s="285"/>
      <c r="K390" s="289"/>
      <c r="L390" s="289"/>
      <c r="M390" s="15">
        <v>41631</v>
      </c>
      <c r="N390" s="24">
        <v>1</v>
      </c>
      <c r="O390" s="17">
        <v>19500</v>
      </c>
      <c r="P390" s="17">
        <v>19500</v>
      </c>
      <c r="Q390" s="17">
        <f t="shared" si="9"/>
        <v>0</v>
      </c>
      <c r="R390" s="285" t="s">
        <v>5742</v>
      </c>
      <c r="S390" s="14">
        <v>41639</v>
      </c>
      <c r="T390" s="285">
        <v>261</v>
      </c>
    </row>
    <row r="391" spans="1:20" ht="40.5" customHeight="1" x14ac:dyDescent="0.2">
      <c r="A391" s="21">
        <v>389</v>
      </c>
      <c r="B391" s="289" t="s">
        <v>4503</v>
      </c>
      <c r="C391" s="289"/>
      <c r="D391" s="13" t="s">
        <v>3458</v>
      </c>
      <c r="E391" s="14"/>
      <c r="F391" s="26" t="s">
        <v>6702</v>
      </c>
      <c r="G391" s="285" t="s">
        <v>4946</v>
      </c>
      <c r="H391" s="285" t="s">
        <v>5127</v>
      </c>
      <c r="I391" s="289"/>
      <c r="J391" s="285" t="s">
        <v>3136</v>
      </c>
      <c r="K391" s="15">
        <v>42156</v>
      </c>
      <c r="L391" s="289">
        <v>449</v>
      </c>
      <c r="M391" s="15">
        <v>41630</v>
      </c>
      <c r="N391" s="24">
        <v>1</v>
      </c>
      <c r="O391" s="17">
        <v>10850</v>
      </c>
      <c r="P391" s="17">
        <v>10850</v>
      </c>
      <c r="Q391" s="17">
        <f t="shared" si="9"/>
        <v>0</v>
      </c>
      <c r="R391" s="285" t="s">
        <v>5071</v>
      </c>
      <c r="S391" s="14">
        <v>41630</v>
      </c>
      <c r="T391" s="285">
        <v>481</v>
      </c>
    </row>
    <row r="392" spans="1:20" ht="36" customHeight="1" x14ac:dyDescent="0.2">
      <c r="A392" s="21">
        <v>390</v>
      </c>
      <c r="B392" s="289" t="s">
        <v>5770</v>
      </c>
      <c r="C392" s="289"/>
      <c r="D392" s="13" t="s">
        <v>5382</v>
      </c>
      <c r="E392" s="14"/>
      <c r="F392" s="26" t="s">
        <v>827</v>
      </c>
      <c r="G392" s="285" t="s">
        <v>7917</v>
      </c>
      <c r="H392" s="285" t="s">
        <v>5127</v>
      </c>
      <c r="I392" s="289"/>
      <c r="J392" s="285" t="s">
        <v>3136</v>
      </c>
      <c r="K392" s="15">
        <v>41928</v>
      </c>
      <c r="L392" s="289">
        <v>943</v>
      </c>
      <c r="M392" s="15">
        <v>41632</v>
      </c>
      <c r="N392" s="24">
        <v>1</v>
      </c>
      <c r="O392" s="17">
        <v>18190</v>
      </c>
      <c r="P392" s="17">
        <v>18190</v>
      </c>
      <c r="Q392" s="17">
        <f t="shared" si="9"/>
        <v>0</v>
      </c>
      <c r="R392" s="285" t="s">
        <v>5345</v>
      </c>
      <c r="S392" s="14">
        <v>41632</v>
      </c>
      <c r="T392" s="14" t="s">
        <v>3917</v>
      </c>
    </row>
    <row r="393" spans="1:20" ht="36" customHeight="1" x14ac:dyDescent="0.2">
      <c r="A393" s="21">
        <v>391</v>
      </c>
      <c r="B393" s="289" t="s">
        <v>5771</v>
      </c>
      <c r="C393" s="289"/>
      <c r="D393" s="13" t="s">
        <v>3075</v>
      </c>
      <c r="E393" s="14"/>
      <c r="F393" s="26" t="s">
        <v>826</v>
      </c>
      <c r="G393" s="285" t="s">
        <v>7917</v>
      </c>
      <c r="H393" s="285" t="s">
        <v>5127</v>
      </c>
      <c r="I393" s="289"/>
      <c r="J393" s="285"/>
      <c r="K393" s="289"/>
      <c r="L393" s="289"/>
      <c r="M393" s="15">
        <v>41236</v>
      </c>
      <c r="N393" s="24">
        <v>1</v>
      </c>
      <c r="O393" s="17">
        <v>7739</v>
      </c>
      <c r="P393" s="17">
        <v>7739</v>
      </c>
      <c r="Q393" s="17">
        <f t="shared" si="9"/>
        <v>0</v>
      </c>
      <c r="R393" s="285" t="s">
        <v>2779</v>
      </c>
      <c r="S393" s="14">
        <v>41236</v>
      </c>
      <c r="T393" s="22" t="s">
        <v>5793</v>
      </c>
    </row>
    <row r="394" spans="1:20" ht="53.25" customHeight="1" x14ac:dyDescent="0.2">
      <c r="A394" s="21">
        <v>392</v>
      </c>
      <c r="B394" s="31" t="s">
        <v>4087</v>
      </c>
      <c r="C394" s="31"/>
      <c r="D394" s="13" t="s">
        <v>5819</v>
      </c>
      <c r="E394" s="15">
        <v>41627</v>
      </c>
      <c r="F394" s="26" t="s">
        <v>4187</v>
      </c>
      <c r="G394" s="285" t="s">
        <v>7982</v>
      </c>
      <c r="H394" s="285" t="s">
        <v>5127</v>
      </c>
      <c r="I394" s="289"/>
      <c r="J394" s="285" t="s">
        <v>3136</v>
      </c>
      <c r="K394" s="15">
        <v>41701</v>
      </c>
      <c r="L394" s="289">
        <v>205</v>
      </c>
      <c r="M394" s="15">
        <v>41655</v>
      </c>
      <c r="N394" s="24">
        <v>2</v>
      </c>
      <c r="O394" s="17">
        <v>12980</v>
      </c>
      <c r="P394" s="17">
        <v>12980</v>
      </c>
      <c r="Q394" s="17">
        <f t="shared" si="9"/>
        <v>0</v>
      </c>
      <c r="R394" s="285" t="s">
        <v>11</v>
      </c>
      <c r="S394" s="14">
        <v>41556</v>
      </c>
      <c r="T394" s="285">
        <v>4389</v>
      </c>
    </row>
    <row r="395" spans="1:20" ht="53.25" customHeight="1" x14ac:dyDescent="0.2">
      <c r="A395" s="21">
        <v>393</v>
      </c>
      <c r="B395" s="289" t="s">
        <v>4087</v>
      </c>
      <c r="C395" s="289"/>
      <c r="D395" s="13" t="s">
        <v>5382</v>
      </c>
      <c r="E395" s="15">
        <v>41605</v>
      </c>
      <c r="F395" s="26" t="s">
        <v>821</v>
      </c>
      <c r="G395" s="285" t="s">
        <v>7981</v>
      </c>
      <c r="H395" s="285" t="s">
        <v>5127</v>
      </c>
      <c r="I395" s="289"/>
      <c r="J395" s="285" t="s">
        <v>3136</v>
      </c>
      <c r="K395" s="15">
        <v>41915</v>
      </c>
      <c r="L395" s="289">
        <v>886</v>
      </c>
      <c r="M395" s="15">
        <v>41605</v>
      </c>
      <c r="N395" s="24">
        <v>4</v>
      </c>
      <c r="O395" s="17">
        <v>67500</v>
      </c>
      <c r="P395" s="17">
        <v>67500</v>
      </c>
      <c r="Q395" s="17">
        <f t="shared" si="9"/>
        <v>0</v>
      </c>
      <c r="R395" s="285" t="s">
        <v>1301</v>
      </c>
      <c r="S395" s="14">
        <v>41605</v>
      </c>
      <c r="T395" s="285">
        <v>262</v>
      </c>
    </row>
    <row r="396" spans="1:20" ht="53.25" customHeight="1" x14ac:dyDescent="0.2">
      <c r="A396" s="21">
        <v>394</v>
      </c>
      <c r="B396" s="289" t="s">
        <v>4088</v>
      </c>
      <c r="C396" s="289"/>
      <c r="D396" s="13" t="s">
        <v>3881</v>
      </c>
      <c r="E396" s="15">
        <v>41627</v>
      </c>
      <c r="F396" s="26" t="s">
        <v>196</v>
      </c>
      <c r="G396" s="285" t="s">
        <v>7982</v>
      </c>
      <c r="H396" s="285" t="s">
        <v>5127</v>
      </c>
      <c r="I396" s="289"/>
      <c r="J396" s="285" t="s">
        <v>3136</v>
      </c>
      <c r="K396" s="15">
        <v>41701</v>
      </c>
      <c r="L396" s="289">
        <v>205</v>
      </c>
      <c r="M396" s="15">
        <v>41655</v>
      </c>
      <c r="N396" s="24">
        <v>1</v>
      </c>
      <c r="O396" s="17">
        <v>11390</v>
      </c>
      <c r="P396" s="17">
        <v>11390</v>
      </c>
      <c r="Q396" s="17">
        <f t="shared" si="9"/>
        <v>0</v>
      </c>
      <c r="R396" s="285" t="s">
        <v>11</v>
      </c>
      <c r="S396" s="14">
        <v>41556</v>
      </c>
      <c r="T396" s="285">
        <v>4389</v>
      </c>
    </row>
    <row r="397" spans="1:20" ht="53.25" customHeight="1" x14ac:dyDescent="0.2">
      <c r="A397" s="21">
        <v>395</v>
      </c>
      <c r="B397" s="289" t="s">
        <v>5772</v>
      </c>
      <c r="C397" s="289"/>
      <c r="D397" s="13" t="s">
        <v>2868</v>
      </c>
      <c r="E397" s="15">
        <v>41627</v>
      </c>
      <c r="F397" s="26" t="s">
        <v>2209</v>
      </c>
      <c r="G397" s="285" t="s">
        <v>4296</v>
      </c>
      <c r="H397" s="285" t="s">
        <v>3793</v>
      </c>
      <c r="I397" s="289"/>
      <c r="J397" s="22" t="s">
        <v>3686</v>
      </c>
      <c r="K397" s="14">
        <v>42003</v>
      </c>
      <c r="L397" s="289">
        <v>1239</v>
      </c>
      <c r="M397" s="15">
        <v>41548</v>
      </c>
      <c r="N397" s="24">
        <v>1</v>
      </c>
      <c r="O397" s="17">
        <v>192997</v>
      </c>
      <c r="P397" s="17">
        <v>192997</v>
      </c>
      <c r="Q397" s="17">
        <f t="shared" si="9"/>
        <v>0</v>
      </c>
      <c r="R397" s="285" t="s">
        <v>3136</v>
      </c>
      <c r="S397" s="14">
        <v>41683</v>
      </c>
      <c r="T397" s="285">
        <v>138</v>
      </c>
    </row>
    <row r="398" spans="1:20" ht="53.25" customHeight="1" x14ac:dyDescent="0.2">
      <c r="A398" s="21">
        <v>396</v>
      </c>
      <c r="B398" s="289" t="s">
        <v>5773</v>
      </c>
      <c r="C398" s="289"/>
      <c r="D398" s="13" t="s">
        <v>2868</v>
      </c>
      <c r="E398" s="15">
        <v>41627</v>
      </c>
      <c r="F398" s="26" t="s">
        <v>2869</v>
      </c>
      <c r="G398" s="285" t="s">
        <v>4296</v>
      </c>
      <c r="H398" s="285" t="s">
        <v>3793</v>
      </c>
      <c r="I398" s="289"/>
      <c r="J398" s="22" t="s">
        <v>3686</v>
      </c>
      <c r="K398" s="14">
        <v>42003</v>
      </c>
      <c r="L398" s="289">
        <v>1239</v>
      </c>
      <c r="M398" s="15">
        <v>41548</v>
      </c>
      <c r="N398" s="24">
        <v>1</v>
      </c>
      <c r="O398" s="17">
        <v>192997</v>
      </c>
      <c r="P398" s="17">
        <v>192997</v>
      </c>
      <c r="Q398" s="17">
        <f t="shared" si="9"/>
        <v>0</v>
      </c>
      <c r="R398" s="285" t="s">
        <v>3136</v>
      </c>
      <c r="S398" s="14">
        <v>41683</v>
      </c>
      <c r="T398" s="285">
        <v>138</v>
      </c>
    </row>
    <row r="399" spans="1:20" ht="53.25" customHeight="1" x14ac:dyDescent="0.2">
      <c r="A399" s="21">
        <v>397</v>
      </c>
      <c r="B399" s="289" t="s">
        <v>1518</v>
      </c>
      <c r="C399" s="289"/>
      <c r="D399" s="13" t="s">
        <v>2428</v>
      </c>
      <c r="E399" s="15">
        <v>41627</v>
      </c>
      <c r="F399" s="26" t="s">
        <v>2210</v>
      </c>
      <c r="G399" s="285" t="s">
        <v>4296</v>
      </c>
      <c r="H399" s="285" t="s">
        <v>3793</v>
      </c>
      <c r="I399" s="289"/>
      <c r="J399" s="22" t="s">
        <v>3686</v>
      </c>
      <c r="K399" s="14">
        <v>42003</v>
      </c>
      <c r="L399" s="289">
        <v>1239</v>
      </c>
      <c r="M399" s="15">
        <v>41548</v>
      </c>
      <c r="N399" s="24">
        <v>1</v>
      </c>
      <c r="O399" s="17">
        <v>109135</v>
      </c>
      <c r="P399" s="17">
        <v>109135</v>
      </c>
      <c r="Q399" s="17">
        <f t="shared" si="9"/>
        <v>0</v>
      </c>
      <c r="R399" s="285" t="s">
        <v>3136</v>
      </c>
      <c r="S399" s="14">
        <v>41683</v>
      </c>
      <c r="T399" s="285">
        <v>138</v>
      </c>
    </row>
    <row r="400" spans="1:20" ht="53.25" customHeight="1" x14ac:dyDescent="0.2">
      <c r="A400" s="21">
        <v>398</v>
      </c>
      <c r="B400" s="289" t="s">
        <v>1519</v>
      </c>
      <c r="C400" s="289"/>
      <c r="D400" s="13" t="s">
        <v>2428</v>
      </c>
      <c r="E400" s="15">
        <v>41627</v>
      </c>
      <c r="F400" s="26" t="s">
        <v>447</v>
      </c>
      <c r="G400" s="285" t="s">
        <v>4296</v>
      </c>
      <c r="H400" s="285" t="s">
        <v>3793</v>
      </c>
      <c r="I400" s="289"/>
      <c r="J400" s="22" t="s">
        <v>3686</v>
      </c>
      <c r="K400" s="14">
        <v>42003</v>
      </c>
      <c r="L400" s="289">
        <v>1239</v>
      </c>
      <c r="M400" s="15">
        <v>41548</v>
      </c>
      <c r="N400" s="24">
        <v>1</v>
      </c>
      <c r="O400" s="17">
        <v>109135</v>
      </c>
      <c r="P400" s="17">
        <v>109135</v>
      </c>
      <c r="Q400" s="17">
        <f t="shared" si="9"/>
        <v>0</v>
      </c>
      <c r="R400" s="285" t="s">
        <v>3136</v>
      </c>
      <c r="S400" s="14">
        <v>41683</v>
      </c>
      <c r="T400" s="285">
        <v>138</v>
      </c>
    </row>
    <row r="401" spans="1:20" ht="53.25" customHeight="1" x14ac:dyDescent="0.2">
      <c r="A401" s="21">
        <v>399</v>
      </c>
      <c r="B401" s="289" t="s">
        <v>1520</v>
      </c>
      <c r="C401" s="289"/>
      <c r="D401" s="13" t="s">
        <v>2510</v>
      </c>
      <c r="E401" s="57">
        <v>41627</v>
      </c>
      <c r="F401" s="26" t="s">
        <v>7656</v>
      </c>
      <c r="G401" s="285" t="s">
        <v>4296</v>
      </c>
      <c r="H401" s="285" t="s">
        <v>3793</v>
      </c>
      <c r="I401" s="289"/>
      <c r="J401" s="22" t="s">
        <v>3686</v>
      </c>
      <c r="K401" s="32">
        <v>42003</v>
      </c>
      <c r="L401" s="20">
        <v>1239</v>
      </c>
      <c r="M401" s="15">
        <v>41548</v>
      </c>
      <c r="N401" s="33">
        <v>1</v>
      </c>
      <c r="O401" s="34">
        <v>27936</v>
      </c>
      <c r="P401" s="17">
        <v>27936</v>
      </c>
      <c r="Q401" s="17">
        <f t="shared" si="9"/>
        <v>0</v>
      </c>
      <c r="R401" s="285" t="s">
        <v>3136</v>
      </c>
      <c r="S401" s="14">
        <v>41683</v>
      </c>
      <c r="T401" s="285">
        <v>138</v>
      </c>
    </row>
    <row r="402" spans="1:20" ht="53.25" customHeight="1" x14ac:dyDescent="0.2">
      <c r="A402" s="21">
        <v>400</v>
      </c>
      <c r="B402" s="30" t="s">
        <v>1521</v>
      </c>
      <c r="C402" s="30"/>
      <c r="D402" s="13" t="s">
        <v>5679</v>
      </c>
      <c r="E402" s="57">
        <v>41627</v>
      </c>
      <c r="F402" s="26" t="s">
        <v>5715</v>
      </c>
      <c r="G402" s="285" t="s">
        <v>4296</v>
      </c>
      <c r="H402" s="285" t="s">
        <v>3793</v>
      </c>
      <c r="I402" s="289"/>
      <c r="J402" s="22" t="s">
        <v>3686</v>
      </c>
      <c r="K402" s="32">
        <v>42003</v>
      </c>
      <c r="L402" s="20">
        <v>1239</v>
      </c>
      <c r="M402" s="15">
        <v>41548</v>
      </c>
      <c r="N402" s="33">
        <v>1</v>
      </c>
      <c r="O402" s="34">
        <v>62538</v>
      </c>
      <c r="P402" s="17">
        <v>51704.2</v>
      </c>
      <c r="Q402" s="17">
        <f t="shared" si="9"/>
        <v>10833.800000000003</v>
      </c>
      <c r="R402" s="285" t="s">
        <v>3136</v>
      </c>
      <c r="S402" s="14">
        <v>41683</v>
      </c>
      <c r="T402" s="285">
        <v>138</v>
      </c>
    </row>
    <row r="403" spans="1:20" ht="53.25" customHeight="1" x14ac:dyDescent="0.2">
      <c r="A403" s="21">
        <v>401</v>
      </c>
      <c r="B403" s="289" t="s">
        <v>3736</v>
      </c>
      <c r="C403" s="289"/>
      <c r="D403" s="13" t="s">
        <v>3360</v>
      </c>
      <c r="E403" s="15">
        <v>41627</v>
      </c>
      <c r="F403" s="26" t="s">
        <v>4550</v>
      </c>
      <c r="G403" s="285" t="s">
        <v>4296</v>
      </c>
      <c r="H403" s="285" t="s">
        <v>3793</v>
      </c>
      <c r="I403" s="289"/>
      <c r="J403" s="22" t="s">
        <v>3686</v>
      </c>
      <c r="K403" s="14">
        <v>42003</v>
      </c>
      <c r="L403" s="289">
        <v>1239</v>
      </c>
      <c r="M403" s="15">
        <v>41683</v>
      </c>
      <c r="N403" s="24">
        <v>1</v>
      </c>
      <c r="O403" s="17">
        <v>20936</v>
      </c>
      <c r="P403" s="17">
        <v>20936</v>
      </c>
      <c r="Q403" s="17">
        <f t="shared" si="9"/>
        <v>0</v>
      </c>
      <c r="R403" s="285" t="s">
        <v>3136</v>
      </c>
      <c r="S403" s="14">
        <v>41683</v>
      </c>
      <c r="T403" s="285">
        <v>138</v>
      </c>
    </row>
    <row r="404" spans="1:20" ht="48" customHeight="1" x14ac:dyDescent="0.2">
      <c r="A404" s="21">
        <v>402</v>
      </c>
      <c r="B404" s="289" t="s">
        <v>3737</v>
      </c>
      <c r="C404" s="289"/>
      <c r="D404" s="13" t="s">
        <v>3553</v>
      </c>
      <c r="E404" s="57">
        <v>41627</v>
      </c>
      <c r="F404" s="13" t="s">
        <v>4551</v>
      </c>
      <c r="G404" s="285" t="s">
        <v>4296</v>
      </c>
      <c r="H404" s="285" t="s">
        <v>3793</v>
      </c>
      <c r="I404" s="289"/>
      <c r="J404" s="22" t="s">
        <v>3686</v>
      </c>
      <c r="K404" s="32">
        <v>42003</v>
      </c>
      <c r="L404" s="20">
        <v>1239</v>
      </c>
      <c r="M404" s="15">
        <v>41683</v>
      </c>
      <c r="N404" s="33">
        <v>1</v>
      </c>
      <c r="O404" s="34">
        <v>45625</v>
      </c>
      <c r="P404" s="17">
        <v>43799.06</v>
      </c>
      <c r="Q404" s="17">
        <f t="shared" si="9"/>
        <v>1825.9400000000023</v>
      </c>
      <c r="R404" s="285" t="s">
        <v>3136</v>
      </c>
      <c r="S404" s="14">
        <v>41683</v>
      </c>
      <c r="T404" s="285">
        <v>138</v>
      </c>
    </row>
    <row r="405" spans="1:20" ht="48" customHeight="1" x14ac:dyDescent="0.2">
      <c r="A405" s="21">
        <v>403</v>
      </c>
      <c r="B405" s="289" t="s">
        <v>5414</v>
      </c>
      <c r="C405" s="289"/>
      <c r="D405" s="13" t="s">
        <v>3553</v>
      </c>
      <c r="E405" s="57">
        <v>41275</v>
      </c>
      <c r="F405" s="26" t="s">
        <v>4552</v>
      </c>
      <c r="G405" s="285" t="s">
        <v>4296</v>
      </c>
      <c r="H405" s="285" t="s">
        <v>3793</v>
      </c>
      <c r="I405" s="289"/>
      <c r="J405" s="22" t="s">
        <v>3686</v>
      </c>
      <c r="K405" s="32">
        <v>42003</v>
      </c>
      <c r="L405" s="20">
        <v>1239</v>
      </c>
      <c r="M405" s="15">
        <v>41683</v>
      </c>
      <c r="N405" s="33">
        <v>1</v>
      </c>
      <c r="O405" s="34">
        <v>45625</v>
      </c>
      <c r="P405" s="17">
        <v>43799.06</v>
      </c>
      <c r="Q405" s="17">
        <f t="shared" si="9"/>
        <v>1825.9400000000023</v>
      </c>
      <c r="R405" s="285" t="s">
        <v>3136</v>
      </c>
      <c r="S405" s="14">
        <v>41683</v>
      </c>
      <c r="T405" s="285">
        <v>138</v>
      </c>
    </row>
    <row r="406" spans="1:20" ht="48" customHeight="1" x14ac:dyDescent="0.2">
      <c r="A406" s="21">
        <v>404</v>
      </c>
      <c r="B406" s="289" t="s">
        <v>5415</v>
      </c>
      <c r="C406" s="289"/>
      <c r="D406" s="13" t="s">
        <v>3553</v>
      </c>
      <c r="E406" s="15">
        <v>41275</v>
      </c>
      <c r="F406" s="13" t="s">
        <v>5688</v>
      </c>
      <c r="G406" s="285" t="s">
        <v>4296</v>
      </c>
      <c r="H406" s="285" t="s">
        <v>3793</v>
      </c>
      <c r="I406" s="289"/>
      <c r="J406" s="22" t="s">
        <v>3686</v>
      </c>
      <c r="K406" s="32">
        <v>42003</v>
      </c>
      <c r="L406" s="20">
        <v>1239</v>
      </c>
      <c r="M406" s="15">
        <v>41683</v>
      </c>
      <c r="N406" s="33">
        <v>1</v>
      </c>
      <c r="O406" s="34">
        <v>45625</v>
      </c>
      <c r="P406" s="17">
        <v>43799.06</v>
      </c>
      <c r="Q406" s="17">
        <f t="shared" si="9"/>
        <v>1825.9400000000023</v>
      </c>
      <c r="R406" s="285" t="s">
        <v>3136</v>
      </c>
      <c r="S406" s="14">
        <v>41683</v>
      </c>
      <c r="T406" s="285">
        <v>138</v>
      </c>
    </row>
    <row r="407" spans="1:20" ht="44.25" customHeight="1" x14ac:dyDescent="0.2">
      <c r="A407" s="21">
        <v>405</v>
      </c>
      <c r="B407" s="289" t="s">
        <v>5416</v>
      </c>
      <c r="C407" s="289"/>
      <c r="D407" s="13" t="s">
        <v>3553</v>
      </c>
      <c r="E407" s="15">
        <v>41747</v>
      </c>
      <c r="F407" s="13" t="s">
        <v>5777</v>
      </c>
      <c r="G407" s="285" t="s">
        <v>4296</v>
      </c>
      <c r="H407" s="285" t="s">
        <v>3793</v>
      </c>
      <c r="I407" s="289"/>
      <c r="J407" s="22" t="s">
        <v>3686</v>
      </c>
      <c r="K407" s="32">
        <v>42003</v>
      </c>
      <c r="L407" s="20">
        <v>1239</v>
      </c>
      <c r="M407" s="15">
        <v>41683</v>
      </c>
      <c r="N407" s="33">
        <v>1</v>
      </c>
      <c r="O407" s="34">
        <v>63312</v>
      </c>
      <c r="P407" s="17">
        <v>63312</v>
      </c>
      <c r="Q407" s="17">
        <f t="shared" si="9"/>
        <v>0</v>
      </c>
      <c r="R407" s="285" t="s">
        <v>3136</v>
      </c>
      <c r="S407" s="14">
        <v>41683</v>
      </c>
      <c r="T407" s="285">
        <v>138</v>
      </c>
    </row>
    <row r="408" spans="1:20" ht="48" customHeight="1" x14ac:dyDescent="0.2">
      <c r="A408" s="21">
        <v>406</v>
      </c>
      <c r="B408" s="289" t="s">
        <v>5417</v>
      </c>
      <c r="C408" s="289"/>
      <c r="D408" s="13" t="s">
        <v>1264</v>
      </c>
      <c r="E408" s="15">
        <v>41754</v>
      </c>
      <c r="F408" s="13" t="s">
        <v>5778</v>
      </c>
      <c r="G408" s="285" t="s">
        <v>4296</v>
      </c>
      <c r="H408" s="285" t="s">
        <v>3793</v>
      </c>
      <c r="I408" s="289"/>
      <c r="J408" s="22" t="s">
        <v>3686</v>
      </c>
      <c r="K408" s="32">
        <v>42003</v>
      </c>
      <c r="L408" s="20">
        <v>1239</v>
      </c>
      <c r="M408" s="15">
        <v>41683</v>
      </c>
      <c r="N408" s="33">
        <v>1</v>
      </c>
      <c r="O408" s="34">
        <v>25714</v>
      </c>
      <c r="P408" s="17">
        <v>25714</v>
      </c>
      <c r="Q408" s="17">
        <f t="shared" si="9"/>
        <v>0</v>
      </c>
      <c r="R408" s="285" t="s">
        <v>3136</v>
      </c>
      <c r="S408" s="14">
        <v>41683</v>
      </c>
      <c r="T408" s="285">
        <v>138</v>
      </c>
    </row>
    <row r="409" spans="1:20" ht="46.5" customHeight="1" x14ac:dyDescent="0.2">
      <c r="A409" s="21">
        <v>407</v>
      </c>
      <c r="B409" s="289" t="s">
        <v>5418</v>
      </c>
      <c r="C409" s="289"/>
      <c r="D409" s="13" t="s">
        <v>1264</v>
      </c>
      <c r="E409" s="15">
        <v>41754</v>
      </c>
      <c r="F409" s="13" t="s">
        <v>6290</v>
      </c>
      <c r="G409" s="285" t="s">
        <v>4296</v>
      </c>
      <c r="H409" s="285" t="s">
        <v>3793</v>
      </c>
      <c r="I409" s="289"/>
      <c r="J409" s="22" t="s">
        <v>3686</v>
      </c>
      <c r="K409" s="14">
        <v>42003</v>
      </c>
      <c r="L409" s="289">
        <v>1239</v>
      </c>
      <c r="M409" s="15">
        <v>41683</v>
      </c>
      <c r="N409" s="33">
        <v>1</v>
      </c>
      <c r="O409" s="34">
        <v>25714</v>
      </c>
      <c r="P409" s="17">
        <v>25714</v>
      </c>
      <c r="Q409" s="17">
        <f t="shared" si="9"/>
        <v>0</v>
      </c>
      <c r="R409" s="285" t="s">
        <v>3136</v>
      </c>
      <c r="S409" s="14">
        <v>41683</v>
      </c>
      <c r="T409" s="285">
        <v>138</v>
      </c>
    </row>
    <row r="410" spans="1:20" ht="54" customHeight="1" x14ac:dyDescent="0.2">
      <c r="A410" s="21">
        <v>408</v>
      </c>
      <c r="B410" s="289" t="s">
        <v>5419</v>
      </c>
      <c r="C410" s="289"/>
      <c r="D410" s="13" t="s">
        <v>1264</v>
      </c>
      <c r="E410" s="15">
        <v>40544</v>
      </c>
      <c r="F410" s="13" t="s">
        <v>6291</v>
      </c>
      <c r="G410" s="285" t="s">
        <v>4296</v>
      </c>
      <c r="H410" s="285" t="s">
        <v>3793</v>
      </c>
      <c r="I410" s="289"/>
      <c r="J410" s="22" t="s">
        <v>3686</v>
      </c>
      <c r="K410" s="14">
        <v>42003</v>
      </c>
      <c r="L410" s="289">
        <v>1239</v>
      </c>
      <c r="M410" s="15">
        <v>41683</v>
      </c>
      <c r="N410" s="33">
        <v>1</v>
      </c>
      <c r="O410" s="34">
        <v>30565</v>
      </c>
      <c r="P410" s="17">
        <v>30565</v>
      </c>
      <c r="Q410" s="17">
        <f t="shared" si="9"/>
        <v>0</v>
      </c>
      <c r="R410" s="285" t="s">
        <v>3136</v>
      </c>
      <c r="S410" s="14">
        <v>41683</v>
      </c>
      <c r="T410" s="285">
        <v>138</v>
      </c>
    </row>
    <row r="411" spans="1:20" ht="90.75" customHeight="1" x14ac:dyDescent="0.2">
      <c r="A411" s="21">
        <v>409</v>
      </c>
      <c r="B411" s="289" t="s">
        <v>1360</v>
      </c>
      <c r="C411" s="289"/>
      <c r="D411" s="13" t="s">
        <v>5382</v>
      </c>
      <c r="E411" s="15">
        <v>41631</v>
      </c>
      <c r="F411" s="13" t="s">
        <v>198</v>
      </c>
      <c r="G411" s="285" t="s">
        <v>7982</v>
      </c>
      <c r="H411" s="285" t="s">
        <v>5127</v>
      </c>
      <c r="I411" s="289"/>
      <c r="J411" s="285" t="s">
        <v>3136</v>
      </c>
      <c r="K411" s="15">
        <v>41915</v>
      </c>
      <c r="L411" s="289">
        <v>885</v>
      </c>
      <c r="M411" s="15">
        <v>41631</v>
      </c>
      <c r="N411" s="33">
        <v>1</v>
      </c>
      <c r="O411" s="34">
        <v>19424</v>
      </c>
      <c r="P411" s="17">
        <v>19424</v>
      </c>
      <c r="Q411" s="17">
        <f t="shared" si="9"/>
        <v>0</v>
      </c>
      <c r="R411" s="285" t="s">
        <v>2130</v>
      </c>
      <c r="S411" s="14">
        <v>41631</v>
      </c>
      <c r="T411" s="285" t="s">
        <v>4359</v>
      </c>
    </row>
    <row r="412" spans="1:20" ht="90.75" customHeight="1" x14ac:dyDescent="0.2">
      <c r="A412" s="21">
        <v>410</v>
      </c>
      <c r="B412" s="289" t="s">
        <v>1361</v>
      </c>
      <c r="C412" s="289"/>
      <c r="D412" s="13" t="s">
        <v>5382</v>
      </c>
      <c r="E412" s="15">
        <v>41631</v>
      </c>
      <c r="F412" s="13" t="s">
        <v>197</v>
      </c>
      <c r="G412" s="285" t="s">
        <v>7982</v>
      </c>
      <c r="H412" s="285" t="s">
        <v>5127</v>
      </c>
      <c r="I412" s="289"/>
      <c r="J412" s="285" t="s">
        <v>3136</v>
      </c>
      <c r="K412" s="15">
        <v>41915</v>
      </c>
      <c r="L412" s="289">
        <v>885</v>
      </c>
      <c r="M412" s="15">
        <v>41631</v>
      </c>
      <c r="N412" s="33">
        <v>3</v>
      </c>
      <c r="O412" s="34">
        <v>48408</v>
      </c>
      <c r="P412" s="17">
        <v>48408</v>
      </c>
      <c r="Q412" s="17">
        <f t="shared" si="9"/>
        <v>0</v>
      </c>
      <c r="R412" s="285" t="s">
        <v>2130</v>
      </c>
      <c r="S412" s="14">
        <v>41631</v>
      </c>
      <c r="T412" s="285" t="s">
        <v>2131</v>
      </c>
    </row>
    <row r="413" spans="1:20" ht="129" customHeight="1" x14ac:dyDescent="0.2">
      <c r="A413" s="21">
        <v>411</v>
      </c>
      <c r="B413" s="289" t="s">
        <v>1362</v>
      </c>
      <c r="C413" s="289"/>
      <c r="D413" s="13" t="s">
        <v>6994</v>
      </c>
      <c r="E413" s="15">
        <v>41627</v>
      </c>
      <c r="F413" s="13" t="s">
        <v>6995</v>
      </c>
      <c r="G413" s="285" t="s">
        <v>7977</v>
      </c>
      <c r="H413" s="285" t="s">
        <v>5127</v>
      </c>
      <c r="I413" s="289"/>
      <c r="J413" s="285" t="s">
        <v>3136</v>
      </c>
      <c r="K413" s="15">
        <v>41922</v>
      </c>
      <c r="L413" s="289">
        <v>903</v>
      </c>
      <c r="M413" s="15">
        <v>41620</v>
      </c>
      <c r="N413" s="33">
        <v>1</v>
      </c>
      <c r="O413" s="34">
        <v>10640</v>
      </c>
      <c r="P413" s="17">
        <v>10640</v>
      </c>
      <c r="Q413" s="17">
        <f t="shared" si="9"/>
        <v>0</v>
      </c>
      <c r="R413" s="285" t="s">
        <v>5110</v>
      </c>
      <c r="S413" s="14">
        <v>41620</v>
      </c>
      <c r="T413" s="14" t="s">
        <v>5050</v>
      </c>
    </row>
    <row r="414" spans="1:20" ht="78.75" customHeight="1" x14ac:dyDescent="0.2">
      <c r="A414" s="21">
        <v>412</v>
      </c>
      <c r="B414" s="289" t="s">
        <v>1363</v>
      </c>
      <c r="C414" s="289"/>
      <c r="D414" s="13" t="s">
        <v>6996</v>
      </c>
      <c r="E414" s="14"/>
      <c r="F414" s="13" t="s">
        <v>6997</v>
      </c>
      <c r="G414" s="285" t="s">
        <v>7977</v>
      </c>
      <c r="H414" s="285" t="s">
        <v>5127</v>
      </c>
      <c r="I414" s="289"/>
      <c r="J414" s="285" t="s">
        <v>3136</v>
      </c>
      <c r="K414" s="15">
        <v>41922</v>
      </c>
      <c r="L414" s="289">
        <v>903</v>
      </c>
      <c r="M414" s="15">
        <v>41620</v>
      </c>
      <c r="N414" s="33">
        <v>1</v>
      </c>
      <c r="O414" s="34">
        <v>48000</v>
      </c>
      <c r="P414" s="17">
        <v>41200</v>
      </c>
      <c r="Q414" s="17">
        <f t="shared" si="9"/>
        <v>6800</v>
      </c>
      <c r="R414" s="285" t="s">
        <v>5110</v>
      </c>
      <c r="S414" s="14">
        <v>41620</v>
      </c>
      <c r="T414" s="14" t="s">
        <v>5050</v>
      </c>
    </row>
    <row r="415" spans="1:20" ht="69" customHeight="1" x14ac:dyDescent="0.2">
      <c r="A415" s="21">
        <v>413</v>
      </c>
      <c r="B415" s="289" t="s">
        <v>3995</v>
      </c>
      <c r="C415" s="289"/>
      <c r="D415" s="13" t="s">
        <v>6996</v>
      </c>
      <c r="E415" s="14"/>
      <c r="F415" s="13" t="s">
        <v>2415</v>
      </c>
      <c r="G415" s="285" t="s">
        <v>7934</v>
      </c>
      <c r="H415" s="285" t="s">
        <v>5127</v>
      </c>
      <c r="I415" s="289"/>
      <c r="J415" s="285" t="s">
        <v>3136</v>
      </c>
      <c r="K415" s="15">
        <v>41922</v>
      </c>
      <c r="L415" s="289">
        <v>901</v>
      </c>
      <c r="M415" s="15">
        <v>41620</v>
      </c>
      <c r="N415" s="33">
        <v>1</v>
      </c>
      <c r="O415" s="34">
        <v>48000</v>
      </c>
      <c r="P415" s="17">
        <v>41200</v>
      </c>
      <c r="Q415" s="17">
        <f>O415-P415</f>
        <v>6800</v>
      </c>
      <c r="R415" s="285" t="s">
        <v>2130</v>
      </c>
      <c r="S415" s="14">
        <v>41620</v>
      </c>
      <c r="T415" s="285">
        <v>761</v>
      </c>
    </row>
    <row r="416" spans="1:20" ht="69" customHeight="1" x14ac:dyDescent="0.2">
      <c r="A416" s="21">
        <v>414</v>
      </c>
      <c r="B416" s="31" t="s">
        <v>3818</v>
      </c>
      <c r="C416" s="31"/>
      <c r="D416" s="13" t="s">
        <v>7115</v>
      </c>
      <c r="E416" s="14"/>
      <c r="F416" s="13" t="s">
        <v>6632</v>
      </c>
      <c r="G416" s="285" t="s">
        <v>6266</v>
      </c>
      <c r="H416" s="285" t="s">
        <v>5127</v>
      </c>
      <c r="I416" s="289"/>
      <c r="J416" s="285" t="s">
        <v>3136</v>
      </c>
      <c r="K416" s="15">
        <v>41928</v>
      </c>
      <c r="L416" s="289">
        <v>944</v>
      </c>
      <c r="M416" s="15">
        <v>41654</v>
      </c>
      <c r="N416" s="33">
        <v>1</v>
      </c>
      <c r="O416" s="34">
        <v>6100</v>
      </c>
      <c r="P416" s="17">
        <v>6100</v>
      </c>
      <c r="Q416" s="17">
        <f t="shared" si="9"/>
        <v>0</v>
      </c>
      <c r="R416" s="285" t="s">
        <v>3405</v>
      </c>
      <c r="S416" s="14">
        <v>41654</v>
      </c>
      <c r="T416" s="14">
        <v>133</v>
      </c>
    </row>
    <row r="417" spans="1:20" ht="69" customHeight="1" x14ac:dyDescent="0.2">
      <c r="A417" s="21">
        <v>415</v>
      </c>
      <c r="B417" s="31" t="s">
        <v>3819</v>
      </c>
      <c r="C417" s="31"/>
      <c r="D417" s="13" t="s">
        <v>5570</v>
      </c>
      <c r="E417" s="14"/>
      <c r="F417" s="13" t="s">
        <v>6770</v>
      </c>
      <c r="G417" s="285" t="s">
        <v>7967</v>
      </c>
      <c r="H417" s="285" t="s">
        <v>5127</v>
      </c>
      <c r="I417" s="289"/>
      <c r="J417" s="285" t="s">
        <v>3136</v>
      </c>
      <c r="K417" s="15">
        <v>41745</v>
      </c>
      <c r="L417" s="289">
        <v>344</v>
      </c>
      <c r="M417" s="15">
        <v>41730</v>
      </c>
      <c r="N417" s="33">
        <v>1</v>
      </c>
      <c r="O417" s="34">
        <v>38700</v>
      </c>
      <c r="P417" s="17">
        <v>38700</v>
      </c>
      <c r="Q417" s="17">
        <f t="shared" si="9"/>
        <v>0</v>
      </c>
      <c r="R417" s="285" t="s">
        <v>1611</v>
      </c>
      <c r="S417" s="15">
        <v>39995</v>
      </c>
      <c r="T417" s="22"/>
    </row>
    <row r="418" spans="1:20" ht="69" customHeight="1" x14ac:dyDescent="0.2">
      <c r="A418" s="21">
        <v>416</v>
      </c>
      <c r="B418" s="31" t="s">
        <v>3820</v>
      </c>
      <c r="C418" s="31"/>
      <c r="D418" s="9" t="s">
        <v>1049</v>
      </c>
      <c r="E418" s="14"/>
      <c r="F418" s="13"/>
      <c r="G418" s="285" t="s">
        <v>7917</v>
      </c>
      <c r="H418" s="285" t="s">
        <v>5127</v>
      </c>
      <c r="I418" s="289"/>
      <c r="J418" s="285" t="s">
        <v>3136</v>
      </c>
      <c r="K418" s="15">
        <v>41772</v>
      </c>
      <c r="L418" s="289">
        <v>405</v>
      </c>
      <c r="M418" s="15">
        <v>41627</v>
      </c>
      <c r="N418" s="33">
        <v>1</v>
      </c>
      <c r="O418" s="34">
        <v>250</v>
      </c>
      <c r="P418" s="17">
        <v>250</v>
      </c>
      <c r="Q418" s="17">
        <f t="shared" si="9"/>
        <v>0</v>
      </c>
      <c r="R418" s="285" t="s">
        <v>2781</v>
      </c>
      <c r="S418" s="14">
        <v>41597</v>
      </c>
      <c r="T418" s="285">
        <v>5148</v>
      </c>
    </row>
    <row r="419" spans="1:20" ht="54" customHeight="1" x14ac:dyDescent="0.2">
      <c r="A419" s="21">
        <v>417</v>
      </c>
      <c r="B419" s="31" t="s">
        <v>3821</v>
      </c>
      <c r="C419" s="31"/>
      <c r="D419" s="9" t="s">
        <v>5912</v>
      </c>
      <c r="E419" s="14"/>
      <c r="F419" s="13"/>
      <c r="G419" s="285" t="s">
        <v>7917</v>
      </c>
      <c r="H419" s="285" t="s">
        <v>5127</v>
      </c>
      <c r="I419" s="289"/>
      <c r="J419" s="285" t="s">
        <v>3136</v>
      </c>
      <c r="K419" s="15">
        <v>41772</v>
      </c>
      <c r="L419" s="289">
        <v>405</v>
      </c>
      <c r="M419" s="15">
        <v>41627</v>
      </c>
      <c r="N419" s="33">
        <v>1</v>
      </c>
      <c r="O419" s="34">
        <v>250</v>
      </c>
      <c r="P419" s="17">
        <v>250</v>
      </c>
      <c r="Q419" s="17">
        <f t="shared" si="9"/>
        <v>0</v>
      </c>
      <c r="R419" s="285" t="s">
        <v>2781</v>
      </c>
      <c r="S419" s="14">
        <v>41597</v>
      </c>
      <c r="T419" s="285">
        <v>5148</v>
      </c>
    </row>
    <row r="420" spans="1:20" ht="98.25" customHeight="1" x14ac:dyDescent="0.2">
      <c r="A420" s="21">
        <v>418</v>
      </c>
      <c r="B420" s="31" t="s">
        <v>3822</v>
      </c>
      <c r="C420" s="31"/>
      <c r="D420" s="9" t="s">
        <v>4623</v>
      </c>
      <c r="E420" s="14"/>
      <c r="F420" s="13"/>
      <c r="G420" s="285" t="s">
        <v>7917</v>
      </c>
      <c r="H420" s="285" t="s">
        <v>5127</v>
      </c>
      <c r="I420" s="289"/>
      <c r="J420" s="285" t="s">
        <v>3136</v>
      </c>
      <c r="K420" s="15">
        <v>41772</v>
      </c>
      <c r="L420" s="289">
        <v>405</v>
      </c>
      <c r="M420" s="15">
        <v>41627</v>
      </c>
      <c r="N420" s="33">
        <v>1</v>
      </c>
      <c r="O420" s="34">
        <v>250</v>
      </c>
      <c r="P420" s="17">
        <v>250</v>
      </c>
      <c r="Q420" s="17">
        <f t="shared" si="9"/>
        <v>0</v>
      </c>
      <c r="R420" s="285" t="s">
        <v>2781</v>
      </c>
      <c r="S420" s="14">
        <v>41597</v>
      </c>
      <c r="T420" s="285">
        <v>5148</v>
      </c>
    </row>
    <row r="421" spans="1:20" ht="65.25" customHeight="1" x14ac:dyDescent="0.2">
      <c r="A421" s="21">
        <v>419</v>
      </c>
      <c r="B421" s="31" t="s">
        <v>2446</v>
      </c>
      <c r="C421" s="31"/>
      <c r="D421" s="9" t="s">
        <v>5550</v>
      </c>
      <c r="E421" s="14"/>
      <c r="F421" s="13"/>
      <c r="G421" s="285" t="s">
        <v>7917</v>
      </c>
      <c r="H421" s="285" t="s">
        <v>5127</v>
      </c>
      <c r="I421" s="289"/>
      <c r="J421" s="285" t="s">
        <v>3136</v>
      </c>
      <c r="K421" s="15">
        <v>41772</v>
      </c>
      <c r="L421" s="289">
        <v>405</v>
      </c>
      <c r="M421" s="15">
        <v>41627</v>
      </c>
      <c r="N421" s="33">
        <v>1</v>
      </c>
      <c r="O421" s="34">
        <v>250</v>
      </c>
      <c r="P421" s="17">
        <v>250</v>
      </c>
      <c r="Q421" s="17">
        <f t="shared" si="9"/>
        <v>0</v>
      </c>
      <c r="R421" s="285" t="s">
        <v>2781</v>
      </c>
      <c r="S421" s="14">
        <v>41597</v>
      </c>
      <c r="T421" s="285">
        <v>5148</v>
      </c>
    </row>
    <row r="422" spans="1:20" ht="66.75" customHeight="1" x14ac:dyDescent="0.2">
      <c r="A422" s="21">
        <v>420</v>
      </c>
      <c r="B422" s="31" t="s">
        <v>2447</v>
      </c>
      <c r="C422" s="31"/>
      <c r="D422" s="9" t="s">
        <v>5551</v>
      </c>
      <c r="E422" s="14"/>
      <c r="F422" s="13"/>
      <c r="G422" s="285" t="s">
        <v>7917</v>
      </c>
      <c r="H422" s="285" t="s">
        <v>5127</v>
      </c>
      <c r="I422" s="289"/>
      <c r="J422" s="285" t="s">
        <v>3136</v>
      </c>
      <c r="K422" s="15">
        <v>41772</v>
      </c>
      <c r="L422" s="289">
        <v>405</v>
      </c>
      <c r="M422" s="15">
        <v>41627</v>
      </c>
      <c r="N422" s="33">
        <v>1</v>
      </c>
      <c r="O422" s="34">
        <v>250</v>
      </c>
      <c r="P422" s="17">
        <v>250</v>
      </c>
      <c r="Q422" s="17">
        <f t="shared" si="9"/>
        <v>0</v>
      </c>
      <c r="R422" s="285" t="s">
        <v>2781</v>
      </c>
      <c r="S422" s="14">
        <v>41597</v>
      </c>
      <c r="T422" s="285">
        <v>5148</v>
      </c>
    </row>
    <row r="423" spans="1:20" ht="54" customHeight="1" x14ac:dyDescent="0.2">
      <c r="A423" s="21">
        <v>421</v>
      </c>
      <c r="B423" s="31" t="s">
        <v>6281</v>
      </c>
      <c r="C423" s="31"/>
      <c r="D423" s="9" t="s">
        <v>5678</v>
      </c>
      <c r="E423" s="14"/>
      <c r="F423" s="9"/>
      <c r="G423" s="285" t="s">
        <v>7917</v>
      </c>
      <c r="H423" s="49" t="s">
        <v>5127</v>
      </c>
      <c r="I423" s="289"/>
      <c r="J423" s="285" t="s">
        <v>3136</v>
      </c>
      <c r="K423" s="15">
        <v>41772</v>
      </c>
      <c r="L423" s="289">
        <v>405</v>
      </c>
      <c r="M423" s="15">
        <v>41627</v>
      </c>
      <c r="N423" s="24">
        <v>1</v>
      </c>
      <c r="O423" s="17">
        <v>2800</v>
      </c>
      <c r="P423" s="17">
        <v>2800</v>
      </c>
      <c r="Q423" s="17">
        <f t="shared" si="9"/>
        <v>0</v>
      </c>
      <c r="R423" s="285" t="s">
        <v>2781</v>
      </c>
      <c r="S423" s="14">
        <v>41597</v>
      </c>
      <c r="T423" s="285">
        <v>5148</v>
      </c>
    </row>
    <row r="424" spans="1:20" ht="54" customHeight="1" x14ac:dyDescent="0.2">
      <c r="A424" s="21">
        <v>422</v>
      </c>
      <c r="B424" s="31" t="s">
        <v>2544</v>
      </c>
      <c r="C424" s="31"/>
      <c r="D424" s="9" t="s">
        <v>5678</v>
      </c>
      <c r="E424" s="15">
        <v>41627</v>
      </c>
      <c r="F424" s="9"/>
      <c r="G424" s="285" t="s">
        <v>7982</v>
      </c>
      <c r="H424" s="49" t="s">
        <v>5127</v>
      </c>
      <c r="I424" s="289"/>
      <c r="J424" s="285" t="s">
        <v>3136</v>
      </c>
      <c r="K424" s="15">
        <v>41772</v>
      </c>
      <c r="L424" s="289">
        <v>405</v>
      </c>
      <c r="M424" s="15">
        <v>41627</v>
      </c>
      <c r="N424" s="24">
        <v>1</v>
      </c>
      <c r="O424" s="17">
        <v>2800</v>
      </c>
      <c r="P424" s="17">
        <v>2800</v>
      </c>
      <c r="Q424" s="17">
        <f t="shared" si="9"/>
        <v>0</v>
      </c>
      <c r="R424" s="285" t="s">
        <v>2781</v>
      </c>
      <c r="S424" s="14">
        <v>41597</v>
      </c>
      <c r="T424" s="285">
        <v>5148</v>
      </c>
    </row>
    <row r="425" spans="1:20" ht="54" customHeight="1" x14ac:dyDescent="0.2">
      <c r="A425" s="21">
        <v>423</v>
      </c>
      <c r="B425" s="31" t="s">
        <v>908</v>
      </c>
      <c r="C425" s="31"/>
      <c r="D425" s="9" t="s">
        <v>1049</v>
      </c>
      <c r="E425" s="15">
        <v>41627</v>
      </c>
      <c r="F425" s="13"/>
      <c r="G425" s="285" t="s">
        <v>7981</v>
      </c>
      <c r="H425" s="285" t="s">
        <v>5127</v>
      </c>
      <c r="I425" s="289"/>
      <c r="J425" s="285" t="s">
        <v>3136</v>
      </c>
      <c r="K425" s="15">
        <v>41772</v>
      </c>
      <c r="L425" s="289">
        <v>405</v>
      </c>
      <c r="M425" s="15">
        <v>41627</v>
      </c>
      <c r="N425" s="24">
        <v>1</v>
      </c>
      <c r="O425" s="17">
        <v>250</v>
      </c>
      <c r="P425" s="17">
        <v>250</v>
      </c>
      <c r="Q425" s="17">
        <f t="shared" si="9"/>
        <v>0</v>
      </c>
      <c r="R425" s="285" t="s">
        <v>2781</v>
      </c>
      <c r="S425" s="14">
        <v>41597</v>
      </c>
      <c r="T425" s="285">
        <v>5148</v>
      </c>
    </row>
    <row r="426" spans="1:20" ht="54" customHeight="1" x14ac:dyDescent="0.2">
      <c r="A426" s="21">
        <v>424</v>
      </c>
      <c r="B426" s="245" t="s">
        <v>745</v>
      </c>
      <c r="C426" s="245"/>
      <c r="D426" s="9" t="s">
        <v>5912</v>
      </c>
      <c r="E426" s="15">
        <v>41627</v>
      </c>
      <c r="F426" s="13"/>
      <c r="G426" s="285" t="s">
        <v>7981</v>
      </c>
      <c r="H426" s="285" t="s">
        <v>5127</v>
      </c>
      <c r="I426" s="289"/>
      <c r="J426" s="285" t="s">
        <v>3136</v>
      </c>
      <c r="K426" s="15">
        <v>41772</v>
      </c>
      <c r="L426" s="289">
        <v>405</v>
      </c>
      <c r="M426" s="15">
        <v>41627</v>
      </c>
      <c r="N426" s="24">
        <v>1</v>
      </c>
      <c r="O426" s="17">
        <v>250</v>
      </c>
      <c r="P426" s="17">
        <v>250</v>
      </c>
      <c r="Q426" s="17">
        <f t="shared" si="9"/>
        <v>0</v>
      </c>
      <c r="R426" s="285" t="s">
        <v>2781</v>
      </c>
      <c r="S426" s="14">
        <v>41597</v>
      </c>
      <c r="T426" s="285">
        <v>5148</v>
      </c>
    </row>
    <row r="427" spans="1:20" ht="54" customHeight="1" x14ac:dyDescent="0.2">
      <c r="A427" s="21">
        <v>425</v>
      </c>
      <c r="B427" s="31" t="s">
        <v>746</v>
      </c>
      <c r="C427" s="31"/>
      <c r="D427" s="9" t="s">
        <v>4623</v>
      </c>
      <c r="E427" s="15">
        <v>41627</v>
      </c>
      <c r="F427" s="13"/>
      <c r="G427" s="285" t="s">
        <v>7981</v>
      </c>
      <c r="H427" s="285" t="s">
        <v>5127</v>
      </c>
      <c r="I427" s="289"/>
      <c r="J427" s="285" t="s">
        <v>3136</v>
      </c>
      <c r="K427" s="15">
        <v>41772</v>
      </c>
      <c r="L427" s="289">
        <v>405</v>
      </c>
      <c r="M427" s="15">
        <v>41627</v>
      </c>
      <c r="N427" s="24">
        <v>1</v>
      </c>
      <c r="O427" s="17">
        <v>250</v>
      </c>
      <c r="P427" s="17">
        <v>250</v>
      </c>
      <c r="Q427" s="17">
        <f t="shared" si="9"/>
        <v>0</v>
      </c>
      <c r="R427" s="285" t="s">
        <v>2781</v>
      </c>
      <c r="S427" s="14">
        <v>41597</v>
      </c>
      <c r="T427" s="285">
        <v>5148</v>
      </c>
    </row>
    <row r="428" spans="1:20" ht="54" customHeight="1" x14ac:dyDescent="0.2">
      <c r="A428" s="21">
        <v>426</v>
      </c>
      <c r="B428" s="31" t="s">
        <v>753</v>
      </c>
      <c r="C428" s="31"/>
      <c r="D428" s="9" t="s">
        <v>5550</v>
      </c>
      <c r="E428" s="15">
        <v>41627</v>
      </c>
      <c r="F428" s="13"/>
      <c r="G428" s="285" t="s">
        <v>7981</v>
      </c>
      <c r="H428" s="49" t="s">
        <v>5127</v>
      </c>
      <c r="I428" s="289"/>
      <c r="J428" s="285" t="s">
        <v>3136</v>
      </c>
      <c r="K428" s="15">
        <v>41772</v>
      </c>
      <c r="L428" s="289">
        <v>405</v>
      </c>
      <c r="M428" s="15">
        <v>41627</v>
      </c>
      <c r="N428" s="24">
        <v>1</v>
      </c>
      <c r="O428" s="17">
        <v>250</v>
      </c>
      <c r="P428" s="17">
        <v>250</v>
      </c>
      <c r="Q428" s="17">
        <f t="shared" si="9"/>
        <v>0</v>
      </c>
      <c r="R428" s="49" t="s">
        <v>2781</v>
      </c>
      <c r="S428" s="53">
        <v>41597</v>
      </c>
      <c r="T428" s="49">
        <v>5148</v>
      </c>
    </row>
    <row r="429" spans="1:20" ht="54" customHeight="1" x14ac:dyDescent="0.2">
      <c r="A429" s="21">
        <v>427</v>
      </c>
      <c r="B429" s="31" t="s">
        <v>4273</v>
      </c>
      <c r="C429" s="31"/>
      <c r="D429" s="9" t="s">
        <v>5551</v>
      </c>
      <c r="E429" s="15">
        <v>41627</v>
      </c>
      <c r="F429" s="13"/>
      <c r="G429" s="285" t="s">
        <v>7981</v>
      </c>
      <c r="H429" s="285" t="s">
        <v>5127</v>
      </c>
      <c r="I429" s="289"/>
      <c r="J429" s="285" t="s">
        <v>3136</v>
      </c>
      <c r="K429" s="15">
        <v>41772</v>
      </c>
      <c r="L429" s="289">
        <v>405</v>
      </c>
      <c r="M429" s="15">
        <v>41627</v>
      </c>
      <c r="N429" s="24">
        <v>1</v>
      </c>
      <c r="O429" s="17">
        <v>250</v>
      </c>
      <c r="P429" s="17">
        <v>250</v>
      </c>
      <c r="Q429" s="17">
        <f t="shared" si="9"/>
        <v>0</v>
      </c>
      <c r="R429" s="285" t="s">
        <v>2781</v>
      </c>
      <c r="S429" s="14">
        <v>41597</v>
      </c>
      <c r="T429" s="285">
        <v>5148</v>
      </c>
    </row>
    <row r="430" spans="1:20" ht="68.25" customHeight="1" x14ac:dyDescent="0.2">
      <c r="A430" s="21">
        <v>428</v>
      </c>
      <c r="B430" s="31" t="s">
        <v>4274</v>
      </c>
      <c r="C430" s="31"/>
      <c r="D430" s="9" t="s">
        <v>5678</v>
      </c>
      <c r="E430" s="15">
        <v>41627</v>
      </c>
      <c r="F430" s="9"/>
      <c r="G430" s="285" t="s">
        <v>7981</v>
      </c>
      <c r="H430" s="285" t="s">
        <v>5127</v>
      </c>
      <c r="I430" s="289"/>
      <c r="J430" s="285" t="s">
        <v>3136</v>
      </c>
      <c r="K430" s="15">
        <v>41772</v>
      </c>
      <c r="L430" s="289">
        <v>405</v>
      </c>
      <c r="M430" s="15">
        <v>41627</v>
      </c>
      <c r="N430" s="24">
        <v>1</v>
      </c>
      <c r="O430" s="17">
        <v>2800</v>
      </c>
      <c r="P430" s="17">
        <v>2800</v>
      </c>
      <c r="Q430" s="17">
        <f t="shared" si="9"/>
        <v>0</v>
      </c>
      <c r="R430" s="285" t="s">
        <v>2781</v>
      </c>
      <c r="S430" s="14">
        <v>41597</v>
      </c>
      <c r="T430" s="285">
        <v>5148</v>
      </c>
    </row>
    <row r="431" spans="1:20" ht="68.25" customHeight="1" x14ac:dyDescent="0.2">
      <c r="A431" s="21">
        <v>429</v>
      </c>
      <c r="B431" s="31" t="s">
        <v>1987</v>
      </c>
      <c r="C431" s="31"/>
      <c r="D431" s="9" t="s">
        <v>1969</v>
      </c>
      <c r="E431" s="15">
        <v>41275</v>
      </c>
      <c r="F431" s="13" t="s">
        <v>2793</v>
      </c>
      <c r="G431" s="285" t="s">
        <v>7982</v>
      </c>
      <c r="H431" s="285" t="s">
        <v>5127</v>
      </c>
      <c r="I431" s="289"/>
      <c r="J431" s="285" t="s">
        <v>9437</v>
      </c>
      <c r="K431" s="15">
        <v>41364</v>
      </c>
      <c r="L431" s="289" t="s">
        <v>1029</v>
      </c>
      <c r="M431" s="15">
        <v>41275</v>
      </c>
      <c r="N431" s="24">
        <v>1</v>
      </c>
      <c r="O431" s="17">
        <v>7483</v>
      </c>
      <c r="P431" s="17">
        <v>7483</v>
      </c>
      <c r="Q431" s="17">
        <f t="shared" si="9"/>
        <v>0</v>
      </c>
      <c r="R431" s="285" t="s">
        <v>3405</v>
      </c>
      <c r="S431" s="14">
        <v>41194</v>
      </c>
      <c r="T431" s="22" t="s">
        <v>2280</v>
      </c>
    </row>
    <row r="432" spans="1:20" ht="99" customHeight="1" x14ac:dyDescent="0.2">
      <c r="A432" s="21">
        <v>430</v>
      </c>
      <c r="B432" s="35" t="s">
        <v>5941</v>
      </c>
      <c r="C432" s="35"/>
      <c r="D432" s="9" t="s">
        <v>1969</v>
      </c>
      <c r="E432" s="57">
        <v>41275</v>
      </c>
      <c r="F432" s="26" t="s">
        <v>6054</v>
      </c>
      <c r="G432" s="285" t="s">
        <v>7982</v>
      </c>
      <c r="H432" s="49" t="s">
        <v>5127</v>
      </c>
      <c r="I432" s="289"/>
      <c r="J432" s="285" t="s">
        <v>9437</v>
      </c>
      <c r="K432" s="15">
        <v>41364</v>
      </c>
      <c r="L432" s="289" t="s">
        <v>1029</v>
      </c>
      <c r="M432" s="15">
        <v>41275</v>
      </c>
      <c r="N432" s="24">
        <v>1</v>
      </c>
      <c r="O432" s="34">
        <v>7623</v>
      </c>
      <c r="P432" s="17">
        <v>7623</v>
      </c>
      <c r="Q432" s="17">
        <f t="shared" si="9"/>
        <v>0</v>
      </c>
      <c r="R432" s="285" t="s">
        <v>3405</v>
      </c>
      <c r="S432" s="14">
        <v>41194</v>
      </c>
      <c r="T432" s="22" t="s">
        <v>2280</v>
      </c>
    </row>
    <row r="433" spans="1:20" ht="75" customHeight="1" x14ac:dyDescent="0.2">
      <c r="A433" s="21">
        <v>431</v>
      </c>
      <c r="B433" s="35" t="s">
        <v>572</v>
      </c>
      <c r="C433" s="35"/>
      <c r="D433" s="9" t="s">
        <v>3340</v>
      </c>
      <c r="E433" s="57">
        <v>41747</v>
      </c>
      <c r="F433" s="26" t="s">
        <v>2794</v>
      </c>
      <c r="G433" s="285" t="s">
        <v>515</v>
      </c>
      <c r="H433" s="49" t="s">
        <v>5127</v>
      </c>
      <c r="I433" s="289"/>
      <c r="J433" s="285" t="s">
        <v>3136</v>
      </c>
      <c r="K433" s="15">
        <v>41922</v>
      </c>
      <c r="L433" s="289">
        <v>900</v>
      </c>
      <c r="M433" s="15">
        <v>41579</v>
      </c>
      <c r="N433" s="24">
        <v>1</v>
      </c>
      <c r="O433" s="34">
        <v>5000</v>
      </c>
      <c r="P433" s="17">
        <v>5000</v>
      </c>
      <c r="Q433" s="17">
        <f t="shared" si="9"/>
        <v>0</v>
      </c>
      <c r="R433" s="285" t="s">
        <v>3941</v>
      </c>
      <c r="S433" s="14" t="s">
        <v>573</v>
      </c>
      <c r="T433" s="285" t="s">
        <v>2132</v>
      </c>
    </row>
    <row r="434" spans="1:20" ht="68.25" customHeight="1" x14ac:dyDescent="0.2">
      <c r="A434" s="21">
        <v>432</v>
      </c>
      <c r="B434" s="31" t="s">
        <v>4275</v>
      </c>
      <c r="C434" s="31"/>
      <c r="D434" s="9" t="s">
        <v>926</v>
      </c>
      <c r="E434" s="57">
        <v>41754</v>
      </c>
      <c r="F434" s="13" t="s">
        <v>195</v>
      </c>
      <c r="G434" s="285" t="s">
        <v>7967</v>
      </c>
      <c r="H434" s="49" t="s">
        <v>5127</v>
      </c>
      <c r="I434" s="289"/>
      <c r="J434" s="285" t="s">
        <v>3136</v>
      </c>
      <c r="K434" s="15">
        <v>41922</v>
      </c>
      <c r="L434" s="289">
        <v>902</v>
      </c>
      <c r="M434" s="15">
        <v>41623</v>
      </c>
      <c r="N434" s="24">
        <v>1</v>
      </c>
      <c r="O434" s="34">
        <v>13990</v>
      </c>
      <c r="P434" s="17">
        <v>13990</v>
      </c>
      <c r="Q434" s="17">
        <f t="shared" si="9"/>
        <v>0</v>
      </c>
      <c r="R434" s="285" t="s">
        <v>3418</v>
      </c>
      <c r="S434" s="14">
        <v>41623</v>
      </c>
      <c r="T434" s="14" t="s">
        <v>815</v>
      </c>
    </row>
    <row r="435" spans="1:20" ht="68.25" customHeight="1" x14ac:dyDescent="0.2">
      <c r="A435" s="21">
        <v>433</v>
      </c>
      <c r="B435" s="31" t="s">
        <v>4276</v>
      </c>
      <c r="C435" s="246" t="s">
        <v>5274</v>
      </c>
      <c r="D435" s="9" t="s">
        <v>6068</v>
      </c>
      <c r="E435" s="57">
        <v>41754</v>
      </c>
      <c r="F435" s="13" t="s">
        <v>193</v>
      </c>
      <c r="G435" s="285" t="s">
        <v>7967</v>
      </c>
      <c r="H435" s="49" t="s">
        <v>5127</v>
      </c>
      <c r="I435" s="289"/>
      <c r="J435" s="285" t="s">
        <v>3136</v>
      </c>
      <c r="K435" s="15">
        <v>41922</v>
      </c>
      <c r="L435" s="289">
        <v>902</v>
      </c>
      <c r="M435" s="15">
        <v>41620</v>
      </c>
      <c r="N435" s="24">
        <v>1</v>
      </c>
      <c r="O435" s="34">
        <v>97200</v>
      </c>
      <c r="P435" s="17">
        <v>81000</v>
      </c>
      <c r="Q435" s="17">
        <f t="shared" si="9"/>
        <v>16200</v>
      </c>
      <c r="R435" s="285" t="s">
        <v>574</v>
      </c>
      <c r="S435" s="14">
        <v>41620</v>
      </c>
      <c r="T435" s="22" t="s">
        <v>817</v>
      </c>
    </row>
    <row r="436" spans="1:20" ht="68.25" customHeight="1" x14ac:dyDescent="0.2">
      <c r="A436" s="21">
        <v>434</v>
      </c>
      <c r="B436" s="31" t="s">
        <v>4277</v>
      </c>
      <c r="C436" s="31"/>
      <c r="D436" s="9" t="s">
        <v>2788</v>
      </c>
      <c r="E436" s="15">
        <v>40544</v>
      </c>
      <c r="F436" s="13" t="s">
        <v>192</v>
      </c>
      <c r="G436" s="285" t="s">
        <v>4296</v>
      </c>
      <c r="H436" s="285" t="s">
        <v>1586</v>
      </c>
      <c r="I436" s="289"/>
      <c r="J436" s="285" t="s">
        <v>3136</v>
      </c>
      <c r="K436" s="14">
        <v>43032</v>
      </c>
      <c r="L436" s="289">
        <v>951</v>
      </c>
      <c r="M436" s="15">
        <v>41738</v>
      </c>
      <c r="N436" s="24">
        <v>1</v>
      </c>
      <c r="O436" s="17">
        <v>7500</v>
      </c>
      <c r="P436" s="17">
        <v>7500</v>
      </c>
      <c r="Q436" s="17">
        <f t="shared" si="9"/>
        <v>0</v>
      </c>
      <c r="R436" s="285" t="s">
        <v>2789</v>
      </c>
      <c r="S436" s="14">
        <v>41738</v>
      </c>
      <c r="T436" s="14"/>
    </row>
    <row r="437" spans="1:20" ht="75" customHeight="1" x14ac:dyDescent="0.2">
      <c r="A437" s="21">
        <v>435</v>
      </c>
      <c r="B437" s="31" t="s">
        <v>4278</v>
      </c>
      <c r="C437" s="31"/>
      <c r="D437" s="9" t="s">
        <v>3599</v>
      </c>
      <c r="E437" s="15">
        <v>41000</v>
      </c>
      <c r="F437" s="13" t="s">
        <v>6531</v>
      </c>
      <c r="G437" s="285" t="s">
        <v>3090</v>
      </c>
      <c r="H437" s="285" t="s">
        <v>5127</v>
      </c>
      <c r="I437" s="289"/>
      <c r="J437" s="285" t="s">
        <v>3136</v>
      </c>
      <c r="K437" s="15">
        <v>41876</v>
      </c>
      <c r="L437" s="289">
        <v>744</v>
      </c>
      <c r="M437" s="15">
        <v>41876</v>
      </c>
      <c r="N437" s="24">
        <v>1</v>
      </c>
      <c r="O437" s="17">
        <v>9300</v>
      </c>
      <c r="P437" s="17">
        <v>9300</v>
      </c>
      <c r="Q437" s="17">
        <f t="shared" si="9"/>
        <v>0</v>
      </c>
      <c r="R437" s="285" t="s">
        <v>6195</v>
      </c>
      <c r="S437" s="14">
        <v>41759</v>
      </c>
      <c r="T437" s="14"/>
    </row>
    <row r="438" spans="1:20" ht="68.25" customHeight="1" x14ac:dyDescent="0.2">
      <c r="A438" s="21">
        <v>436</v>
      </c>
      <c r="B438" s="31" t="s">
        <v>393</v>
      </c>
      <c r="C438" s="31"/>
      <c r="D438" s="9" t="s">
        <v>6196</v>
      </c>
      <c r="E438" s="22"/>
      <c r="F438" s="13" t="s">
        <v>191</v>
      </c>
      <c r="G438" s="285" t="s">
        <v>3090</v>
      </c>
      <c r="H438" s="285" t="s">
        <v>5127</v>
      </c>
      <c r="I438" s="289"/>
      <c r="J438" s="285" t="s">
        <v>3136</v>
      </c>
      <c r="K438" s="15">
        <v>41876</v>
      </c>
      <c r="L438" s="289">
        <v>744</v>
      </c>
      <c r="M438" s="15">
        <v>41876</v>
      </c>
      <c r="N438" s="24">
        <v>1</v>
      </c>
      <c r="O438" s="17">
        <v>32195</v>
      </c>
      <c r="P438" s="17">
        <v>32195</v>
      </c>
      <c r="Q438" s="17">
        <f t="shared" si="9"/>
        <v>0</v>
      </c>
      <c r="R438" s="285" t="s">
        <v>6195</v>
      </c>
      <c r="S438" s="14">
        <v>41759</v>
      </c>
      <c r="T438" s="14"/>
    </row>
    <row r="439" spans="1:20" ht="99" customHeight="1" x14ac:dyDescent="0.2">
      <c r="A439" s="21">
        <v>437</v>
      </c>
      <c r="B439" s="35" t="s">
        <v>394</v>
      </c>
      <c r="C439" s="35"/>
      <c r="D439" s="9" t="s">
        <v>5816</v>
      </c>
      <c r="E439" s="15">
        <v>41781</v>
      </c>
      <c r="F439" s="13" t="s">
        <v>1082</v>
      </c>
      <c r="G439" s="285" t="s">
        <v>7981</v>
      </c>
      <c r="H439" s="49" t="s">
        <v>5127</v>
      </c>
      <c r="I439" s="289"/>
      <c r="J439" s="285" t="s">
        <v>3136</v>
      </c>
      <c r="K439" s="15">
        <v>41915</v>
      </c>
      <c r="L439" s="289">
        <v>886</v>
      </c>
      <c r="M439" s="15">
        <v>41781</v>
      </c>
      <c r="N439" s="24">
        <v>1</v>
      </c>
      <c r="O439" s="34">
        <v>3450</v>
      </c>
      <c r="P439" s="17">
        <v>3450</v>
      </c>
      <c r="Q439" s="17">
        <f t="shared" si="9"/>
        <v>0</v>
      </c>
      <c r="R439" s="285" t="s">
        <v>5817</v>
      </c>
      <c r="S439" s="14">
        <v>41781</v>
      </c>
      <c r="T439" s="14"/>
    </row>
    <row r="440" spans="1:20" ht="86.25" customHeight="1" x14ac:dyDescent="0.2">
      <c r="A440" s="21">
        <v>438</v>
      </c>
      <c r="B440" s="35" t="s">
        <v>395</v>
      </c>
      <c r="C440" s="35"/>
      <c r="D440" s="9" t="s">
        <v>4446</v>
      </c>
      <c r="E440" s="15">
        <v>41754</v>
      </c>
      <c r="F440" s="9" t="s">
        <v>10342</v>
      </c>
      <c r="G440" s="285" t="s">
        <v>9194</v>
      </c>
      <c r="H440" s="49" t="s">
        <v>5127</v>
      </c>
      <c r="I440" s="289"/>
      <c r="J440" s="285" t="s">
        <v>3136</v>
      </c>
      <c r="K440" s="15">
        <v>41842</v>
      </c>
      <c r="L440" s="289">
        <v>649</v>
      </c>
      <c r="M440" s="15">
        <v>41831</v>
      </c>
      <c r="N440" s="24">
        <v>1</v>
      </c>
      <c r="O440" s="34">
        <f>55600-3288</f>
        <v>52312</v>
      </c>
      <c r="P440" s="17">
        <v>52312</v>
      </c>
      <c r="Q440" s="17">
        <f t="shared" si="9"/>
        <v>0</v>
      </c>
      <c r="R440" s="285" t="s">
        <v>4447</v>
      </c>
      <c r="S440" s="14">
        <v>41788</v>
      </c>
      <c r="T440" s="14"/>
    </row>
    <row r="441" spans="1:20" ht="45" customHeight="1" x14ac:dyDescent="0.2">
      <c r="A441" s="21">
        <v>439</v>
      </c>
      <c r="B441" s="35" t="s">
        <v>396</v>
      </c>
      <c r="C441" s="35"/>
      <c r="D441" s="9" t="s">
        <v>4356</v>
      </c>
      <c r="E441" s="15">
        <v>40544</v>
      </c>
      <c r="F441" s="26" t="s">
        <v>6915</v>
      </c>
      <c r="G441" s="285" t="s">
        <v>7982</v>
      </c>
      <c r="H441" s="49" t="s">
        <v>5127</v>
      </c>
      <c r="I441" s="289"/>
      <c r="J441" s="285" t="s">
        <v>3136</v>
      </c>
      <c r="K441" s="15">
        <v>41872</v>
      </c>
      <c r="L441" s="289">
        <v>730</v>
      </c>
      <c r="M441" s="15">
        <v>41754</v>
      </c>
      <c r="N441" s="24">
        <v>1</v>
      </c>
      <c r="O441" s="34">
        <v>5353</v>
      </c>
      <c r="P441" s="17">
        <v>5353</v>
      </c>
      <c r="Q441" s="17">
        <f t="shared" si="9"/>
        <v>0</v>
      </c>
      <c r="R441" s="285" t="s">
        <v>443</v>
      </c>
      <c r="S441" s="14">
        <v>41633</v>
      </c>
      <c r="T441" s="14"/>
    </row>
    <row r="442" spans="1:20" ht="45" customHeight="1" x14ac:dyDescent="0.2">
      <c r="A442" s="21">
        <v>440</v>
      </c>
      <c r="B442" s="35" t="s">
        <v>397</v>
      </c>
      <c r="C442" s="35"/>
      <c r="D442" s="9" t="s">
        <v>1728</v>
      </c>
      <c r="E442" s="15">
        <v>41871</v>
      </c>
      <c r="F442" s="26" t="s">
        <v>7036</v>
      </c>
      <c r="G442" s="285" t="s">
        <v>7981</v>
      </c>
      <c r="H442" s="285" t="s">
        <v>5127</v>
      </c>
      <c r="I442" s="289"/>
      <c r="J442" s="285" t="s">
        <v>3136</v>
      </c>
      <c r="K442" s="15">
        <v>41878</v>
      </c>
      <c r="L442" s="289">
        <v>749</v>
      </c>
      <c r="M442" s="15">
        <v>41871</v>
      </c>
      <c r="N442" s="24">
        <v>1</v>
      </c>
      <c r="O442" s="17">
        <v>6900</v>
      </c>
      <c r="P442" s="17">
        <v>6900</v>
      </c>
      <c r="Q442" s="17">
        <f t="shared" si="9"/>
        <v>0</v>
      </c>
      <c r="R442" s="285" t="s">
        <v>6328</v>
      </c>
      <c r="S442" s="14">
        <v>41855</v>
      </c>
      <c r="T442" s="14"/>
    </row>
    <row r="443" spans="1:20" ht="45" customHeight="1" x14ac:dyDescent="0.2">
      <c r="A443" s="21">
        <v>441</v>
      </c>
      <c r="B443" s="31" t="s">
        <v>742</v>
      </c>
      <c r="C443" s="31"/>
      <c r="D443" s="9" t="s">
        <v>3221</v>
      </c>
      <c r="E443" s="285"/>
      <c r="F443" s="26" t="s">
        <v>3223</v>
      </c>
      <c r="G443" s="56" t="s">
        <v>101</v>
      </c>
      <c r="H443" s="285" t="s">
        <v>5127</v>
      </c>
      <c r="I443" s="289"/>
      <c r="J443" s="285" t="s">
        <v>3136</v>
      </c>
      <c r="K443" s="15">
        <v>41885</v>
      </c>
      <c r="L443" s="289">
        <v>772</v>
      </c>
      <c r="M443" s="15">
        <v>41871</v>
      </c>
      <c r="N443" s="24">
        <v>1</v>
      </c>
      <c r="O443" s="17">
        <v>8732.77</v>
      </c>
      <c r="P443" s="17">
        <v>8732.77</v>
      </c>
      <c r="Q443" s="17">
        <f t="shared" si="9"/>
        <v>0</v>
      </c>
      <c r="R443" s="285" t="s">
        <v>3222</v>
      </c>
      <c r="S443" s="14">
        <v>41255</v>
      </c>
      <c r="T443" s="14"/>
    </row>
    <row r="444" spans="1:20" ht="45" customHeight="1" x14ac:dyDescent="0.2">
      <c r="A444" s="21">
        <v>442</v>
      </c>
      <c r="B444" s="247" t="s">
        <v>1608</v>
      </c>
      <c r="C444" s="247"/>
      <c r="D444" s="54" t="s">
        <v>2761</v>
      </c>
      <c r="E444" s="285"/>
      <c r="F444" s="55" t="s">
        <v>5167</v>
      </c>
      <c r="G444" s="56" t="s">
        <v>101</v>
      </c>
      <c r="H444" s="37" t="s">
        <v>5127</v>
      </c>
      <c r="I444" s="289"/>
      <c r="J444" s="37" t="s">
        <v>3136</v>
      </c>
      <c r="K444" s="57">
        <v>41885</v>
      </c>
      <c r="L444" s="20">
        <v>772</v>
      </c>
      <c r="M444" s="57">
        <v>41871</v>
      </c>
      <c r="N444" s="33">
        <v>1</v>
      </c>
      <c r="O444" s="34">
        <v>14500</v>
      </c>
      <c r="P444" s="17">
        <v>14500</v>
      </c>
      <c r="Q444" s="17">
        <f t="shared" si="9"/>
        <v>0</v>
      </c>
      <c r="R444" s="285" t="s">
        <v>2762</v>
      </c>
      <c r="S444" s="14">
        <v>41067</v>
      </c>
      <c r="T444" s="14"/>
    </row>
    <row r="445" spans="1:20" ht="46.5" customHeight="1" x14ac:dyDescent="0.2">
      <c r="A445" s="21">
        <v>443</v>
      </c>
      <c r="B445" s="31" t="s">
        <v>1609</v>
      </c>
      <c r="C445" s="31"/>
      <c r="D445" s="9" t="s">
        <v>479</v>
      </c>
      <c r="E445" s="22"/>
      <c r="F445" s="13" t="s">
        <v>5169</v>
      </c>
      <c r="G445" s="285" t="s">
        <v>7846</v>
      </c>
      <c r="H445" s="285" t="s">
        <v>5127</v>
      </c>
      <c r="I445" s="289"/>
      <c r="J445" s="37" t="s">
        <v>3136</v>
      </c>
      <c r="K445" s="57">
        <v>41885</v>
      </c>
      <c r="L445" s="20">
        <v>774</v>
      </c>
      <c r="M445" s="15">
        <v>41871</v>
      </c>
      <c r="N445" s="33">
        <v>1</v>
      </c>
      <c r="O445" s="34">
        <v>69838</v>
      </c>
      <c r="P445" s="17">
        <v>69838</v>
      </c>
      <c r="Q445" s="17">
        <f t="shared" si="9"/>
        <v>0</v>
      </c>
      <c r="R445" s="285" t="s">
        <v>5168</v>
      </c>
      <c r="S445" s="14">
        <v>40324</v>
      </c>
      <c r="T445" s="14"/>
    </row>
    <row r="446" spans="1:20" ht="46.5" customHeight="1" x14ac:dyDescent="0.2">
      <c r="A446" s="21">
        <v>444</v>
      </c>
      <c r="B446" s="31" t="s">
        <v>5032</v>
      </c>
      <c r="C446" s="31"/>
      <c r="D446" s="9" t="s">
        <v>3305</v>
      </c>
      <c r="E446" s="22"/>
      <c r="F446" s="13" t="s">
        <v>1332</v>
      </c>
      <c r="G446" s="285" t="s">
        <v>7846</v>
      </c>
      <c r="H446" s="285" t="s">
        <v>5127</v>
      </c>
      <c r="I446" s="289"/>
      <c r="J446" s="37" t="s">
        <v>3136</v>
      </c>
      <c r="K446" s="15">
        <v>41885</v>
      </c>
      <c r="L446" s="289">
        <v>774</v>
      </c>
      <c r="M446" s="15">
        <v>41871</v>
      </c>
      <c r="N446" s="24">
        <v>1</v>
      </c>
      <c r="O446" s="17">
        <v>35600</v>
      </c>
      <c r="P446" s="17">
        <v>35600</v>
      </c>
      <c r="Q446" s="17">
        <f t="shared" si="9"/>
        <v>0</v>
      </c>
      <c r="R446" s="285" t="s">
        <v>1331</v>
      </c>
      <c r="S446" s="14">
        <v>41055</v>
      </c>
      <c r="T446" s="14"/>
    </row>
    <row r="447" spans="1:20" ht="71.25" customHeight="1" x14ac:dyDescent="0.2">
      <c r="A447" s="21">
        <v>445</v>
      </c>
      <c r="B447" s="31" t="s">
        <v>5033</v>
      </c>
      <c r="C447" s="31"/>
      <c r="D447" s="36" t="s">
        <v>1185</v>
      </c>
      <c r="E447" s="14" t="s">
        <v>355</v>
      </c>
      <c r="F447" s="13" t="s">
        <v>1186</v>
      </c>
      <c r="G447" s="285" t="s">
        <v>4296</v>
      </c>
      <c r="H447" s="285" t="s">
        <v>1586</v>
      </c>
      <c r="I447" s="289"/>
      <c r="J447" s="37" t="s">
        <v>3136</v>
      </c>
      <c r="K447" s="14">
        <v>41894</v>
      </c>
      <c r="L447" s="289">
        <v>812</v>
      </c>
      <c r="M447" s="15">
        <v>41821</v>
      </c>
      <c r="N447" s="24">
        <v>1</v>
      </c>
      <c r="O447" s="17">
        <v>45002.46</v>
      </c>
      <c r="P447" s="17">
        <v>45002.46</v>
      </c>
      <c r="Q447" s="17">
        <f t="shared" si="9"/>
        <v>0</v>
      </c>
      <c r="R447" s="285" t="s">
        <v>76</v>
      </c>
      <c r="S447" s="14">
        <v>41529</v>
      </c>
      <c r="T447" s="14"/>
    </row>
    <row r="448" spans="1:20" ht="51.75" customHeight="1" x14ac:dyDescent="0.2">
      <c r="A448" s="21">
        <v>446</v>
      </c>
      <c r="B448" s="31" t="s">
        <v>1792</v>
      </c>
      <c r="C448" s="31"/>
      <c r="D448" s="36" t="s">
        <v>1213</v>
      </c>
      <c r="E448" s="14" t="s">
        <v>356</v>
      </c>
      <c r="F448" s="13" t="s">
        <v>5046</v>
      </c>
      <c r="G448" s="285" t="s">
        <v>4296</v>
      </c>
      <c r="H448" s="285" t="s">
        <v>1586</v>
      </c>
      <c r="I448" s="289"/>
      <c r="J448" s="37" t="s">
        <v>3136</v>
      </c>
      <c r="K448" s="14">
        <v>41894</v>
      </c>
      <c r="L448" s="289">
        <v>812</v>
      </c>
      <c r="M448" s="15">
        <v>41821</v>
      </c>
      <c r="N448" s="24">
        <v>1</v>
      </c>
      <c r="O448" s="17">
        <v>33389.83</v>
      </c>
      <c r="P448" s="17">
        <v>33389.83</v>
      </c>
      <c r="Q448" s="17">
        <f t="shared" si="9"/>
        <v>0</v>
      </c>
      <c r="R448" s="285" t="s">
        <v>5047</v>
      </c>
      <c r="S448" s="14">
        <v>41660</v>
      </c>
      <c r="T448" s="14"/>
    </row>
    <row r="449" spans="1:20" ht="51.75" customHeight="1" x14ac:dyDescent="0.2">
      <c r="A449" s="21">
        <v>447</v>
      </c>
      <c r="B449" s="245" t="s">
        <v>2750</v>
      </c>
      <c r="C449" s="245"/>
      <c r="D449" s="46" t="s">
        <v>6117</v>
      </c>
      <c r="E449" s="53" t="s">
        <v>6116</v>
      </c>
      <c r="F449" s="47" t="s">
        <v>6118</v>
      </c>
      <c r="G449" s="285" t="s">
        <v>4296</v>
      </c>
      <c r="H449" s="49" t="s">
        <v>1586</v>
      </c>
      <c r="I449" s="289"/>
      <c r="J449" s="37" t="s">
        <v>3136</v>
      </c>
      <c r="K449" s="53">
        <v>41894</v>
      </c>
      <c r="L449" s="30">
        <v>812</v>
      </c>
      <c r="M449" s="51">
        <v>41821</v>
      </c>
      <c r="N449" s="52">
        <v>1</v>
      </c>
      <c r="O449" s="48">
        <v>83379.289999999994</v>
      </c>
      <c r="P449" s="17">
        <v>83379.289999999994</v>
      </c>
      <c r="Q449" s="17">
        <f t="shared" si="9"/>
        <v>0</v>
      </c>
      <c r="R449" s="49" t="s">
        <v>5651</v>
      </c>
      <c r="S449" s="53">
        <v>41753</v>
      </c>
      <c r="T449" s="53"/>
    </row>
    <row r="450" spans="1:20" ht="51.75" customHeight="1" x14ac:dyDescent="0.2">
      <c r="A450" s="21">
        <v>448</v>
      </c>
      <c r="B450" s="31" t="s">
        <v>5058</v>
      </c>
      <c r="C450" s="31"/>
      <c r="D450" s="9" t="s">
        <v>1170</v>
      </c>
      <c r="E450" s="14" t="s">
        <v>1031</v>
      </c>
      <c r="F450" s="13" t="s">
        <v>1171</v>
      </c>
      <c r="G450" s="285" t="s">
        <v>4296</v>
      </c>
      <c r="H450" s="49" t="s">
        <v>1586</v>
      </c>
      <c r="I450" s="289"/>
      <c r="J450" s="37" t="s">
        <v>3136</v>
      </c>
      <c r="K450" s="53">
        <v>41950</v>
      </c>
      <c r="L450" s="30">
        <v>1012</v>
      </c>
      <c r="M450" s="15">
        <v>41121</v>
      </c>
      <c r="N450" s="52">
        <v>1</v>
      </c>
      <c r="O450" s="17">
        <v>8978.4500000000007</v>
      </c>
      <c r="P450" s="17">
        <v>8978.4500000000007</v>
      </c>
      <c r="Q450" s="17">
        <f t="shared" si="9"/>
        <v>0</v>
      </c>
      <c r="R450" s="285" t="s">
        <v>5071</v>
      </c>
      <c r="S450" s="14">
        <v>41121</v>
      </c>
      <c r="T450" s="22">
        <v>11</v>
      </c>
    </row>
    <row r="451" spans="1:20" ht="87" customHeight="1" x14ac:dyDescent="0.2">
      <c r="A451" s="21">
        <v>449</v>
      </c>
      <c r="B451" s="31" t="s">
        <v>5059</v>
      </c>
      <c r="C451" s="31"/>
      <c r="D451" s="9" t="s">
        <v>1172</v>
      </c>
      <c r="E451" s="14" t="s">
        <v>1031</v>
      </c>
      <c r="F451" s="13"/>
      <c r="G451" s="285" t="s">
        <v>4296</v>
      </c>
      <c r="H451" s="285" t="s">
        <v>1586</v>
      </c>
      <c r="I451" s="289"/>
      <c r="J451" s="37" t="s">
        <v>3136</v>
      </c>
      <c r="K451" s="14">
        <v>41950</v>
      </c>
      <c r="L451" s="289">
        <v>1012</v>
      </c>
      <c r="M451" s="15">
        <v>41121</v>
      </c>
      <c r="N451" s="24">
        <v>1</v>
      </c>
      <c r="O451" s="17">
        <v>7012.73</v>
      </c>
      <c r="P451" s="17">
        <v>7012.73</v>
      </c>
      <c r="Q451" s="17">
        <f t="shared" ref="Q451:Q482" si="10">O451-P451</f>
        <v>0</v>
      </c>
      <c r="R451" s="285" t="s">
        <v>5071</v>
      </c>
      <c r="S451" s="14">
        <v>41121</v>
      </c>
      <c r="T451" s="22">
        <v>11</v>
      </c>
    </row>
    <row r="452" spans="1:20" ht="45.75" customHeight="1" x14ac:dyDescent="0.2">
      <c r="A452" s="21">
        <v>450</v>
      </c>
      <c r="B452" s="31" t="s">
        <v>2430</v>
      </c>
      <c r="C452" s="31"/>
      <c r="D452" s="9" t="s">
        <v>1172</v>
      </c>
      <c r="E452" s="14" t="s">
        <v>1031</v>
      </c>
      <c r="F452" s="13"/>
      <c r="G452" s="285" t="s">
        <v>4296</v>
      </c>
      <c r="H452" s="285" t="s">
        <v>1586</v>
      </c>
      <c r="I452" s="289"/>
      <c r="J452" s="37" t="s">
        <v>3136</v>
      </c>
      <c r="K452" s="14">
        <v>41950</v>
      </c>
      <c r="L452" s="289">
        <v>1012</v>
      </c>
      <c r="M452" s="15">
        <v>41121</v>
      </c>
      <c r="N452" s="24">
        <v>1</v>
      </c>
      <c r="O452" s="17">
        <v>13140.06</v>
      </c>
      <c r="P452" s="17">
        <v>13140.06</v>
      </c>
      <c r="Q452" s="17">
        <f t="shared" si="10"/>
        <v>0</v>
      </c>
      <c r="R452" s="285" t="s">
        <v>5071</v>
      </c>
      <c r="S452" s="14">
        <v>41121</v>
      </c>
      <c r="T452" s="22">
        <v>11</v>
      </c>
    </row>
    <row r="453" spans="1:20" ht="51.75" customHeight="1" x14ac:dyDescent="0.2">
      <c r="A453" s="21">
        <v>451</v>
      </c>
      <c r="B453" s="31" t="s">
        <v>2431</v>
      </c>
      <c r="C453" s="31"/>
      <c r="D453" s="9" t="s">
        <v>1172</v>
      </c>
      <c r="E453" s="14" t="s">
        <v>1031</v>
      </c>
      <c r="F453" s="13"/>
      <c r="G453" s="285" t="s">
        <v>4296</v>
      </c>
      <c r="H453" s="285" t="s">
        <v>1586</v>
      </c>
      <c r="I453" s="289"/>
      <c r="J453" s="37" t="s">
        <v>3136</v>
      </c>
      <c r="K453" s="14">
        <v>41950</v>
      </c>
      <c r="L453" s="289">
        <v>1012</v>
      </c>
      <c r="M453" s="15">
        <v>41121</v>
      </c>
      <c r="N453" s="24">
        <v>1</v>
      </c>
      <c r="O453" s="17">
        <v>12437.03</v>
      </c>
      <c r="P453" s="17">
        <v>12437.03</v>
      </c>
      <c r="Q453" s="17">
        <f t="shared" si="10"/>
        <v>0</v>
      </c>
      <c r="R453" s="285" t="s">
        <v>5071</v>
      </c>
      <c r="S453" s="14">
        <v>41121</v>
      </c>
      <c r="T453" s="22">
        <v>11</v>
      </c>
    </row>
    <row r="454" spans="1:20" ht="51.75" customHeight="1" x14ac:dyDescent="0.2">
      <c r="A454" s="21">
        <v>452</v>
      </c>
      <c r="B454" s="31" t="s">
        <v>2432</v>
      </c>
      <c r="C454" s="31"/>
      <c r="D454" s="9" t="s">
        <v>1173</v>
      </c>
      <c r="E454" s="14" t="s">
        <v>1031</v>
      </c>
      <c r="F454" s="13" t="s">
        <v>715</v>
      </c>
      <c r="G454" s="285" t="s">
        <v>4296</v>
      </c>
      <c r="H454" s="285" t="s">
        <v>1586</v>
      </c>
      <c r="I454" s="289"/>
      <c r="J454" s="37" t="s">
        <v>3136</v>
      </c>
      <c r="K454" s="14">
        <v>41950</v>
      </c>
      <c r="L454" s="289">
        <v>1012</v>
      </c>
      <c r="M454" s="15">
        <v>41121</v>
      </c>
      <c r="N454" s="24">
        <v>1</v>
      </c>
      <c r="O454" s="17">
        <v>7990.11</v>
      </c>
      <c r="P454" s="17">
        <v>7990.11</v>
      </c>
      <c r="Q454" s="17">
        <f t="shared" si="10"/>
        <v>0</v>
      </c>
      <c r="R454" s="285" t="s">
        <v>5071</v>
      </c>
      <c r="S454" s="14">
        <v>41121</v>
      </c>
      <c r="T454" s="22">
        <v>11</v>
      </c>
    </row>
    <row r="455" spans="1:20" ht="48.75" customHeight="1" x14ac:dyDescent="0.2">
      <c r="A455" s="21">
        <v>453</v>
      </c>
      <c r="B455" s="31" t="s">
        <v>2433</v>
      </c>
      <c r="C455" s="31"/>
      <c r="D455" s="9" t="s">
        <v>1173</v>
      </c>
      <c r="E455" s="14" t="s">
        <v>1031</v>
      </c>
      <c r="F455" s="13" t="s">
        <v>715</v>
      </c>
      <c r="G455" s="285" t="s">
        <v>4296</v>
      </c>
      <c r="H455" s="285" t="s">
        <v>1586</v>
      </c>
      <c r="I455" s="289"/>
      <c r="J455" s="37" t="s">
        <v>3136</v>
      </c>
      <c r="K455" s="14">
        <v>41950</v>
      </c>
      <c r="L455" s="289">
        <v>1012</v>
      </c>
      <c r="M455" s="15">
        <v>41121</v>
      </c>
      <c r="N455" s="24">
        <v>1</v>
      </c>
      <c r="O455" s="17">
        <v>11837.36</v>
      </c>
      <c r="P455" s="17">
        <v>11837.36</v>
      </c>
      <c r="Q455" s="17">
        <f t="shared" si="10"/>
        <v>0</v>
      </c>
      <c r="R455" s="285" t="s">
        <v>5071</v>
      </c>
      <c r="S455" s="14">
        <v>41121</v>
      </c>
      <c r="T455" s="22">
        <v>11</v>
      </c>
    </row>
    <row r="456" spans="1:20" ht="48.75" customHeight="1" x14ac:dyDescent="0.2">
      <c r="A456" s="21">
        <v>454</v>
      </c>
      <c r="B456" s="31" t="s">
        <v>2434</v>
      </c>
      <c r="C456" s="31"/>
      <c r="D456" s="9" t="s">
        <v>1173</v>
      </c>
      <c r="E456" s="14" t="s">
        <v>1031</v>
      </c>
      <c r="F456" s="26" t="s">
        <v>715</v>
      </c>
      <c r="G456" s="285" t="s">
        <v>4296</v>
      </c>
      <c r="H456" s="285" t="s">
        <v>1586</v>
      </c>
      <c r="I456" s="289"/>
      <c r="J456" s="37" t="s">
        <v>3136</v>
      </c>
      <c r="K456" s="14">
        <v>41950</v>
      </c>
      <c r="L456" s="289">
        <v>1012</v>
      </c>
      <c r="M456" s="15">
        <v>41121</v>
      </c>
      <c r="N456" s="24">
        <v>1</v>
      </c>
      <c r="O456" s="17">
        <v>7990.11</v>
      </c>
      <c r="P456" s="17">
        <v>7990.11</v>
      </c>
      <c r="Q456" s="17">
        <f t="shared" si="10"/>
        <v>0</v>
      </c>
      <c r="R456" s="285" t="s">
        <v>5071</v>
      </c>
      <c r="S456" s="14">
        <v>41121</v>
      </c>
      <c r="T456" s="22">
        <v>11</v>
      </c>
    </row>
    <row r="457" spans="1:20" ht="41.25" customHeight="1" x14ac:dyDescent="0.2">
      <c r="A457" s="21">
        <v>455</v>
      </c>
      <c r="B457" s="31" t="s">
        <v>5315</v>
      </c>
      <c r="C457" s="31"/>
      <c r="D457" s="9" t="s">
        <v>5897</v>
      </c>
      <c r="E457" s="14" t="s">
        <v>1031</v>
      </c>
      <c r="F457" s="26"/>
      <c r="G457" s="285" t="s">
        <v>4296</v>
      </c>
      <c r="H457" s="285" t="s">
        <v>1586</v>
      </c>
      <c r="I457" s="289"/>
      <c r="J457" s="37" t="s">
        <v>3136</v>
      </c>
      <c r="K457" s="14">
        <v>41950</v>
      </c>
      <c r="L457" s="289">
        <v>1012</v>
      </c>
      <c r="M457" s="15">
        <v>41121</v>
      </c>
      <c r="N457" s="24">
        <v>1</v>
      </c>
      <c r="O457" s="17">
        <v>14145</v>
      </c>
      <c r="P457" s="17">
        <v>14145</v>
      </c>
      <c r="Q457" s="17">
        <f t="shared" si="10"/>
        <v>0</v>
      </c>
      <c r="R457" s="285" t="s">
        <v>5071</v>
      </c>
      <c r="S457" s="14">
        <v>41121</v>
      </c>
      <c r="T457" s="285">
        <v>11</v>
      </c>
    </row>
    <row r="458" spans="1:20" ht="41.25" customHeight="1" x14ac:dyDescent="0.2">
      <c r="A458" s="21">
        <v>456</v>
      </c>
      <c r="B458" s="31" t="s">
        <v>4680</v>
      </c>
      <c r="C458" s="31"/>
      <c r="D458" s="9" t="s">
        <v>6024</v>
      </c>
      <c r="E458" s="14" t="s">
        <v>1031</v>
      </c>
      <c r="F458" s="26"/>
      <c r="G458" s="285" t="s">
        <v>4296</v>
      </c>
      <c r="H458" s="285" t="s">
        <v>1586</v>
      </c>
      <c r="I458" s="289"/>
      <c r="J458" s="37" t="s">
        <v>3136</v>
      </c>
      <c r="K458" s="14">
        <v>41950</v>
      </c>
      <c r="L458" s="289">
        <v>1012</v>
      </c>
      <c r="M458" s="15">
        <v>41121</v>
      </c>
      <c r="N458" s="24">
        <v>1</v>
      </c>
      <c r="O458" s="17">
        <v>6566.67</v>
      </c>
      <c r="P458" s="17">
        <v>6566.67</v>
      </c>
      <c r="Q458" s="17">
        <f t="shared" si="10"/>
        <v>0</v>
      </c>
      <c r="R458" s="285" t="s">
        <v>5071</v>
      </c>
      <c r="S458" s="14">
        <v>41121</v>
      </c>
      <c r="T458" s="285">
        <v>11</v>
      </c>
    </row>
    <row r="459" spans="1:20" ht="41.25" customHeight="1" x14ac:dyDescent="0.2">
      <c r="A459" s="21">
        <v>457</v>
      </c>
      <c r="B459" s="31" t="s">
        <v>4681</v>
      </c>
      <c r="C459" s="31"/>
      <c r="D459" s="9" t="s">
        <v>4856</v>
      </c>
      <c r="E459" s="14" t="s">
        <v>1031</v>
      </c>
      <c r="F459" s="9"/>
      <c r="G459" s="285" t="s">
        <v>4296</v>
      </c>
      <c r="H459" s="285" t="s">
        <v>1586</v>
      </c>
      <c r="I459" s="289"/>
      <c r="J459" s="37" t="s">
        <v>3136</v>
      </c>
      <c r="K459" s="14">
        <v>41950</v>
      </c>
      <c r="L459" s="289">
        <v>1012</v>
      </c>
      <c r="M459" s="15">
        <v>41121</v>
      </c>
      <c r="N459" s="24">
        <v>1</v>
      </c>
      <c r="O459" s="17">
        <v>27394.93</v>
      </c>
      <c r="P459" s="17">
        <v>27394.93</v>
      </c>
      <c r="Q459" s="17">
        <f t="shared" si="10"/>
        <v>0</v>
      </c>
      <c r="R459" s="285" t="s">
        <v>5071</v>
      </c>
      <c r="S459" s="14">
        <v>41121</v>
      </c>
      <c r="T459" s="285">
        <v>11</v>
      </c>
    </row>
    <row r="460" spans="1:20" ht="41.25" customHeight="1" x14ac:dyDescent="0.2">
      <c r="A460" s="21">
        <v>458</v>
      </c>
      <c r="B460" s="31" t="s">
        <v>4682</v>
      </c>
      <c r="C460" s="31"/>
      <c r="D460" s="9" t="s">
        <v>4857</v>
      </c>
      <c r="E460" s="14" t="s">
        <v>1031</v>
      </c>
      <c r="F460" s="13"/>
      <c r="G460" s="285" t="s">
        <v>4296</v>
      </c>
      <c r="H460" s="285" t="s">
        <v>1586</v>
      </c>
      <c r="I460" s="289"/>
      <c r="J460" s="37" t="s">
        <v>3136</v>
      </c>
      <c r="K460" s="14">
        <v>41950</v>
      </c>
      <c r="L460" s="289">
        <v>1012</v>
      </c>
      <c r="M460" s="15">
        <v>41205</v>
      </c>
      <c r="N460" s="24">
        <v>1</v>
      </c>
      <c r="O460" s="17">
        <v>2458.64</v>
      </c>
      <c r="P460" s="17">
        <v>2458.64</v>
      </c>
      <c r="Q460" s="17">
        <f t="shared" si="10"/>
        <v>0</v>
      </c>
      <c r="R460" s="285" t="s">
        <v>5071</v>
      </c>
      <c r="S460" s="14">
        <v>41205</v>
      </c>
      <c r="T460" s="285">
        <v>1000000249</v>
      </c>
    </row>
    <row r="461" spans="1:20" ht="41.25" customHeight="1" x14ac:dyDescent="0.2">
      <c r="A461" s="21">
        <v>459</v>
      </c>
      <c r="B461" s="31" t="s">
        <v>4683</v>
      </c>
      <c r="C461" s="31"/>
      <c r="D461" s="9" t="s">
        <v>517</v>
      </c>
      <c r="E461" s="14" t="s">
        <v>1031</v>
      </c>
      <c r="F461" s="13"/>
      <c r="G461" s="285" t="s">
        <v>4296</v>
      </c>
      <c r="H461" s="285" t="s">
        <v>1586</v>
      </c>
      <c r="I461" s="289"/>
      <c r="J461" s="37" t="s">
        <v>3136</v>
      </c>
      <c r="K461" s="14">
        <v>41950</v>
      </c>
      <c r="L461" s="289">
        <v>1012</v>
      </c>
      <c r="M461" s="15">
        <v>41205</v>
      </c>
      <c r="N461" s="24">
        <v>1</v>
      </c>
      <c r="O461" s="17">
        <v>29211.86</v>
      </c>
      <c r="P461" s="17">
        <v>29211.86</v>
      </c>
      <c r="Q461" s="17">
        <f t="shared" si="10"/>
        <v>0</v>
      </c>
      <c r="R461" s="285" t="s">
        <v>5071</v>
      </c>
      <c r="S461" s="14">
        <v>41205</v>
      </c>
      <c r="T461" s="285">
        <v>1000000249</v>
      </c>
    </row>
    <row r="462" spans="1:20" ht="41.25" customHeight="1" x14ac:dyDescent="0.2">
      <c r="A462" s="21">
        <v>460</v>
      </c>
      <c r="B462" s="31" t="s">
        <v>4684</v>
      </c>
      <c r="C462" s="31"/>
      <c r="D462" s="9" t="s">
        <v>5296</v>
      </c>
      <c r="E462" s="14" t="s">
        <v>1031</v>
      </c>
      <c r="F462" s="13"/>
      <c r="G462" s="285" t="s">
        <v>4296</v>
      </c>
      <c r="H462" s="285" t="s">
        <v>1586</v>
      </c>
      <c r="I462" s="289"/>
      <c r="J462" s="37" t="s">
        <v>3136</v>
      </c>
      <c r="K462" s="14">
        <v>41950</v>
      </c>
      <c r="L462" s="289">
        <v>1012</v>
      </c>
      <c r="M462" s="15">
        <v>41232</v>
      </c>
      <c r="N462" s="24">
        <v>1</v>
      </c>
      <c r="O462" s="17">
        <v>3100</v>
      </c>
      <c r="P462" s="17">
        <v>3100</v>
      </c>
      <c r="Q462" s="17">
        <f t="shared" si="10"/>
        <v>0</v>
      </c>
      <c r="R462" s="285" t="s">
        <v>5071</v>
      </c>
      <c r="S462" s="14">
        <v>41229</v>
      </c>
      <c r="T462" s="285">
        <v>1147</v>
      </c>
    </row>
    <row r="463" spans="1:20" ht="42" customHeight="1" x14ac:dyDescent="0.2">
      <c r="A463" s="21">
        <v>461</v>
      </c>
      <c r="B463" s="31" t="s">
        <v>4685</v>
      </c>
      <c r="C463" s="31"/>
      <c r="D463" s="9" t="s">
        <v>518</v>
      </c>
      <c r="E463" s="14" t="s">
        <v>2222</v>
      </c>
      <c r="F463" s="13"/>
      <c r="G463" s="285" t="s">
        <v>4296</v>
      </c>
      <c r="H463" s="285" t="s">
        <v>1586</v>
      </c>
      <c r="I463" s="289"/>
      <c r="J463" s="37" t="s">
        <v>3136</v>
      </c>
      <c r="K463" s="14">
        <v>41950</v>
      </c>
      <c r="L463" s="289">
        <v>1012</v>
      </c>
      <c r="M463" s="15">
        <v>41605</v>
      </c>
      <c r="N463" s="24">
        <v>1</v>
      </c>
      <c r="O463" s="17">
        <v>37627.120000000003</v>
      </c>
      <c r="P463" s="17">
        <v>37627.120000000003</v>
      </c>
      <c r="Q463" s="17">
        <f t="shared" si="10"/>
        <v>0</v>
      </c>
      <c r="R463" s="285" t="s">
        <v>5071</v>
      </c>
      <c r="S463" s="14">
        <v>41603</v>
      </c>
      <c r="T463" s="285">
        <v>77</v>
      </c>
    </row>
    <row r="464" spans="1:20" ht="42" customHeight="1" x14ac:dyDescent="0.2">
      <c r="A464" s="21">
        <v>462</v>
      </c>
      <c r="B464" s="31" t="s">
        <v>4686</v>
      </c>
      <c r="C464" s="31"/>
      <c r="D464" s="9" t="s">
        <v>1958</v>
      </c>
      <c r="E464" s="14" t="s">
        <v>2222</v>
      </c>
      <c r="F464" s="13"/>
      <c r="G464" s="285" t="s">
        <v>4296</v>
      </c>
      <c r="H464" s="285" t="s">
        <v>1586</v>
      </c>
      <c r="I464" s="289"/>
      <c r="J464" s="37" t="s">
        <v>3136</v>
      </c>
      <c r="K464" s="14">
        <v>41950</v>
      </c>
      <c r="L464" s="289">
        <v>1012</v>
      </c>
      <c r="M464" s="15">
        <v>41694</v>
      </c>
      <c r="N464" s="24">
        <v>1</v>
      </c>
      <c r="O464" s="17">
        <v>5127.12</v>
      </c>
      <c r="P464" s="17">
        <v>5127.12</v>
      </c>
      <c r="Q464" s="17">
        <f t="shared" si="10"/>
        <v>0</v>
      </c>
      <c r="R464" s="285" t="s">
        <v>5071</v>
      </c>
      <c r="S464" s="14">
        <v>41691</v>
      </c>
      <c r="T464" s="285">
        <v>24</v>
      </c>
    </row>
    <row r="465" spans="1:20" ht="42" customHeight="1" x14ac:dyDescent="0.2">
      <c r="A465" s="21">
        <v>463</v>
      </c>
      <c r="B465" s="31" t="s">
        <v>6106</v>
      </c>
      <c r="C465" s="18"/>
      <c r="D465" s="9" t="s">
        <v>912</v>
      </c>
      <c r="E465" s="12"/>
      <c r="F465" s="36" t="s">
        <v>8236</v>
      </c>
      <c r="G465" s="285" t="s">
        <v>4296</v>
      </c>
      <c r="H465" s="22" t="s">
        <v>3793</v>
      </c>
      <c r="I465" s="18"/>
      <c r="J465" s="37" t="s">
        <v>3136</v>
      </c>
      <c r="K465" s="14">
        <v>41079</v>
      </c>
      <c r="L465" s="289">
        <v>592</v>
      </c>
      <c r="M465" s="289"/>
      <c r="N465" s="16">
        <f>24-1-1-1-1-1-1-1-1-1+1-1</f>
        <v>15</v>
      </c>
      <c r="O465" s="40">
        <f>192447.8-12621.19-2500-2512.5-8619.1-16949.15-18974.74-19550-5921.83-1859.49-18349.32+25000-5762.71</f>
        <v>103827.76999999997</v>
      </c>
      <c r="P465" s="40">
        <f>109590.48-5762.71</f>
        <v>103827.76999999999</v>
      </c>
      <c r="Q465" s="17">
        <f t="shared" si="10"/>
        <v>0</v>
      </c>
      <c r="R465" s="22" t="s">
        <v>8237</v>
      </c>
      <c r="S465" s="289" t="s">
        <v>8238</v>
      </c>
      <c r="T465" s="14">
        <v>43195</v>
      </c>
    </row>
    <row r="466" spans="1:20" ht="45" customHeight="1" x14ac:dyDescent="0.2">
      <c r="A466" s="21">
        <v>464</v>
      </c>
      <c r="B466" s="31" t="s">
        <v>4090</v>
      </c>
      <c r="C466" s="31"/>
      <c r="D466" s="9" t="s">
        <v>1284</v>
      </c>
      <c r="E466" s="14" t="s">
        <v>1283</v>
      </c>
      <c r="F466" s="13" t="s">
        <v>1286</v>
      </c>
      <c r="G466" s="285" t="s">
        <v>4877</v>
      </c>
      <c r="H466" s="285" t="s">
        <v>1586</v>
      </c>
      <c r="I466" s="289"/>
      <c r="J466" s="37" t="s">
        <v>3136</v>
      </c>
      <c r="K466" s="15">
        <v>41911</v>
      </c>
      <c r="L466" s="289">
        <v>866</v>
      </c>
      <c r="M466" s="15">
        <v>41882</v>
      </c>
      <c r="N466" s="24">
        <v>1</v>
      </c>
      <c r="O466" s="17">
        <v>30250</v>
      </c>
      <c r="P466" s="17">
        <v>30250</v>
      </c>
      <c r="Q466" s="17">
        <f t="shared" si="10"/>
        <v>0</v>
      </c>
      <c r="R466" s="285" t="s">
        <v>5071</v>
      </c>
      <c r="S466" s="14">
        <v>40168</v>
      </c>
      <c r="T466" s="22">
        <v>2266</v>
      </c>
    </row>
    <row r="467" spans="1:20" ht="45" customHeight="1" x14ac:dyDescent="0.2">
      <c r="A467" s="21">
        <v>465</v>
      </c>
      <c r="B467" s="31" t="s">
        <v>5114</v>
      </c>
      <c r="C467" s="31"/>
      <c r="D467" s="9" t="s">
        <v>1226</v>
      </c>
      <c r="E467" s="14" t="s">
        <v>1227</v>
      </c>
      <c r="F467" s="13" t="s">
        <v>1228</v>
      </c>
      <c r="G467" s="285" t="s">
        <v>4877</v>
      </c>
      <c r="H467" s="285" t="s">
        <v>1586</v>
      </c>
      <c r="I467" s="289"/>
      <c r="J467" s="37" t="s">
        <v>3136</v>
      </c>
      <c r="K467" s="15">
        <v>41911</v>
      </c>
      <c r="L467" s="289">
        <v>866</v>
      </c>
      <c r="M467" s="15">
        <v>41882</v>
      </c>
      <c r="N467" s="24">
        <v>1</v>
      </c>
      <c r="O467" s="17">
        <v>55000</v>
      </c>
      <c r="P467" s="17">
        <v>55000</v>
      </c>
      <c r="Q467" s="17">
        <f t="shared" si="10"/>
        <v>0</v>
      </c>
      <c r="R467" s="285" t="s">
        <v>5071</v>
      </c>
      <c r="S467" s="14">
        <v>39190</v>
      </c>
      <c r="T467" s="22" t="s">
        <v>4384</v>
      </c>
    </row>
    <row r="468" spans="1:20" ht="45" customHeight="1" x14ac:dyDescent="0.2">
      <c r="A468" s="21">
        <v>466</v>
      </c>
      <c r="B468" s="31" t="s">
        <v>5115</v>
      </c>
      <c r="C468" s="31"/>
      <c r="D468" s="9" t="s">
        <v>5243</v>
      </c>
      <c r="E468" s="14" t="s">
        <v>5245</v>
      </c>
      <c r="F468" s="9" t="s">
        <v>5244</v>
      </c>
      <c r="G468" s="285" t="s">
        <v>4877</v>
      </c>
      <c r="H468" s="285" t="s">
        <v>1586</v>
      </c>
      <c r="I468" s="289"/>
      <c r="J468" s="37" t="s">
        <v>3136</v>
      </c>
      <c r="K468" s="15">
        <v>41911</v>
      </c>
      <c r="L468" s="289">
        <v>866</v>
      </c>
      <c r="M468" s="15">
        <v>41882</v>
      </c>
      <c r="N468" s="24">
        <v>1</v>
      </c>
      <c r="O468" s="17">
        <v>258000</v>
      </c>
      <c r="P468" s="17">
        <v>258000</v>
      </c>
      <c r="Q468" s="17">
        <f t="shared" si="10"/>
        <v>0</v>
      </c>
      <c r="R468" s="285" t="s">
        <v>5071</v>
      </c>
      <c r="S468" s="14">
        <v>39218</v>
      </c>
      <c r="T468" s="22" t="s">
        <v>5906</v>
      </c>
    </row>
    <row r="469" spans="1:20" ht="81.75" customHeight="1" x14ac:dyDescent="0.2">
      <c r="A469" s="21">
        <v>467</v>
      </c>
      <c r="B469" s="31" t="s">
        <v>2543</v>
      </c>
      <c r="C469" s="31"/>
      <c r="D469" s="9" t="s">
        <v>3185</v>
      </c>
      <c r="E469" s="14" t="s">
        <v>1031</v>
      </c>
      <c r="F469" s="13" t="s">
        <v>1114</v>
      </c>
      <c r="G469" s="285" t="s">
        <v>7605</v>
      </c>
      <c r="H469" s="285" t="s">
        <v>7606</v>
      </c>
      <c r="I469" s="289"/>
      <c r="J469" s="285" t="s">
        <v>7610</v>
      </c>
      <c r="K469" s="14" t="s">
        <v>9896</v>
      </c>
      <c r="L469" s="289" t="s">
        <v>9897</v>
      </c>
      <c r="M469" s="15">
        <v>41898</v>
      </c>
      <c r="N469" s="24">
        <v>1</v>
      </c>
      <c r="O469" s="17">
        <v>631098.54</v>
      </c>
      <c r="P469" s="17">
        <v>262957.5</v>
      </c>
      <c r="Q469" s="17">
        <f t="shared" si="10"/>
        <v>368141.04000000004</v>
      </c>
      <c r="R469" s="285" t="s">
        <v>5071</v>
      </c>
      <c r="S469" s="14">
        <v>41121</v>
      </c>
      <c r="T469" s="22" t="s">
        <v>4047</v>
      </c>
    </row>
    <row r="470" spans="1:20" ht="40.5" customHeight="1" x14ac:dyDescent="0.2">
      <c r="A470" s="21">
        <v>468</v>
      </c>
      <c r="B470" s="31" t="s">
        <v>945</v>
      </c>
      <c r="C470" s="31"/>
      <c r="D470" s="9" t="s">
        <v>1115</v>
      </c>
      <c r="E470" s="14" t="s">
        <v>3412</v>
      </c>
      <c r="F470" s="13" t="s">
        <v>2346</v>
      </c>
      <c r="G470" s="285" t="s">
        <v>4296</v>
      </c>
      <c r="H470" s="285" t="s">
        <v>1586</v>
      </c>
      <c r="I470" s="289"/>
      <c r="J470" s="37" t="s">
        <v>3136</v>
      </c>
      <c r="K470" s="14">
        <v>41911</v>
      </c>
      <c r="L470" s="289">
        <v>871</v>
      </c>
      <c r="M470" s="15">
        <v>41898</v>
      </c>
      <c r="N470" s="24">
        <v>1</v>
      </c>
      <c r="O470" s="17">
        <v>130042.37</v>
      </c>
      <c r="P470" s="17">
        <v>130042.37</v>
      </c>
      <c r="Q470" s="17">
        <f t="shared" si="10"/>
        <v>0</v>
      </c>
      <c r="R470" s="285" t="s">
        <v>5071</v>
      </c>
      <c r="S470" s="14">
        <v>41124</v>
      </c>
      <c r="T470" s="22" t="s">
        <v>3456</v>
      </c>
    </row>
    <row r="471" spans="1:20" ht="40.5" customHeight="1" x14ac:dyDescent="0.2">
      <c r="A471" s="21">
        <v>469</v>
      </c>
      <c r="B471" s="31" t="s">
        <v>946</v>
      </c>
      <c r="C471" s="31"/>
      <c r="D471" s="9" t="s">
        <v>6079</v>
      </c>
      <c r="E471" s="14" t="s">
        <v>1031</v>
      </c>
      <c r="F471" s="13" t="s">
        <v>873</v>
      </c>
      <c r="G471" s="285" t="s">
        <v>4296</v>
      </c>
      <c r="H471" s="285" t="s">
        <v>1586</v>
      </c>
      <c r="I471" s="289"/>
      <c r="J471" s="37" t="s">
        <v>3136</v>
      </c>
      <c r="K471" s="14">
        <v>41911</v>
      </c>
      <c r="L471" s="289">
        <v>871</v>
      </c>
      <c r="M471" s="15">
        <v>41898</v>
      </c>
      <c r="N471" s="24">
        <v>1</v>
      </c>
      <c r="O471" s="17">
        <v>151016.95000000001</v>
      </c>
      <c r="P471" s="17">
        <v>151016.95000000001</v>
      </c>
      <c r="Q471" s="17">
        <f t="shared" si="10"/>
        <v>0</v>
      </c>
      <c r="R471" s="285" t="s">
        <v>5071</v>
      </c>
      <c r="S471" s="14">
        <v>41124</v>
      </c>
      <c r="T471" s="22" t="s">
        <v>3456</v>
      </c>
    </row>
    <row r="472" spans="1:20" ht="40.5" customHeight="1" x14ac:dyDescent="0.2">
      <c r="A472" s="21">
        <v>470</v>
      </c>
      <c r="B472" s="31" t="s">
        <v>947</v>
      </c>
      <c r="C472" s="31"/>
      <c r="D472" s="9" t="s">
        <v>1975</v>
      </c>
      <c r="E472" s="14" t="s">
        <v>1031</v>
      </c>
      <c r="F472" s="13"/>
      <c r="G472" s="285" t="s">
        <v>4296</v>
      </c>
      <c r="H472" s="285" t="s">
        <v>1586</v>
      </c>
      <c r="I472" s="289"/>
      <c r="J472" s="37" t="s">
        <v>3136</v>
      </c>
      <c r="K472" s="14">
        <v>41911</v>
      </c>
      <c r="L472" s="289">
        <v>871</v>
      </c>
      <c r="M472" s="15">
        <v>41898</v>
      </c>
      <c r="N472" s="24">
        <v>1</v>
      </c>
      <c r="O472" s="17">
        <v>54172.92</v>
      </c>
      <c r="P472" s="17">
        <v>54172.92</v>
      </c>
      <c r="Q472" s="17">
        <f t="shared" si="10"/>
        <v>0</v>
      </c>
      <c r="R472" s="285" t="s">
        <v>5071</v>
      </c>
      <c r="S472" s="14">
        <v>41121</v>
      </c>
      <c r="T472" s="22" t="s">
        <v>4047</v>
      </c>
    </row>
    <row r="473" spans="1:20" ht="132.75" customHeight="1" x14ac:dyDescent="0.2">
      <c r="A473" s="21">
        <v>471</v>
      </c>
      <c r="B473" s="31" t="s">
        <v>5552</v>
      </c>
      <c r="C473" s="31"/>
      <c r="D473" s="9" t="s">
        <v>1741</v>
      </c>
      <c r="E473" s="14" t="s">
        <v>1031</v>
      </c>
      <c r="F473" s="13" t="s">
        <v>1742</v>
      </c>
      <c r="G473" s="285" t="s">
        <v>7605</v>
      </c>
      <c r="H473" s="285" t="s">
        <v>7606</v>
      </c>
      <c r="I473" s="289"/>
      <c r="J473" s="285" t="s">
        <v>7610</v>
      </c>
      <c r="K473" s="14" t="s">
        <v>9896</v>
      </c>
      <c r="L473" s="289" t="s">
        <v>9897</v>
      </c>
      <c r="M473" s="15">
        <v>41898</v>
      </c>
      <c r="N473" s="24">
        <v>1</v>
      </c>
      <c r="O473" s="17">
        <v>72360</v>
      </c>
      <c r="P473" s="17">
        <v>72360</v>
      </c>
      <c r="Q473" s="17">
        <f t="shared" si="10"/>
        <v>0</v>
      </c>
      <c r="R473" s="285" t="s">
        <v>5071</v>
      </c>
      <c r="S473" s="14">
        <v>41121</v>
      </c>
      <c r="T473" s="22" t="s">
        <v>4047</v>
      </c>
    </row>
    <row r="474" spans="1:20" ht="132.75" customHeight="1" x14ac:dyDescent="0.2">
      <c r="A474" s="21">
        <v>472</v>
      </c>
      <c r="B474" s="31" t="s">
        <v>5553</v>
      </c>
      <c r="C474" s="31"/>
      <c r="D474" s="9" t="s">
        <v>1741</v>
      </c>
      <c r="E474" s="14" t="s">
        <v>1031</v>
      </c>
      <c r="F474" s="13" t="s">
        <v>1742</v>
      </c>
      <c r="G474" s="285" t="s">
        <v>7605</v>
      </c>
      <c r="H474" s="285" t="s">
        <v>7606</v>
      </c>
      <c r="I474" s="289"/>
      <c r="J474" s="285" t="s">
        <v>7610</v>
      </c>
      <c r="K474" s="14" t="s">
        <v>9896</v>
      </c>
      <c r="L474" s="289" t="s">
        <v>9897</v>
      </c>
      <c r="M474" s="15">
        <v>41898</v>
      </c>
      <c r="N474" s="24">
        <v>1</v>
      </c>
      <c r="O474" s="17">
        <v>72360</v>
      </c>
      <c r="P474" s="17">
        <v>72360</v>
      </c>
      <c r="Q474" s="17">
        <f t="shared" si="10"/>
        <v>0</v>
      </c>
      <c r="R474" s="285" t="s">
        <v>5071</v>
      </c>
      <c r="S474" s="14">
        <v>41121</v>
      </c>
      <c r="T474" s="22" t="s">
        <v>4047</v>
      </c>
    </row>
    <row r="475" spans="1:20" ht="129.75" customHeight="1" x14ac:dyDescent="0.2">
      <c r="A475" s="21">
        <v>473</v>
      </c>
      <c r="B475" s="31" t="s">
        <v>5554</v>
      </c>
      <c r="C475" s="31"/>
      <c r="D475" s="9" t="s">
        <v>1741</v>
      </c>
      <c r="E475" s="14" t="s">
        <v>1031</v>
      </c>
      <c r="F475" s="13" t="s">
        <v>1742</v>
      </c>
      <c r="G475" s="285" t="s">
        <v>7605</v>
      </c>
      <c r="H475" s="285" t="s">
        <v>7606</v>
      </c>
      <c r="I475" s="289"/>
      <c r="J475" s="285" t="s">
        <v>7610</v>
      </c>
      <c r="K475" s="14" t="s">
        <v>9896</v>
      </c>
      <c r="L475" s="289" t="s">
        <v>9897</v>
      </c>
      <c r="M475" s="15">
        <v>41898</v>
      </c>
      <c r="N475" s="24">
        <v>1</v>
      </c>
      <c r="O475" s="17">
        <v>72360</v>
      </c>
      <c r="P475" s="17">
        <v>72360</v>
      </c>
      <c r="Q475" s="17">
        <f t="shared" si="10"/>
        <v>0</v>
      </c>
      <c r="R475" s="285" t="s">
        <v>5071</v>
      </c>
      <c r="S475" s="14">
        <v>41121</v>
      </c>
      <c r="T475" s="22" t="s">
        <v>4047</v>
      </c>
    </row>
    <row r="476" spans="1:20" ht="131.25" customHeight="1" x14ac:dyDescent="0.2">
      <c r="A476" s="21">
        <v>474</v>
      </c>
      <c r="B476" s="31" t="s">
        <v>5555</v>
      </c>
      <c r="C476" s="31"/>
      <c r="D476" s="9" t="s">
        <v>1741</v>
      </c>
      <c r="E476" s="14" t="s">
        <v>1031</v>
      </c>
      <c r="F476" s="13" t="s">
        <v>1742</v>
      </c>
      <c r="G476" s="285" t="s">
        <v>7605</v>
      </c>
      <c r="H476" s="285" t="s">
        <v>7606</v>
      </c>
      <c r="I476" s="289"/>
      <c r="J476" s="285" t="s">
        <v>7610</v>
      </c>
      <c r="K476" s="14" t="s">
        <v>9896</v>
      </c>
      <c r="L476" s="289" t="s">
        <v>9897</v>
      </c>
      <c r="M476" s="15">
        <v>41898</v>
      </c>
      <c r="N476" s="24">
        <v>1</v>
      </c>
      <c r="O476" s="17">
        <v>72360</v>
      </c>
      <c r="P476" s="17">
        <v>72360</v>
      </c>
      <c r="Q476" s="17">
        <f t="shared" si="10"/>
        <v>0</v>
      </c>
      <c r="R476" s="285" t="s">
        <v>5071</v>
      </c>
      <c r="S476" s="14">
        <v>41121</v>
      </c>
      <c r="T476" s="22" t="s">
        <v>4047</v>
      </c>
    </row>
    <row r="477" spans="1:20" ht="135" customHeight="1" x14ac:dyDescent="0.2">
      <c r="A477" s="21">
        <v>475</v>
      </c>
      <c r="B477" s="31" t="s">
        <v>5556</v>
      </c>
      <c r="C477" s="31"/>
      <c r="D477" s="9" t="s">
        <v>1741</v>
      </c>
      <c r="E477" s="14" t="s">
        <v>1031</v>
      </c>
      <c r="F477" s="13" t="s">
        <v>1742</v>
      </c>
      <c r="G477" s="285" t="s">
        <v>7605</v>
      </c>
      <c r="H477" s="285" t="s">
        <v>7606</v>
      </c>
      <c r="I477" s="289"/>
      <c r="J477" s="285" t="s">
        <v>7610</v>
      </c>
      <c r="K477" s="14" t="s">
        <v>9896</v>
      </c>
      <c r="L477" s="289" t="s">
        <v>9897</v>
      </c>
      <c r="M477" s="15">
        <v>41898</v>
      </c>
      <c r="N477" s="24">
        <v>1</v>
      </c>
      <c r="O477" s="17">
        <v>72360</v>
      </c>
      <c r="P477" s="17">
        <v>72360</v>
      </c>
      <c r="Q477" s="17">
        <f t="shared" si="10"/>
        <v>0</v>
      </c>
      <c r="R477" s="285" t="s">
        <v>5071</v>
      </c>
      <c r="S477" s="14">
        <v>41121</v>
      </c>
      <c r="T477" s="22" t="s">
        <v>4047</v>
      </c>
    </row>
    <row r="478" spans="1:20" ht="132.75" customHeight="1" x14ac:dyDescent="0.2">
      <c r="A478" s="21">
        <v>476</v>
      </c>
      <c r="B478" s="31" t="s">
        <v>5557</v>
      </c>
      <c r="C478" s="31"/>
      <c r="D478" s="9" t="s">
        <v>1741</v>
      </c>
      <c r="E478" s="14" t="s">
        <v>1031</v>
      </c>
      <c r="F478" s="13" t="s">
        <v>1742</v>
      </c>
      <c r="G478" s="285" t="s">
        <v>7605</v>
      </c>
      <c r="H478" s="285" t="s">
        <v>7606</v>
      </c>
      <c r="I478" s="289"/>
      <c r="J478" s="285" t="s">
        <v>7610</v>
      </c>
      <c r="K478" s="14" t="s">
        <v>9896</v>
      </c>
      <c r="L478" s="289" t="s">
        <v>9897</v>
      </c>
      <c r="M478" s="15">
        <v>41898</v>
      </c>
      <c r="N478" s="24">
        <v>1</v>
      </c>
      <c r="O478" s="17">
        <v>72360</v>
      </c>
      <c r="P478" s="17">
        <v>72360</v>
      </c>
      <c r="Q478" s="17">
        <f t="shared" si="10"/>
        <v>0</v>
      </c>
      <c r="R478" s="285" t="s">
        <v>5071</v>
      </c>
      <c r="S478" s="14">
        <v>41121</v>
      </c>
      <c r="T478" s="22" t="s">
        <v>4047</v>
      </c>
    </row>
    <row r="479" spans="1:20" ht="135.75" customHeight="1" x14ac:dyDescent="0.2">
      <c r="A479" s="21">
        <v>477</v>
      </c>
      <c r="B479" s="31" t="s">
        <v>5558</v>
      </c>
      <c r="C479" s="31"/>
      <c r="D479" s="9" t="s">
        <v>1741</v>
      </c>
      <c r="E479" s="14" t="s">
        <v>1031</v>
      </c>
      <c r="F479" s="13" t="s">
        <v>1742</v>
      </c>
      <c r="G479" s="285" t="s">
        <v>7605</v>
      </c>
      <c r="H479" s="285" t="s">
        <v>7606</v>
      </c>
      <c r="I479" s="289"/>
      <c r="J479" s="285" t="s">
        <v>7610</v>
      </c>
      <c r="K479" s="14" t="s">
        <v>9896</v>
      </c>
      <c r="L479" s="289" t="s">
        <v>9897</v>
      </c>
      <c r="M479" s="15">
        <v>41898</v>
      </c>
      <c r="N479" s="24">
        <v>1</v>
      </c>
      <c r="O479" s="17">
        <v>72360</v>
      </c>
      <c r="P479" s="17">
        <v>72360</v>
      </c>
      <c r="Q479" s="17">
        <f t="shared" si="10"/>
        <v>0</v>
      </c>
      <c r="R479" s="285" t="s">
        <v>5071</v>
      </c>
      <c r="S479" s="14">
        <v>41121</v>
      </c>
      <c r="T479" s="22" t="s">
        <v>4047</v>
      </c>
    </row>
    <row r="480" spans="1:20" ht="138" customHeight="1" x14ac:dyDescent="0.2">
      <c r="A480" s="21">
        <v>478</v>
      </c>
      <c r="B480" s="31" t="s">
        <v>6154</v>
      </c>
      <c r="C480" s="31"/>
      <c r="D480" s="9" t="s">
        <v>1741</v>
      </c>
      <c r="E480" s="14" t="s">
        <v>1031</v>
      </c>
      <c r="F480" s="13" t="s">
        <v>1742</v>
      </c>
      <c r="G480" s="285" t="s">
        <v>7605</v>
      </c>
      <c r="H480" s="285" t="s">
        <v>7606</v>
      </c>
      <c r="I480" s="289"/>
      <c r="J480" s="285" t="s">
        <v>7610</v>
      </c>
      <c r="K480" s="14" t="s">
        <v>9896</v>
      </c>
      <c r="L480" s="289" t="s">
        <v>9897</v>
      </c>
      <c r="M480" s="15">
        <v>41898</v>
      </c>
      <c r="N480" s="24">
        <v>1</v>
      </c>
      <c r="O480" s="17">
        <v>72360</v>
      </c>
      <c r="P480" s="17">
        <v>72360</v>
      </c>
      <c r="Q480" s="17">
        <f t="shared" si="10"/>
        <v>0</v>
      </c>
      <c r="R480" s="285" t="s">
        <v>5071</v>
      </c>
      <c r="S480" s="14">
        <v>41121</v>
      </c>
      <c r="T480" s="22" t="s">
        <v>4047</v>
      </c>
    </row>
    <row r="481" spans="1:20" ht="56.25" customHeight="1" x14ac:dyDescent="0.2">
      <c r="A481" s="21">
        <v>479</v>
      </c>
      <c r="B481" s="31" t="s">
        <v>2049</v>
      </c>
      <c r="C481" s="31"/>
      <c r="D481" s="9" t="s">
        <v>1741</v>
      </c>
      <c r="E481" s="14" t="s">
        <v>1031</v>
      </c>
      <c r="F481" s="13" t="s">
        <v>1742</v>
      </c>
      <c r="G481" s="285" t="s">
        <v>7605</v>
      </c>
      <c r="H481" s="285" t="s">
        <v>7606</v>
      </c>
      <c r="I481" s="289"/>
      <c r="J481" s="285" t="s">
        <v>7610</v>
      </c>
      <c r="K481" s="14" t="s">
        <v>9896</v>
      </c>
      <c r="L481" s="289" t="s">
        <v>9897</v>
      </c>
      <c r="M481" s="15">
        <v>41898</v>
      </c>
      <c r="N481" s="33">
        <v>1</v>
      </c>
      <c r="O481" s="34">
        <v>72360</v>
      </c>
      <c r="P481" s="34">
        <v>72360</v>
      </c>
      <c r="Q481" s="34">
        <f t="shared" si="10"/>
        <v>0</v>
      </c>
      <c r="R481" s="285" t="s">
        <v>5071</v>
      </c>
      <c r="S481" s="14">
        <v>41121</v>
      </c>
      <c r="T481" s="22" t="s">
        <v>4047</v>
      </c>
    </row>
    <row r="482" spans="1:20" ht="51.75" customHeight="1" x14ac:dyDescent="0.2">
      <c r="A482" s="21">
        <v>480</v>
      </c>
      <c r="B482" s="31" t="s">
        <v>231</v>
      </c>
      <c r="C482" s="31"/>
      <c r="D482" s="9" t="s">
        <v>1741</v>
      </c>
      <c r="E482" s="14" t="s">
        <v>1031</v>
      </c>
      <c r="F482" s="13" t="s">
        <v>1742</v>
      </c>
      <c r="G482" s="285" t="s">
        <v>7605</v>
      </c>
      <c r="H482" s="285" t="s">
        <v>7606</v>
      </c>
      <c r="I482" s="289"/>
      <c r="J482" s="285" t="s">
        <v>7610</v>
      </c>
      <c r="K482" s="14" t="s">
        <v>9896</v>
      </c>
      <c r="L482" s="289" t="s">
        <v>9897</v>
      </c>
      <c r="M482" s="15">
        <v>41898</v>
      </c>
      <c r="N482" s="33">
        <v>1</v>
      </c>
      <c r="O482" s="34">
        <v>72360</v>
      </c>
      <c r="P482" s="34">
        <v>72360</v>
      </c>
      <c r="Q482" s="34">
        <f t="shared" si="10"/>
        <v>0</v>
      </c>
      <c r="R482" s="285" t="s">
        <v>5071</v>
      </c>
      <c r="S482" s="14">
        <v>41121</v>
      </c>
      <c r="T482" s="22" t="s">
        <v>4047</v>
      </c>
    </row>
    <row r="483" spans="1:20" ht="54.75" customHeight="1" x14ac:dyDescent="0.2">
      <c r="A483" s="21">
        <v>481</v>
      </c>
      <c r="B483" s="31" t="s">
        <v>232</v>
      </c>
      <c r="C483" s="31"/>
      <c r="D483" s="9" t="s">
        <v>1741</v>
      </c>
      <c r="E483" s="14" t="s">
        <v>1031</v>
      </c>
      <c r="F483" s="13" t="s">
        <v>1742</v>
      </c>
      <c r="G483" s="285" t="s">
        <v>7605</v>
      </c>
      <c r="H483" s="285" t="s">
        <v>7606</v>
      </c>
      <c r="I483" s="289"/>
      <c r="J483" s="285" t="s">
        <v>7610</v>
      </c>
      <c r="K483" s="14" t="s">
        <v>9896</v>
      </c>
      <c r="L483" s="289" t="s">
        <v>9897</v>
      </c>
      <c r="M483" s="15">
        <v>41898</v>
      </c>
      <c r="N483" s="24">
        <v>1</v>
      </c>
      <c r="O483" s="17">
        <v>72360</v>
      </c>
      <c r="P483" s="17">
        <v>72360</v>
      </c>
      <c r="Q483" s="17">
        <f t="shared" ref="Q483:Q505" si="11">O483-P483</f>
        <v>0</v>
      </c>
      <c r="R483" s="285" t="s">
        <v>5071</v>
      </c>
      <c r="S483" s="14">
        <v>41121</v>
      </c>
      <c r="T483" s="22" t="s">
        <v>4047</v>
      </c>
    </row>
    <row r="484" spans="1:20" ht="87" customHeight="1" x14ac:dyDescent="0.2">
      <c r="A484" s="21">
        <v>482</v>
      </c>
      <c r="B484" s="31" t="s">
        <v>233</v>
      </c>
      <c r="C484" s="31"/>
      <c r="D484" s="9" t="s">
        <v>1741</v>
      </c>
      <c r="E484" s="14" t="s">
        <v>1031</v>
      </c>
      <c r="F484" s="13" t="s">
        <v>1742</v>
      </c>
      <c r="G484" s="285" t="s">
        <v>7605</v>
      </c>
      <c r="H484" s="285" t="s">
        <v>7606</v>
      </c>
      <c r="I484" s="289"/>
      <c r="J484" s="285" t="s">
        <v>7610</v>
      </c>
      <c r="K484" s="14" t="s">
        <v>9896</v>
      </c>
      <c r="L484" s="289" t="s">
        <v>9897</v>
      </c>
      <c r="M484" s="15">
        <v>41898</v>
      </c>
      <c r="N484" s="24">
        <v>1</v>
      </c>
      <c r="O484" s="17">
        <v>72360</v>
      </c>
      <c r="P484" s="17">
        <v>72360</v>
      </c>
      <c r="Q484" s="17">
        <f t="shared" si="11"/>
        <v>0</v>
      </c>
      <c r="R484" s="285" t="s">
        <v>5071</v>
      </c>
      <c r="S484" s="14">
        <v>41121</v>
      </c>
      <c r="T484" s="22" t="s">
        <v>4047</v>
      </c>
    </row>
    <row r="485" spans="1:20" ht="34.5" customHeight="1" x14ac:dyDescent="0.2">
      <c r="A485" s="21">
        <v>483</v>
      </c>
      <c r="B485" s="31" t="s">
        <v>234</v>
      </c>
      <c r="C485" s="31"/>
      <c r="D485" s="9" t="s">
        <v>1741</v>
      </c>
      <c r="E485" s="14" t="s">
        <v>1031</v>
      </c>
      <c r="F485" s="13" t="s">
        <v>1742</v>
      </c>
      <c r="G485" s="285" t="s">
        <v>7605</v>
      </c>
      <c r="H485" s="285" t="s">
        <v>7606</v>
      </c>
      <c r="I485" s="289"/>
      <c r="J485" s="285" t="s">
        <v>7610</v>
      </c>
      <c r="K485" s="14" t="s">
        <v>9896</v>
      </c>
      <c r="L485" s="289" t="s">
        <v>9897</v>
      </c>
      <c r="M485" s="15">
        <v>41898</v>
      </c>
      <c r="N485" s="24">
        <v>1</v>
      </c>
      <c r="O485" s="17">
        <v>72360</v>
      </c>
      <c r="P485" s="17">
        <v>72360</v>
      </c>
      <c r="Q485" s="17">
        <f t="shared" si="11"/>
        <v>0</v>
      </c>
      <c r="R485" s="285" t="s">
        <v>5071</v>
      </c>
      <c r="S485" s="14">
        <v>41121</v>
      </c>
      <c r="T485" s="22" t="s">
        <v>4047</v>
      </c>
    </row>
    <row r="486" spans="1:20" ht="54" customHeight="1" x14ac:dyDescent="0.2">
      <c r="A486" s="21">
        <v>484</v>
      </c>
      <c r="B486" s="245" t="s">
        <v>3903</v>
      </c>
      <c r="C486" s="246"/>
      <c r="D486" s="46" t="s">
        <v>3325</v>
      </c>
      <c r="E486" s="53" t="s">
        <v>1031</v>
      </c>
      <c r="F486" s="47"/>
      <c r="G486" s="49" t="s">
        <v>7605</v>
      </c>
      <c r="H486" s="49" t="s">
        <v>7606</v>
      </c>
      <c r="I486" s="30"/>
      <c r="J486" s="49" t="s">
        <v>7610</v>
      </c>
      <c r="K486" s="53" t="s">
        <v>9896</v>
      </c>
      <c r="L486" s="30" t="s">
        <v>9897</v>
      </c>
      <c r="M486" s="51">
        <v>41898</v>
      </c>
      <c r="N486" s="248">
        <v>1</v>
      </c>
      <c r="O486" s="143">
        <v>48188.98</v>
      </c>
      <c r="P486" s="143">
        <v>48188.98</v>
      </c>
      <c r="Q486" s="143">
        <f t="shared" si="11"/>
        <v>0</v>
      </c>
      <c r="R486" s="49" t="s">
        <v>5071</v>
      </c>
      <c r="S486" s="53">
        <v>41121</v>
      </c>
      <c r="T486" s="119" t="s">
        <v>4047</v>
      </c>
    </row>
    <row r="487" spans="1:20" ht="123.75" customHeight="1" x14ac:dyDescent="0.2">
      <c r="A487" s="21">
        <v>485</v>
      </c>
      <c r="B487" s="31" t="s">
        <v>3904</v>
      </c>
      <c r="C487" s="31"/>
      <c r="D487" s="9" t="s">
        <v>3325</v>
      </c>
      <c r="E487" s="14" t="s">
        <v>1031</v>
      </c>
      <c r="F487" s="13"/>
      <c r="G487" s="49" t="s">
        <v>7605</v>
      </c>
      <c r="H487" s="49" t="s">
        <v>7606</v>
      </c>
      <c r="I487" s="289"/>
      <c r="J487" s="49" t="s">
        <v>7610</v>
      </c>
      <c r="K487" s="53" t="s">
        <v>9896</v>
      </c>
      <c r="L487" s="30" t="s">
        <v>9897</v>
      </c>
      <c r="M487" s="15">
        <v>41898</v>
      </c>
      <c r="N487" s="24">
        <v>1</v>
      </c>
      <c r="O487" s="17">
        <v>48188.97</v>
      </c>
      <c r="P487" s="17">
        <v>48188.97</v>
      </c>
      <c r="Q487" s="17">
        <f t="shared" si="11"/>
        <v>0</v>
      </c>
      <c r="R487" s="49" t="s">
        <v>5071</v>
      </c>
      <c r="S487" s="14">
        <v>41121</v>
      </c>
      <c r="T487" s="22" t="s">
        <v>4047</v>
      </c>
    </row>
    <row r="488" spans="1:20" ht="46.5" customHeight="1" x14ac:dyDescent="0.2">
      <c r="A488" s="21">
        <v>486</v>
      </c>
      <c r="B488" s="31" t="s">
        <v>3905</v>
      </c>
      <c r="C488" s="31"/>
      <c r="D488" s="9" t="s">
        <v>3325</v>
      </c>
      <c r="E488" s="14" t="s">
        <v>1031</v>
      </c>
      <c r="F488" s="13"/>
      <c r="G488" s="49" t="s">
        <v>7605</v>
      </c>
      <c r="H488" s="49" t="s">
        <v>7606</v>
      </c>
      <c r="I488" s="289"/>
      <c r="J488" s="49" t="s">
        <v>7610</v>
      </c>
      <c r="K488" s="53" t="s">
        <v>9896</v>
      </c>
      <c r="L488" s="30" t="s">
        <v>9897</v>
      </c>
      <c r="M488" s="15">
        <v>41898</v>
      </c>
      <c r="N488" s="24">
        <v>1</v>
      </c>
      <c r="O488" s="17">
        <v>48188.97</v>
      </c>
      <c r="P488" s="17">
        <v>48188.97</v>
      </c>
      <c r="Q488" s="17">
        <f t="shared" si="11"/>
        <v>0</v>
      </c>
      <c r="R488" s="49" t="s">
        <v>5071</v>
      </c>
      <c r="S488" s="14">
        <v>41121</v>
      </c>
      <c r="T488" s="22" t="s">
        <v>4047</v>
      </c>
    </row>
    <row r="489" spans="1:20" ht="67.5" customHeight="1" x14ac:dyDescent="0.2">
      <c r="A489" s="21">
        <v>487</v>
      </c>
      <c r="B489" s="31" t="s">
        <v>3906</v>
      </c>
      <c r="C489" s="31"/>
      <c r="D489" s="9" t="s">
        <v>3325</v>
      </c>
      <c r="E489" s="14" t="s">
        <v>1031</v>
      </c>
      <c r="F489" s="13"/>
      <c r="G489" s="285" t="s">
        <v>7605</v>
      </c>
      <c r="H489" s="285" t="s">
        <v>7606</v>
      </c>
      <c r="I489" s="289"/>
      <c r="J489" s="285" t="s">
        <v>7610</v>
      </c>
      <c r="K489" s="14" t="s">
        <v>9896</v>
      </c>
      <c r="L489" s="289" t="s">
        <v>9897</v>
      </c>
      <c r="M489" s="15">
        <v>41898</v>
      </c>
      <c r="N489" s="24">
        <v>1</v>
      </c>
      <c r="O489" s="17">
        <v>48188.97</v>
      </c>
      <c r="P489" s="17">
        <v>48188.97</v>
      </c>
      <c r="Q489" s="17">
        <f t="shared" si="11"/>
        <v>0</v>
      </c>
      <c r="R489" s="285" t="s">
        <v>5071</v>
      </c>
      <c r="S489" s="14">
        <v>41121</v>
      </c>
      <c r="T489" s="22" t="s">
        <v>4047</v>
      </c>
    </row>
    <row r="490" spans="1:20" ht="53.25" customHeight="1" x14ac:dyDescent="0.2">
      <c r="A490" s="21">
        <v>488</v>
      </c>
      <c r="B490" s="289" t="s">
        <v>4754</v>
      </c>
      <c r="C490" s="289"/>
      <c r="D490" s="9" t="s">
        <v>1152</v>
      </c>
      <c r="E490" s="15"/>
      <c r="F490" s="13"/>
      <c r="G490" s="285" t="s">
        <v>7983</v>
      </c>
      <c r="H490" s="285" t="s">
        <v>5127</v>
      </c>
      <c r="I490" s="289"/>
      <c r="J490" s="37" t="s">
        <v>12376</v>
      </c>
      <c r="K490" s="15" t="s">
        <v>12377</v>
      </c>
      <c r="L490" s="289" t="s">
        <v>3505</v>
      </c>
      <c r="M490" s="15">
        <v>39872</v>
      </c>
      <c r="N490" s="24">
        <v>1</v>
      </c>
      <c r="O490" s="17">
        <v>7535.76</v>
      </c>
      <c r="P490" s="17">
        <v>7535.76</v>
      </c>
      <c r="Q490" s="17">
        <f t="shared" si="11"/>
        <v>0</v>
      </c>
      <c r="R490" s="289"/>
      <c r="S490" s="289"/>
      <c r="T490" s="22"/>
    </row>
    <row r="491" spans="1:20" ht="53.25" customHeight="1" x14ac:dyDescent="0.2">
      <c r="A491" s="21">
        <v>490</v>
      </c>
      <c r="B491" s="289" t="s">
        <v>1194</v>
      </c>
      <c r="C491" s="289"/>
      <c r="D491" s="9" t="s">
        <v>1152</v>
      </c>
      <c r="E491" s="15"/>
      <c r="F491" s="28" t="s">
        <v>6633</v>
      </c>
      <c r="G491" s="285" t="s">
        <v>6266</v>
      </c>
      <c r="H491" s="285" t="s">
        <v>5127</v>
      </c>
      <c r="I491" s="289"/>
      <c r="J491" s="37" t="s">
        <v>3132</v>
      </c>
      <c r="K491" s="15">
        <v>39792</v>
      </c>
      <c r="L491" s="289" t="s">
        <v>6080</v>
      </c>
      <c r="M491" s="15">
        <v>39814</v>
      </c>
      <c r="N491" s="24">
        <v>1</v>
      </c>
      <c r="O491" s="17">
        <v>7535.76</v>
      </c>
      <c r="P491" s="17">
        <v>7535.76</v>
      </c>
      <c r="Q491" s="17">
        <f t="shared" si="11"/>
        <v>0</v>
      </c>
      <c r="R491" s="289"/>
      <c r="S491" s="289"/>
      <c r="T491" s="22"/>
    </row>
    <row r="492" spans="1:20" ht="39" customHeight="1" x14ac:dyDescent="0.2">
      <c r="A492" s="21">
        <v>491</v>
      </c>
      <c r="B492" s="289" t="s">
        <v>1195</v>
      </c>
      <c r="C492" s="289"/>
      <c r="D492" s="9" t="s">
        <v>1152</v>
      </c>
      <c r="E492" s="15"/>
      <c r="F492" s="28" t="s">
        <v>5673</v>
      </c>
      <c r="G492" s="285" t="s">
        <v>6266</v>
      </c>
      <c r="H492" s="285" t="s">
        <v>5127</v>
      </c>
      <c r="I492" s="289"/>
      <c r="J492" s="37" t="s">
        <v>3132</v>
      </c>
      <c r="K492" s="15">
        <v>39792</v>
      </c>
      <c r="L492" s="289" t="s">
        <v>6080</v>
      </c>
      <c r="M492" s="15">
        <v>39814</v>
      </c>
      <c r="N492" s="24">
        <v>1</v>
      </c>
      <c r="O492" s="17">
        <v>7535.76</v>
      </c>
      <c r="P492" s="17">
        <v>7535.76</v>
      </c>
      <c r="Q492" s="17">
        <f t="shared" si="11"/>
        <v>0</v>
      </c>
      <c r="R492" s="289"/>
      <c r="S492" s="289"/>
      <c r="T492" s="22"/>
    </row>
    <row r="493" spans="1:20" ht="39" customHeight="1" x14ac:dyDescent="0.2">
      <c r="A493" s="21">
        <v>492</v>
      </c>
      <c r="B493" s="289" t="s">
        <v>2556</v>
      </c>
      <c r="C493" s="289"/>
      <c r="D493" s="9" t="s">
        <v>1641</v>
      </c>
      <c r="E493" s="12" t="s">
        <v>2740</v>
      </c>
      <c r="F493" s="9" t="s">
        <v>6543</v>
      </c>
      <c r="G493" s="56" t="s">
        <v>101</v>
      </c>
      <c r="H493" s="285" t="s">
        <v>5127</v>
      </c>
      <c r="I493" s="289"/>
      <c r="J493" s="37" t="s">
        <v>3136</v>
      </c>
      <c r="K493" s="15">
        <v>40746</v>
      </c>
      <c r="L493" s="289">
        <v>826</v>
      </c>
      <c r="M493" s="15">
        <v>39814</v>
      </c>
      <c r="N493" s="24">
        <v>1</v>
      </c>
      <c r="O493" s="17">
        <v>24404.560000000001</v>
      </c>
      <c r="P493" s="17">
        <v>24404.560000000001</v>
      </c>
      <c r="Q493" s="17">
        <f t="shared" si="11"/>
        <v>0</v>
      </c>
      <c r="R493" s="289"/>
      <c r="S493" s="289"/>
      <c r="T493" s="22"/>
    </row>
    <row r="494" spans="1:20" ht="90" customHeight="1" x14ac:dyDescent="0.2">
      <c r="A494" s="21">
        <v>493</v>
      </c>
      <c r="B494" s="289" t="s">
        <v>2557</v>
      </c>
      <c r="C494" s="39" t="s">
        <v>5274</v>
      </c>
      <c r="D494" s="9" t="s">
        <v>2830</v>
      </c>
      <c r="E494" s="15" t="s">
        <v>2831</v>
      </c>
      <c r="F494" s="28" t="s">
        <v>6703</v>
      </c>
      <c r="G494" s="285" t="s">
        <v>4946</v>
      </c>
      <c r="H494" s="285" t="s">
        <v>5127</v>
      </c>
      <c r="I494" s="39"/>
      <c r="J494" s="37" t="s">
        <v>3132</v>
      </c>
      <c r="K494" s="38">
        <v>40403</v>
      </c>
      <c r="L494" s="289" t="s">
        <v>2320</v>
      </c>
      <c r="M494" s="38">
        <v>39814</v>
      </c>
      <c r="N494" s="24">
        <v>1</v>
      </c>
      <c r="O494" s="17">
        <v>3778.25</v>
      </c>
      <c r="P494" s="17">
        <v>3778.25</v>
      </c>
      <c r="Q494" s="17">
        <f t="shared" si="11"/>
        <v>0</v>
      </c>
      <c r="R494" s="289"/>
      <c r="S494" s="289"/>
      <c r="T494" s="22"/>
    </row>
    <row r="495" spans="1:20" ht="42.75" customHeight="1" x14ac:dyDescent="0.2">
      <c r="A495" s="21">
        <v>494</v>
      </c>
      <c r="B495" s="289" t="s">
        <v>2558</v>
      </c>
      <c r="C495" s="289"/>
      <c r="D495" s="9" t="s">
        <v>1366</v>
      </c>
      <c r="E495" s="12">
        <v>2001</v>
      </c>
      <c r="F495" s="9" t="s">
        <v>6704</v>
      </c>
      <c r="G495" s="285" t="s">
        <v>4946</v>
      </c>
      <c r="H495" s="285" t="s">
        <v>5127</v>
      </c>
      <c r="I495" s="289"/>
      <c r="J495" s="285" t="s">
        <v>3136</v>
      </c>
      <c r="K495" s="15">
        <v>41967</v>
      </c>
      <c r="L495" s="289">
        <v>1085</v>
      </c>
      <c r="M495" s="15">
        <v>39814</v>
      </c>
      <c r="N495" s="24">
        <v>1</v>
      </c>
      <c r="O495" s="17">
        <v>20105.05</v>
      </c>
      <c r="P495" s="17">
        <v>20105.05</v>
      </c>
      <c r="Q495" s="17">
        <f t="shared" si="11"/>
        <v>0</v>
      </c>
      <c r="R495" s="289"/>
      <c r="S495" s="289"/>
      <c r="T495" s="22"/>
    </row>
    <row r="496" spans="1:20" ht="42.75" customHeight="1" x14ac:dyDescent="0.2">
      <c r="A496" s="21">
        <v>495</v>
      </c>
      <c r="B496" s="289" t="s">
        <v>2559</v>
      </c>
      <c r="C496" s="289"/>
      <c r="D496" s="9" t="s">
        <v>194</v>
      </c>
      <c r="E496" s="289">
        <v>2002</v>
      </c>
      <c r="F496" s="13" t="s">
        <v>9134</v>
      </c>
      <c r="G496" s="56" t="s">
        <v>101</v>
      </c>
      <c r="H496" s="285" t="s">
        <v>5127</v>
      </c>
      <c r="I496" s="289"/>
      <c r="J496" s="285" t="s">
        <v>3136</v>
      </c>
      <c r="K496" s="15">
        <v>39262</v>
      </c>
      <c r="L496" s="289">
        <v>457</v>
      </c>
      <c r="M496" s="15">
        <v>41000</v>
      </c>
      <c r="N496" s="24">
        <v>1</v>
      </c>
      <c r="O496" s="17">
        <v>17600.099999999999</v>
      </c>
      <c r="P496" s="17">
        <v>17600.099999999999</v>
      </c>
      <c r="Q496" s="17">
        <f t="shared" si="11"/>
        <v>0</v>
      </c>
      <c r="R496" s="289"/>
      <c r="S496" s="289"/>
      <c r="T496" s="22"/>
    </row>
    <row r="497" spans="1:20" ht="63" customHeight="1" x14ac:dyDescent="0.2">
      <c r="A497" s="21">
        <v>496</v>
      </c>
      <c r="B497" s="289" t="s">
        <v>2553</v>
      </c>
      <c r="C497" s="289"/>
      <c r="D497" s="9" t="s">
        <v>216</v>
      </c>
      <c r="E497" s="12" t="s">
        <v>4979</v>
      </c>
      <c r="F497" s="13" t="s">
        <v>6521</v>
      </c>
      <c r="G497" s="285" t="s">
        <v>7464</v>
      </c>
      <c r="H497" s="285" t="s">
        <v>5127</v>
      </c>
      <c r="I497" s="289"/>
      <c r="J497" s="285" t="s">
        <v>3136</v>
      </c>
      <c r="K497" s="15" t="s">
        <v>10691</v>
      </c>
      <c r="L497" s="289" t="s">
        <v>10692</v>
      </c>
      <c r="M497" s="15">
        <v>39904</v>
      </c>
      <c r="N497" s="24">
        <v>1</v>
      </c>
      <c r="O497" s="17">
        <v>11838.4</v>
      </c>
      <c r="P497" s="17">
        <v>11838.4</v>
      </c>
      <c r="Q497" s="17">
        <f t="shared" si="11"/>
        <v>0</v>
      </c>
      <c r="R497" s="285" t="s">
        <v>4385</v>
      </c>
      <c r="S497" s="22" t="s">
        <v>3831</v>
      </c>
      <c r="T497" s="22" t="s">
        <v>5037</v>
      </c>
    </row>
    <row r="498" spans="1:20" ht="46.5" customHeight="1" x14ac:dyDescent="0.2">
      <c r="A498" s="21">
        <v>497</v>
      </c>
      <c r="B498" s="289" t="s">
        <v>2649</v>
      </c>
      <c r="C498" s="289"/>
      <c r="D498" s="9" t="s">
        <v>3649</v>
      </c>
      <c r="E498" s="15" t="s">
        <v>2831</v>
      </c>
      <c r="F498" s="13" t="s">
        <v>2482</v>
      </c>
      <c r="G498" s="285" t="s">
        <v>4296</v>
      </c>
      <c r="H498" s="285" t="s">
        <v>3793</v>
      </c>
      <c r="I498" s="289"/>
      <c r="J498" s="285" t="s">
        <v>3136</v>
      </c>
      <c r="K498" s="14">
        <v>43032</v>
      </c>
      <c r="L498" s="289">
        <v>951</v>
      </c>
      <c r="M498" s="15">
        <v>39995</v>
      </c>
      <c r="N498" s="24">
        <v>1</v>
      </c>
      <c r="O498" s="17">
        <v>8640</v>
      </c>
      <c r="P498" s="17">
        <v>8640</v>
      </c>
      <c r="Q498" s="17">
        <f t="shared" si="11"/>
        <v>0</v>
      </c>
      <c r="R498" s="289"/>
      <c r="S498" s="289"/>
      <c r="T498" s="22"/>
    </row>
    <row r="499" spans="1:20" ht="78.75" customHeight="1" x14ac:dyDescent="0.2">
      <c r="A499" s="21">
        <v>498</v>
      </c>
      <c r="B499" s="289" t="s">
        <v>4158</v>
      </c>
      <c r="C499" s="289"/>
      <c r="D499" s="9" t="s">
        <v>5092</v>
      </c>
      <c r="E499" s="12">
        <v>2001</v>
      </c>
      <c r="F499" s="28" t="s">
        <v>6634</v>
      </c>
      <c r="G499" s="285" t="s">
        <v>6266</v>
      </c>
      <c r="H499" s="285" t="s">
        <v>5127</v>
      </c>
      <c r="I499" s="289"/>
      <c r="J499" s="285" t="s">
        <v>3136</v>
      </c>
      <c r="K499" s="15">
        <v>38911</v>
      </c>
      <c r="L499" s="289">
        <v>498</v>
      </c>
      <c r="M499" s="15">
        <v>38911</v>
      </c>
      <c r="N499" s="24">
        <v>1</v>
      </c>
      <c r="O499" s="17">
        <v>8899.2000000000007</v>
      </c>
      <c r="P499" s="17">
        <v>8899.2000000000007</v>
      </c>
      <c r="Q499" s="17">
        <f t="shared" si="11"/>
        <v>0</v>
      </c>
      <c r="R499" s="285" t="s">
        <v>4142</v>
      </c>
      <c r="S499" s="22" t="s">
        <v>3968</v>
      </c>
      <c r="T499" s="22"/>
    </row>
    <row r="500" spans="1:20" ht="51.75" customHeight="1" x14ac:dyDescent="0.2">
      <c r="A500" s="21">
        <v>499</v>
      </c>
      <c r="B500" s="289" t="s">
        <v>1414</v>
      </c>
      <c r="C500" s="289"/>
      <c r="D500" s="13" t="s">
        <v>7253</v>
      </c>
      <c r="E500" s="12" t="s">
        <v>8862</v>
      </c>
      <c r="F500" s="13" t="s">
        <v>2578</v>
      </c>
      <c r="G500" s="285" t="s">
        <v>5718</v>
      </c>
      <c r="H500" s="289" t="s">
        <v>2614</v>
      </c>
      <c r="I500" s="285" t="s">
        <v>2207</v>
      </c>
      <c r="J500" s="285" t="s">
        <v>6309</v>
      </c>
      <c r="K500" s="14">
        <v>41498</v>
      </c>
      <c r="L500" s="22" t="s">
        <v>1938</v>
      </c>
      <c r="M500" s="14">
        <v>39412</v>
      </c>
      <c r="N500" s="24">
        <v>1</v>
      </c>
      <c r="O500" s="17">
        <v>5308.33</v>
      </c>
      <c r="P500" s="17">
        <v>5308.33</v>
      </c>
      <c r="Q500" s="17">
        <f t="shared" si="11"/>
        <v>0</v>
      </c>
      <c r="R500" s="289"/>
      <c r="S500" s="289"/>
      <c r="T500" s="22"/>
    </row>
    <row r="501" spans="1:20" ht="82.5" customHeight="1" x14ac:dyDescent="0.2">
      <c r="A501" s="21">
        <v>500</v>
      </c>
      <c r="B501" s="289" t="s">
        <v>4159</v>
      </c>
      <c r="C501" s="289"/>
      <c r="D501" s="9" t="s">
        <v>1152</v>
      </c>
      <c r="E501" s="15"/>
      <c r="F501" s="13" t="s">
        <v>6635</v>
      </c>
      <c r="G501" s="285" t="s">
        <v>6266</v>
      </c>
      <c r="H501" s="285" t="s">
        <v>5127</v>
      </c>
      <c r="I501" s="289"/>
      <c r="J501" s="285" t="s">
        <v>3132</v>
      </c>
      <c r="K501" s="15">
        <v>39792</v>
      </c>
      <c r="L501" s="12" t="s">
        <v>6080</v>
      </c>
      <c r="M501" s="14">
        <v>39792</v>
      </c>
      <c r="N501" s="24">
        <v>1</v>
      </c>
      <c r="O501" s="17">
        <v>7535.76</v>
      </c>
      <c r="P501" s="17">
        <v>7535.76</v>
      </c>
      <c r="Q501" s="17">
        <f t="shared" si="11"/>
        <v>0</v>
      </c>
      <c r="R501" s="289"/>
      <c r="S501" s="289"/>
      <c r="T501" s="22"/>
    </row>
    <row r="502" spans="1:20" ht="84" customHeight="1" x14ac:dyDescent="0.2">
      <c r="A502" s="21">
        <v>509</v>
      </c>
      <c r="B502" s="289" t="s">
        <v>6085</v>
      </c>
      <c r="C502" s="289"/>
      <c r="D502" s="9" t="s">
        <v>4755</v>
      </c>
      <c r="E502" s="12">
        <v>2004</v>
      </c>
      <c r="F502" s="13" t="s">
        <v>7087</v>
      </c>
      <c r="G502" s="285" t="s">
        <v>793</v>
      </c>
      <c r="H502" s="285" t="s">
        <v>5127</v>
      </c>
      <c r="I502" s="289"/>
      <c r="J502" s="285" t="s">
        <v>3136</v>
      </c>
      <c r="K502" s="15">
        <v>39412</v>
      </c>
      <c r="L502" s="12" t="s">
        <v>6310</v>
      </c>
      <c r="M502" s="15">
        <v>41000</v>
      </c>
      <c r="N502" s="24">
        <v>1</v>
      </c>
      <c r="O502" s="17">
        <v>12088.16</v>
      </c>
      <c r="P502" s="17">
        <v>12088.16</v>
      </c>
      <c r="Q502" s="17">
        <f t="shared" si="11"/>
        <v>0</v>
      </c>
      <c r="R502" s="22" t="s">
        <v>3942</v>
      </c>
      <c r="S502" s="22" t="s">
        <v>3965</v>
      </c>
      <c r="T502" s="22" t="s">
        <v>2318</v>
      </c>
    </row>
    <row r="503" spans="1:20" ht="79.5" customHeight="1" x14ac:dyDescent="0.2">
      <c r="A503" s="21">
        <v>510</v>
      </c>
      <c r="B503" s="289" t="s">
        <v>4932</v>
      </c>
      <c r="C503" s="289"/>
      <c r="D503" s="9" t="s">
        <v>5984</v>
      </c>
      <c r="E503" s="15"/>
      <c r="F503" s="13" t="s">
        <v>5917</v>
      </c>
      <c r="G503" s="285" t="s">
        <v>7983</v>
      </c>
      <c r="H503" s="285" t="s">
        <v>5127</v>
      </c>
      <c r="I503" s="289"/>
      <c r="J503" s="285" t="s">
        <v>3136</v>
      </c>
      <c r="K503" s="15">
        <v>39412</v>
      </c>
      <c r="L503" s="289">
        <v>827</v>
      </c>
      <c r="M503" s="15">
        <v>39872</v>
      </c>
      <c r="N503" s="24">
        <v>1</v>
      </c>
      <c r="O503" s="17">
        <v>6703.2</v>
      </c>
      <c r="P503" s="17">
        <v>6703.2</v>
      </c>
      <c r="Q503" s="17">
        <f t="shared" si="11"/>
        <v>0</v>
      </c>
      <c r="R503" s="285"/>
      <c r="S503" s="285"/>
      <c r="T503" s="22"/>
    </row>
    <row r="504" spans="1:20" ht="79.5" customHeight="1" x14ac:dyDescent="0.2">
      <c r="A504" s="21">
        <v>511</v>
      </c>
      <c r="B504" s="289" t="s">
        <v>4933</v>
      </c>
      <c r="C504" s="289"/>
      <c r="D504" s="9" t="s">
        <v>5984</v>
      </c>
      <c r="E504" s="15"/>
      <c r="F504" s="13" t="s">
        <v>5917</v>
      </c>
      <c r="G504" s="285" t="s">
        <v>7983</v>
      </c>
      <c r="H504" s="285" t="s">
        <v>5127</v>
      </c>
      <c r="I504" s="289"/>
      <c r="J504" s="285" t="s">
        <v>3136</v>
      </c>
      <c r="K504" s="15">
        <v>39412</v>
      </c>
      <c r="L504" s="289">
        <v>827</v>
      </c>
      <c r="M504" s="15">
        <v>39872</v>
      </c>
      <c r="N504" s="24">
        <v>1</v>
      </c>
      <c r="O504" s="17">
        <v>6703.2</v>
      </c>
      <c r="P504" s="17">
        <v>6703.2</v>
      </c>
      <c r="Q504" s="17">
        <f t="shared" si="11"/>
        <v>0</v>
      </c>
      <c r="R504" s="22"/>
      <c r="S504" s="22"/>
      <c r="T504" s="22"/>
    </row>
    <row r="505" spans="1:20" ht="82.5" customHeight="1" x14ac:dyDescent="0.2">
      <c r="A505" s="21">
        <v>512</v>
      </c>
      <c r="B505" s="289" t="s">
        <v>4934</v>
      </c>
      <c r="C505" s="289"/>
      <c r="D505" s="9" t="s">
        <v>5984</v>
      </c>
      <c r="E505" s="15"/>
      <c r="F505" s="13" t="s">
        <v>5917</v>
      </c>
      <c r="G505" s="285" t="s">
        <v>7983</v>
      </c>
      <c r="H505" s="285" t="s">
        <v>5127</v>
      </c>
      <c r="I505" s="289"/>
      <c r="J505" s="285" t="s">
        <v>3136</v>
      </c>
      <c r="K505" s="15">
        <v>39412</v>
      </c>
      <c r="L505" s="289">
        <v>827</v>
      </c>
      <c r="M505" s="15">
        <v>39872</v>
      </c>
      <c r="N505" s="24">
        <v>1</v>
      </c>
      <c r="O505" s="17">
        <v>7528.64</v>
      </c>
      <c r="P505" s="17">
        <v>7528.64</v>
      </c>
      <c r="Q505" s="17">
        <f t="shared" si="11"/>
        <v>0</v>
      </c>
      <c r="R505" s="22"/>
      <c r="S505" s="22"/>
      <c r="T505" s="22"/>
    </row>
    <row r="506" spans="1:20" ht="82.5" customHeight="1" x14ac:dyDescent="0.2">
      <c r="A506" s="21">
        <v>513</v>
      </c>
      <c r="B506" s="289" t="s">
        <v>4935</v>
      </c>
      <c r="C506" s="289"/>
      <c r="D506" s="9" t="s">
        <v>5984</v>
      </c>
      <c r="E506" s="15"/>
      <c r="F506" s="13" t="s">
        <v>5917</v>
      </c>
      <c r="G506" s="285" t="s">
        <v>7983</v>
      </c>
      <c r="H506" s="285" t="s">
        <v>5127</v>
      </c>
      <c r="I506" s="289"/>
      <c r="J506" s="285" t="s">
        <v>3136</v>
      </c>
      <c r="K506" s="15">
        <v>39412</v>
      </c>
      <c r="L506" s="289">
        <v>827</v>
      </c>
      <c r="M506" s="15">
        <v>39872</v>
      </c>
      <c r="N506" s="24">
        <v>1</v>
      </c>
      <c r="O506" s="17">
        <v>7528.64</v>
      </c>
      <c r="P506" s="17">
        <v>7528.64</v>
      </c>
      <c r="Q506" s="17">
        <f>O506-P506</f>
        <v>0</v>
      </c>
      <c r="R506" s="22"/>
      <c r="S506" s="22"/>
      <c r="T506" s="22"/>
    </row>
    <row r="507" spans="1:20" ht="80.25" customHeight="1" x14ac:dyDescent="0.2">
      <c r="A507" s="21">
        <v>515</v>
      </c>
      <c r="B507" s="289" t="s">
        <v>3033</v>
      </c>
      <c r="C507" s="289" t="s">
        <v>5274</v>
      </c>
      <c r="D507" s="9" t="s">
        <v>239</v>
      </c>
      <c r="E507" s="77">
        <v>2004</v>
      </c>
      <c r="F507" s="13" t="s">
        <v>6916</v>
      </c>
      <c r="G507" s="285" t="s">
        <v>7982</v>
      </c>
      <c r="H507" s="285" t="s">
        <v>5127</v>
      </c>
      <c r="I507" s="289"/>
      <c r="J507" s="285" t="s">
        <v>3136</v>
      </c>
      <c r="K507" s="15">
        <v>39240</v>
      </c>
      <c r="L507" s="289">
        <v>423</v>
      </c>
      <c r="M507" s="15">
        <v>40544</v>
      </c>
      <c r="N507" s="24">
        <v>1</v>
      </c>
      <c r="O507" s="17">
        <v>16288.61</v>
      </c>
      <c r="P507" s="17">
        <v>16288.61</v>
      </c>
      <c r="Q507" s="17">
        <f t="shared" ref="Q507:Q537" si="12">O507-P507</f>
        <v>0</v>
      </c>
      <c r="R507" s="22"/>
      <c r="S507" s="22"/>
      <c r="T507" s="22"/>
    </row>
    <row r="508" spans="1:20" ht="84.75" customHeight="1" x14ac:dyDescent="0.2">
      <c r="A508" s="21">
        <v>516</v>
      </c>
      <c r="B508" s="289" t="s">
        <v>1661</v>
      </c>
      <c r="C508" s="289"/>
      <c r="D508" s="9" t="s">
        <v>1260</v>
      </c>
      <c r="E508" s="15" t="s">
        <v>2745</v>
      </c>
      <c r="F508" s="13" t="s">
        <v>304</v>
      </c>
      <c r="G508" s="285" t="s">
        <v>7983</v>
      </c>
      <c r="H508" s="285" t="s">
        <v>5127</v>
      </c>
      <c r="I508" s="289"/>
      <c r="J508" s="285" t="s">
        <v>3136</v>
      </c>
      <c r="K508" s="15">
        <v>39412</v>
      </c>
      <c r="L508" s="289">
        <v>827</v>
      </c>
      <c r="M508" s="15">
        <v>39872</v>
      </c>
      <c r="N508" s="24">
        <v>1</v>
      </c>
      <c r="O508" s="17">
        <v>7344</v>
      </c>
      <c r="P508" s="17">
        <v>7344</v>
      </c>
      <c r="Q508" s="17">
        <f t="shared" si="12"/>
        <v>0</v>
      </c>
      <c r="R508" s="285" t="s">
        <v>4677</v>
      </c>
      <c r="S508" s="22" t="s">
        <v>5104</v>
      </c>
      <c r="T508" s="22" t="s">
        <v>5103</v>
      </c>
    </row>
    <row r="509" spans="1:20" ht="84.75" customHeight="1" x14ac:dyDescent="0.2">
      <c r="A509" s="21">
        <v>517</v>
      </c>
      <c r="B509" s="289" t="s">
        <v>1662</v>
      </c>
      <c r="C509" s="289" t="s">
        <v>5274</v>
      </c>
      <c r="D509" s="9" t="s">
        <v>4065</v>
      </c>
      <c r="E509" s="12">
        <v>2005</v>
      </c>
      <c r="F509" s="9" t="s">
        <v>6917</v>
      </c>
      <c r="G509" s="285" t="s">
        <v>7982</v>
      </c>
      <c r="H509" s="285" t="s">
        <v>5127</v>
      </c>
      <c r="I509" s="289"/>
      <c r="J509" s="285" t="s">
        <v>3136</v>
      </c>
      <c r="K509" s="15">
        <v>39240</v>
      </c>
      <c r="L509" s="289">
        <v>423</v>
      </c>
      <c r="M509" s="15">
        <v>41000</v>
      </c>
      <c r="N509" s="24">
        <v>1</v>
      </c>
      <c r="O509" s="17">
        <v>41024.400000000001</v>
      </c>
      <c r="P509" s="17">
        <v>41024.400000000001</v>
      </c>
      <c r="Q509" s="17">
        <f t="shared" si="12"/>
        <v>0</v>
      </c>
      <c r="R509" s="285" t="s">
        <v>4677</v>
      </c>
      <c r="S509" s="22" t="s">
        <v>5106</v>
      </c>
      <c r="T509" s="22" t="s">
        <v>5105</v>
      </c>
    </row>
    <row r="510" spans="1:20" ht="81.75" customHeight="1" x14ac:dyDescent="0.2">
      <c r="A510" s="21">
        <v>518</v>
      </c>
      <c r="B510" s="289" t="s">
        <v>2274</v>
      </c>
      <c r="C510" s="289" t="s">
        <v>5274</v>
      </c>
      <c r="D510" s="9" t="s">
        <v>185</v>
      </c>
      <c r="E510" s="12">
        <v>2005</v>
      </c>
      <c r="F510" s="13" t="s">
        <v>6918</v>
      </c>
      <c r="G510" s="285" t="s">
        <v>7982</v>
      </c>
      <c r="H510" s="285" t="s">
        <v>5127</v>
      </c>
      <c r="I510" s="289"/>
      <c r="J510" s="285" t="s">
        <v>3136</v>
      </c>
      <c r="K510" s="15">
        <v>39240</v>
      </c>
      <c r="L510" s="289">
        <v>423</v>
      </c>
      <c r="M510" s="15">
        <v>41244</v>
      </c>
      <c r="N510" s="24">
        <v>1</v>
      </c>
      <c r="O510" s="17">
        <v>29870</v>
      </c>
      <c r="P510" s="17">
        <v>29870</v>
      </c>
      <c r="Q510" s="17">
        <f t="shared" si="12"/>
        <v>0</v>
      </c>
      <c r="R510" s="285" t="s">
        <v>4677</v>
      </c>
      <c r="S510" s="22" t="s">
        <v>5108</v>
      </c>
      <c r="T510" s="22" t="s">
        <v>5107</v>
      </c>
    </row>
    <row r="511" spans="1:20" ht="54" customHeight="1" x14ac:dyDescent="0.2">
      <c r="A511" s="21">
        <v>519</v>
      </c>
      <c r="B511" s="289" t="s">
        <v>1628</v>
      </c>
      <c r="C511" s="289" t="s">
        <v>5274</v>
      </c>
      <c r="D511" s="9" t="s">
        <v>5270</v>
      </c>
      <c r="E511" s="12">
        <v>2005</v>
      </c>
      <c r="F511" s="9" t="s">
        <v>6919</v>
      </c>
      <c r="G511" s="285" t="s">
        <v>7982</v>
      </c>
      <c r="H511" s="285" t="s">
        <v>5127</v>
      </c>
      <c r="I511" s="289"/>
      <c r="J511" s="285" t="s">
        <v>3136</v>
      </c>
      <c r="K511" s="15">
        <v>39240</v>
      </c>
      <c r="L511" s="289">
        <v>423</v>
      </c>
      <c r="M511" s="15">
        <v>41000</v>
      </c>
      <c r="N511" s="24">
        <v>10</v>
      </c>
      <c r="O511" s="17">
        <v>210964.92</v>
      </c>
      <c r="P511" s="17">
        <v>210964.92</v>
      </c>
      <c r="Q511" s="17">
        <f t="shared" si="12"/>
        <v>0</v>
      </c>
      <c r="R511" s="22" t="s">
        <v>173</v>
      </c>
      <c r="S511" s="22" t="s">
        <v>174</v>
      </c>
      <c r="T511" s="22" t="s">
        <v>2759</v>
      </c>
    </row>
    <row r="512" spans="1:20" ht="54" customHeight="1" x14ac:dyDescent="0.2">
      <c r="A512" s="21">
        <v>520</v>
      </c>
      <c r="B512" s="289" t="s">
        <v>1629</v>
      </c>
      <c r="C512" s="289" t="s">
        <v>5274</v>
      </c>
      <c r="D512" s="9" t="s">
        <v>6921</v>
      </c>
      <c r="E512" s="12">
        <v>2005</v>
      </c>
      <c r="F512" s="9" t="s">
        <v>6920</v>
      </c>
      <c r="G512" s="285" t="s">
        <v>7982</v>
      </c>
      <c r="H512" s="285" t="s">
        <v>5127</v>
      </c>
      <c r="I512" s="289"/>
      <c r="J512" s="285" t="s">
        <v>3136</v>
      </c>
      <c r="K512" s="15">
        <v>39240</v>
      </c>
      <c r="L512" s="289">
        <v>423</v>
      </c>
      <c r="M512" s="15">
        <v>41000</v>
      </c>
      <c r="N512" s="24">
        <v>1</v>
      </c>
      <c r="O512" s="17">
        <v>26898.42</v>
      </c>
      <c r="P512" s="17">
        <v>26898.42</v>
      </c>
      <c r="Q512" s="17">
        <f t="shared" si="12"/>
        <v>0</v>
      </c>
      <c r="R512" s="285" t="s">
        <v>4677</v>
      </c>
      <c r="S512" s="22" t="s">
        <v>5106</v>
      </c>
      <c r="T512" s="22" t="s">
        <v>5105</v>
      </c>
    </row>
    <row r="513" spans="1:20" ht="81.75" customHeight="1" x14ac:dyDescent="0.2">
      <c r="A513" s="21">
        <v>521</v>
      </c>
      <c r="B513" s="289" t="s">
        <v>1630</v>
      </c>
      <c r="C513" s="289" t="s">
        <v>5274</v>
      </c>
      <c r="D513" s="9" t="s">
        <v>6921</v>
      </c>
      <c r="E513" s="12">
        <v>2005</v>
      </c>
      <c r="F513" s="9" t="s">
        <v>6922</v>
      </c>
      <c r="G513" s="285" t="s">
        <v>7982</v>
      </c>
      <c r="H513" s="285" t="s">
        <v>5127</v>
      </c>
      <c r="I513" s="289"/>
      <c r="J513" s="285" t="s">
        <v>3136</v>
      </c>
      <c r="K513" s="15">
        <v>39240</v>
      </c>
      <c r="L513" s="289">
        <v>423</v>
      </c>
      <c r="M513" s="15">
        <v>41000</v>
      </c>
      <c r="N513" s="24">
        <v>1</v>
      </c>
      <c r="O513" s="17">
        <v>26898.42</v>
      </c>
      <c r="P513" s="17">
        <v>26898.42</v>
      </c>
      <c r="Q513" s="17">
        <f t="shared" si="12"/>
        <v>0</v>
      </c>
      <c r="R513" s="285" t="s">
        <v>4677</v>
      </c>
      <c r="S513" s="22" t="s">
        <v>5106</v>
      </c>
      <c r="T513" s="22" t="s">
        <v>5105</v>
      </c>
    </row>
    <row r="514" spans="1:20" ht="79.5" customHeight="1" x14ac:dyDescent="0.2">
      <c r="A514" s="21">
        <v>522</v>
      </c>
      <c r="B514" s="289" t="s">
        <v>1631</v>
      </c>
      <c r="C514" s="289" t="s">
        <v>5274</v>
      </c>
      <c r="D514" s="9" t="s">
        <v>456</v>
      </c>
      <c r="E514" s="12" t="s">
        <v>4978</v>
      </c>
      <c r="F514" s="9" t="s">
        <v>7037</v>
      </c>
      <c r="G514" s="285" t="s">
        <v>7981</v>
      </c>
      <c r="H514" s="285" t="s">
        <v>5127</v>
      </c>
      <c r="I514" s="289"/>
      <c r="J514" s="285" t="s">
        <v>3136</v>
      </c>
      <c r="K514" s="15">
        <v>39240</v>
      </c>
      <c r="L514" s="289">
        <v>423</v>
      </c>
      <c r="M514" s="22" t="s">
        <v>5106</v>
      </c>
      <c r="N514" s="24">
        <v>1</v>
      </c>
      <c r="O514" s="17">
        <v>26898.42</v>
      </c>
      <c r="P514" s="17">
        <v>26898.42</v>
      </c>
      <c r="Q514" s="17">
        <f t="shared" si="12"/>
        <v>0</v>
      </c>
      <c r="R514" s="285" t="s">
        <v>4677</v>
      </c>
      <c r="S514" s="22" t="s">
        <v>5106</v>
      </c>
      <c r="T514" s="22" t="s">
        <v>175</v>
      </c>
    </row>
    <row r="515" spans="1:20" ht="45.75" customHeight="1" x14ac:dyDescent="0.2">
      <c r="A515" s="21">
        <v>523</v>
      </c>
      <c r="B515" s="289" t="s">
        <v>2092</v>
      </c>
      <c r="C515" s="289" t="s">
        <v>5274</v>
      </c>
      <c r="D515" s="9" t="s">
        <v>3883</v>
      </c>
      <c r="E515" s="12">
        <v>2005</v>
      </c>
      <c r="F515" s="9" t="s">
        <v>6506</v>
      </c>
      <c r="G515" s="285" t="s">
        <v>7846</v>
      </c>
      <c r="H515" s="285" t="s">
        <v>5127</v>
      </c>
      <c r="I515" s="289"/>
      <c r="J515" s="285"/>
      <c r="K515" s="285"/>
      <c r="L515" s="285"/>
      <c r="M515" s="15">
        <v>39814</v>
      </c>
      <c r="N515" s="24">
        <v>1</v>
      </c>
      <c r="O515" s="17">
        <v>14605.5</v>
      </c>
      <c r="P515" s="17">
        <v>14605.5</v>
      </c>
      <c r="Q515" s="17">
        <f t="shared" si="12"/>
        <v>0</v>
      </c>
      <c r="R515" s="285" t="s">
        <v>6058</v>
      </c>
      <c r="S515" s="22" t="s">
        <v>3967</v>
      </c>
      <c r="T515" s="22" t="s">
        <v>2993</v>
      </c>
    </row>
    <row r="516" spans="1:20" ht="54" customHeight="1" x14ac:dyDescent="0.2">
      <c r="A516" s="21">
        <v>524</v>
      </c>
      <c r="B516" s="289" t="s">
        <v>921</v>
      </c>
      <c r="C516" s="289"/>
      <c r="D516" s="9" t="s">
        <v>1620</v>
      </c>
      <c r="E516" s="12" t="s">
        <v>2408</v>
      </c>
      <c r="F516" s="9" t="s">
        <v>6532</v>
      </c>
      <c r="G516" s="285" t="s">
        <v>3090</v>
      </c>
      <c r="H516" s="285" t="s">
        <v>5127</v>
      </c>
      <c r="I516" s="289"/>
      <c r="J516" s="285" t="s">
        <v>3132</v>
      </c>
      <c r="K516" s="14">
        <v>40403</v>
      </c>
      <c r="L516" s="285" t="s">
        <v>2320</v>
      </c>
      <c r="M516" s="15">
        <v>39814</v>
      </c>
      <c r="N516" s="24">
        <v>1</v>
      </c>
      <c r="O516" s="17">
        <v>23400</v>
      </c>
      <c r="P516" s="17">
        <v>23400</v>
      </c>
      <c r="Q516" s="17">
        <f t="shared" si="12"/>
        <v>0</v>
      </c>
      <c r="R516" s="285" t="s">
        <v>6058</v>
      </c>
      <c r="S516" s="22" t="s">
        <v>3967</v>
      </c>
      <c r="T516" s="22" t="s">
        <v>2376</v>
      </c>
    </row>
    <row r="517" spans="1:20" ht="57.75" customHeight="1" x14ac:dyDescent="0.2">
      <c r="A517" s="21">
        <v>525</v>
      </c>
      <c r="B517" s="289" t="s">
        <v>922</v>
      </c>
      <c r="C517" s="289" t="s">
        <v>5274</v>
      </c>
      <c r="D517" s="9" t="s">
        <v>1768</v>
      </c>
      <c r="E517" s="12">
        <v>2004</v>
      </c>
      <c r="F517" s="13" t="s">
        <v>6705</v>
      </c>
      <c r="G517" s="285" t="s">
        <v>4946</v>
      </c>
      <c r="H517" s="285" t="s">
        <v>5127</v>
      </c>
      <c r="I517" s="289"/>
      <c r="J517" s="285" t="s">
        <v>3132</v>
      </c>
      <c r="K517" s="14">
        <v>40403</v>
      </c>
      <c r="L517" s="285" t="s">
        <v>2320</v>
      </c>
      <c r="M517" s="15">
        <v>39814</v>
      </c>
      <c r="N517" s="24">
        <v>1</v>
      </c>
      <c r="O517" s="17">
        <v>15252.3</v>
      </c>
      <c r="P517" s="17">
        <v>15252.3</v>
      </c>
      <c r="Q517" s="17">
        <f t="shared" si="12"/>
        <v>0</v>
      </c>
      <c r="R517" s="285" t="s">
        <v>6058</v>
      </c>
      <c r="S517" s="22" t="s">
        <v>3967</v>
      </c>
      <c r="T517" s="22" t="s">
        <v>2377</v>
      </c>
    </row>
    <row r="518" spans="1:20" ht="66.75" customHeight="1" x14ac:dyDescent="0.2">
      <c r="A518" s="21">
        <v>526</v>
      </c>
      <c r="B518" s="289" t="s">
        <v>923</v>
      </c>
      <c r="C518" s="289"/>
      <c r="D518" s="9" t="s">
        <v>3618</v>
      </c>
      <c r="E518" s="12" t="s">
        <v>1821</v>
      </c>
      <c r="F518" s="13" t="s">
        <v>6533</v>
      </c>
      <c r="G518" s="285" t="s">
        <v>3090</v>
      </c>
      <c r="H518" s="285" t="s">
        <v>5127</v>
      </c>
      <c r="I518" s="289"/>
      <c r="J518" s="285" t="s">
        <v>3132</v>
      </c>
      <c r="K518" s="14">
        <v>40403</v>
      </c>
      <c r="L518" s="285" t="s">
        <v>2320</v>
      </c>
      <c r="M518" s="15">
        <v>39814</v>
      </c>
      <c r="N518" s="24">
        <v>1</v>
      </c>
      <c r="O518" s="17">
        <v>37996.699999999997</v>
      </c>
      <c r="P518" s="17">
        <v>37996.699999999997</v>
      </c>
      <c r="Q518" s="17">
        <f t="shared" si="12"/>
        <v>0</v>
      </c>
      <c r="R518" s="285" t="s">
        <v>6058</v>
      </c>
      <c r="S518" s="22" t="s">
        <v>3967</v>
      </c>
      <c r="T518" s="22" t="s">
        <v>2378</v>
      </c>
    </row>
    <row r="519" spans="1:20" ht="92.25" customHeight="1" x14ac:dyDescent="0.2">
      <c r="A519" s="21">
        <v>527</v>
      </c>
      <c r="B519" s="289" t="s">
        <v>924</v>
      </c>
      <c r="C519" s="289"/>
      <c r="D519" s="36" t="s">
        <v>1344</v>
      </c>
      <c r="E519" s="12">
        <v>2004</v>
      </c>
      <c r="F519" s="13" t="s">
        <v>6706</v>
      </c>
      <c r="G519" s="285" t="s">
        <v>4946</v>
      </c>
      <c r="H519" s="285" t="s">
        <v>5127</v>
      </c>
      <c r="I519" s="289"/>
      <c r="J519" s="285" t="s">
        <v>3132</v>
      </c>
      <c r="K519" s="14">
        <v>40403</v>
      </c>
      <c r="L519" s="285" t="s">
        <v>2320</v>
      </c>
      <c r="M519" s="22" t="s">
        <v>3967</v>
      </c>
      <c r="N519" s="24">
        <v>1</v>
      </c>
      <c r="O519" s="17">
        <v>11737.6</v>
      </c>
      <c r="P519" s="17">
        <v>11737.6</v>
      </c>
      <c r="Q519" s="17">
        <f t="shared" si="12"/>
        <v>0</v>
      </c>
      <c r="R519" s="285" t="s">
        <v>6058</v>
      </c>
      <c r="S519" s="22" t="s">
        <v>3967</v>
      </c>
      <c r="T519" s="22" t="s">
        <v>2379</v>
      </c>
    </row>
    <row r="520" spans="1:20" ht="39.75" customHeight="1" x14ac:dyDescent="0.2">
      <c r="A520" s="21">
        <v>528</v>
      </c>
      <c r="B520" s="289" t="s">
        <v>5308</v>
      </c>
      <c r="C520" s="289"/>
      <c r="D520" s="9" t="s">
        <v>7088</v>
      </c>
      <c r="E520" s="12">
        <v>2004</v>
      </c>
      <c r="F520" s="9" t="s">
        <v>31</v>
      </c>
      <c r="G520" s="285" t="s">
        <v>793</v>
      </c>
      <c r="H520" s="285" t="s">
        <v>5127</v>
      </c>
      <c r="I520" s="289"/>
      <c r="J520" s="285" t="s">
        <v>3136</v>
      </c>
      <c r="K520" s="14">
        <v>39412</v>
      </c>
      <c r="L520" s="285">
        <v>825</v>
      </c>
      <c r="M520" s="15">
        <v>40544</v>
      </c>
      <c r="N520" s="24">
        <v>1</v>
      </c>
      <c r="O520" s="17">
        <v>34408.639999999999</v>
      </c>
      <c r="P520" s="17">
        <v>34408.639999999999</v>
      </c>
      <c r="Q520" s="17">
        <f t="shared" si="12"/>
        <v>0</v>
      </c>
      <c r="R520" s="285" t="s">
        <v>6058</v>
      </c>
      <c r="S520" s="22" t="s">
        <v>3968</v>
      </c>
      <c r="T520" s="22" t="s">
        <v>1029</v>
      </c>
    </row>
    <row r="521" spans="1:20" ht="78.75" customHeight="1" x14ac:dyDescent="0.2">
      <c r="A521" s="21">
        <v>529</v>
      </c>
      <c r="B521" s="289" t="s">
        <v>5681</v>
      </c>
      <c r="C521" s="289"/>
      <c r="D521" s="13" t="s">
        <v>6334</v>
      </c>
      <c r="E521" s="289">
        <v>2006</v>
      </c>
      <c r="F521" s="9" t="s">
        <v>9042</v>
      </c>
      <c r="G521" s="285" t="s">
        <v>4843</v>
      </c>
      <c r="H521" s="285" t="s">
        <v>39</v>
      </c>
      <c r="I521" s="285" t="s">
        <v>2207</v>
      </c>
      <c r="J521" s="22" t="s">
        <v>3685</v>
      </c>
      <c r="K521" s="22" t="s">
        <v>6312</v>
      </c>
      <c r="L521" s="22" t="s">
        <v>6311</v>
      </c>
      <c r="M521" s="15">
        <v>38899</v>
      </c>
      <c r="N521" s="24">
        <v>1</v>
      </c>
      <c r="O521" s="17">
        <v>17460</v>
      </c>
      <c r="P521" s="17">
        <v>0</v>
      </c>
      <c r="Q521" s="17">
        <f t="shared" si="12"/>
        <v>17460</v>
      </c>
      <c r="R521" s="285" t="s">
        <v>6058</v>
      </c>
      <c r="S521" s="22" t="s">
        <v>2381</v>
      </c>
      <c r="T521" s="22" t="s">
        <v>2380</v>
      </c>
    </row>
    <row r="522" spans="1:20" ht="44.25" customHeight="1" x14ac:dyDescent="0.2">
      <c r="A522" s="21">
        <v>530</v>
      </c>
      <c r="B522" s="289" t="s">
        <v>5682</v>
      </c>
      <c r="C522" s="289"/>
      <c r="D522" s="13" t="s">
        <v>9041</v>
      </c>
      <c r="E522" s="289">
        <v>2006</v>
      </c>
      <c r="F522" s="13" t="s">
        <v>6147</v>
      </c>
      <c r="G522" s="285" t="s">
        <v>4843</v>
      </c>
      <c r="H522" s="285" t="s">
        <v>39</v>
      </c>
      <c r="I522" s="285" t="s">
        <v>2207</v>
      </c>
      <c r="J522" s="22" t="s">
        <v>3685</v>
      </c>
      <c r="K522" s="22" t="s">
        <v>6312</v>
      </c>
      <c r="L522" s="22" t="s">
        <v>6311</v>
      </c>
      <c r="M522" s="15">
        <v>38899</v>
      </c>
      <c r="N522" s="24">
        <v>1</v>
      </c>
      <c r="O522" s="17">
        <v>9600</v>
      </c>
      <c r="P522" s="17">
        <v>0</v>
      </c>
      <c r="Q522" s="17">
        <f t="shared" si="12"/>
        <v>9600</v>
      </c>
      <c r="R522" s="285" t="s">
        <v>6058</v>
      </c>
      <c r="S522" s="22" t="s">
        <v>2381</v>
      </c>
      <c r="T522" s="22" t="s">
        <v>2383</v>
      </c>
    </row>
    <row r="523" spans="1:20" ht="43.5" customHeight="1" x14ac:dyDescent="0.2">
      <c r="A523" s="21">
        <v>531</v>
      </c>
      <c r="B523" s="289" t="s">
        <v>3197</v>
      </c>
      <c r="C523" s="289"/>
      <c r="D523" s="9" t="s">
        <v>6334</v>
      </c>
      <c r="E523" s="15" t="s">
        <v>2201</v>
      </c>
      <c r="F523" s="27" t="s">
        <v>9193</v>
      </c>
      <c r="G523" s="285" t="s">
        <v>7464</v>
      </c>
      <c r="H523" s="285" t="s">
        <v>5127</v>
      </c>
      <c r="I523" s="289"/>
      <c r="J523" s="22" t="s">
        <v>3136</v>
      </c>
      <c r="K523" s="15">
        <v>43811</v>
      </c>
      <c r="L523" s="289">
        <v>1019</v>
      </c>
      <c r="M523" s="15">
        <v>39872</v>
      </c>
      <c r="N523" s="24">
        <v>1</v>
      </c>
      <c r="O523" s="17">
        <v>27241.75</v>
      </c>
      <c r="P523" s="17">
        <v>27241.75</v>
      </c>
      <c r="Q523" s="17">
        <f t="shared" si="12"/>
        <v>0</v>
      </c>
      <c r="R523" s="285" t="s">
        <v>6058</v>
      </c>
      <c r="S523" s="22" t="s">
        <v>5009</v>
      </c>
      <c r="T523" s="22" t="s">
        <v>2385</v>
      </c>
    </row>
    <row r="524" spans="1:20" ht="93" customHeight="1" x14ac:dyDescent="0.2">
      <c r="A524" s="21">
        <v>532</v>
      </c>
      <c r="B524" s="289" t="s">
        <v>3198</v>
      </c>
      <c r="C524" s="289"/>
      <c r="D524" s="9" t="s">
        <v>6334</v>
      </c>
      <c r="E524" s="15" t="s">
        <v>2201</v>
      </c>
      <c r="F524" s="27" t="s">
        <v>3151</v>
      </c>
      <c r="G524" s="285" t="s">
        <v>7983</v>
      </c>
      <c r="H524" s="285" t="s">
        <v>5127</v>
      </c>
      <c r="I524" s="289"/>
      <c r="J524" s="22" t="s">
        <v>3136</v>
      </c>
      <c r="K524" s="15">
        <v>39412</v>
      </c>
      <c r="L524" s="289">
        <v>827</v>
      </c>
      <c r="M524" s="15">
        <v>39872</v>
      </c>
      <c r="N524" s="24">
        <v>1</v>
      </c>
      <c r="O524" s="17">
        <v>27241.75</v>
      </c>
      <c r="P524" s="17">
        <v>27241.75</v>
      </c>
      <c r="Q524" s="17">
        <f t="shared" si="12"/>
        <v>0</v>
      </c>
      <c r="R524" s="285" t="s">
        <v>6058</v>
      </c>
      <c r="S524" s="22" t="s">
        <v>5009</v>
      </c>
      <c r="T524" s="22" t="s">
        <v>2386</v>
      </c>
    </row>
    <row r="525" spans="1:20" ht="75.75" customHeight="1" x14ac:dyDescent="0.2">
      <c r="A525" s="21">
        <v>533</v>
      </c>
      <c r="B525" s="289" t="s">
        <v>3399</v>
      </c>
      <c r="C525" s="289" t="s">
        <v>5274</v>
      </c>
      <c r="D525" s="9" t="s">
        <v>2895</v>
      </c>
      <c r="E525" s="14" t="s">
        <v>5983</v>
      </c>
      <c r="F525" s="13" t="s">
        <v>6589</v>
      </c>
      <c r="G525" s="285" t="s">
        <v>2074</v>
      </c>
      <c r="H525" s="285" t="s">
        <v>5127</v>
      </c>
      <c r="I525" s="289"/>
      <c r="J525" s="22" t="s">
        <v>3136</v>
      </c>
      <c r="K525" s="14">
        <v>39619</v>
      </c>
      <c r="L525" s="285">
        <v>504</v>
      </c>
      <c r="M525" s="15">
        <v>39814</v>
      </c>
      <c r="N525" s="24">
        <v>1</v>
      </c>
      <c r="O525" s="17">
        <v>5320</v>
      </c>
      <c r="P525" s="17">
        <v>5320</v>
      </c>
      <c r="Q525" s="17">
        <f t="shared" si="12"/>
        <v>0</v>
      </c>
      <c r="R525" s="285" t="s">
        <v>6058</v>
      </c>
      <c r="S525" s="15">
        <v>38979</v>
      </c>
      <c r="T525" s="22" t="s">
        <v>5384</v>
      </c>
    </row>
    <row r="526" spans="1:20" ht="75.75" customHeight="1" x14ac:dyDescent="0.2">
      <c r="A526" s="21">
        <v>534</v>
      </c>
      <c r="B526" s="289" t="s">
        <v>3400</v>
      </c>
      <c r="C526" s="289" t="s">
        <v>5274</v>
      </c>
      <c r="D526" s="9" t="s">
        <v>6590</v>
      </c>
      <c r="E526" s="14" t="s">
        <v>3990</v>
      </c>
      <c r="F526" s="13" t="s">
        <v>6588</v>
      </c>
      <c r="G526" s="285" t="s">
        <v>2074</v>
      </c>
      <c r="H526" s="285" t="s">
        <v>5127</v>
      </c>
      <c r="I526" s="289"/>
      <c r="J526" s="22" t="s">
        <v>3136</v>
      </c>
      <c r="K526" s="14">
        <v>39619</v>
      </c>
      <c r="L526" s="285">
        <v>504</v>
      </c>
      <c r="M526" s="15">
        <v>39814</v>
      </c>
      <c r="N526" s="24">
        <v>1</v>
      </c>
      <c r="O526" s="17">
        <v>3500</v>
      </c>
      <c r="P526" s="17">
        <v>3500</v>
      </c>
      <c r="Q526" s="17">
        <f t="shared" si="12"/>
        <v>0</v>
      </c>
      <c r="R526" s="285" t="s">
        <v>6058</v>
      </c>
      <c r="S526" s="15">
        <v>38979</v>
      </c>
      <c r="T526" s="22" t="s">
        <v>2380</v>
      </c>
    </row>
    <row r="527" spans="1:20" ht="59.25" customHeight="1" x14ac:dyDescent="0.2">
      <c r="A527" s="21">
        <v>535</v>
      </c>
      <c r="B527" s="289" t="s">
        <v>3401</v>
      </c>
      <c r="C527" s="289"/>
      <c r="D527" s="9" t="s">
        <v>1836</v>
      </c>
      <c r="E527" s="14" t="s">
        <v>3990</v>
      </c>
      <c r="F527" s="13" t="s">
        <v>6591</v>
      </c>
      <c r="G527" s="285" t="s">
        <v>2074</v>
      </c>
      <c r="H527" s="285" t="s">
        <v>5127</v>
      </c>
      <c r="I527" s="289"/>
      <c r="J527" s="22" t="s">
        <v>3136</v>
      </c>
      <c r="K527" s="14">
        <v>39619</v>
      </c>
      <c r="L527" s="285">
        <v>504</v>
      </c>
      <c r="M527" s="15">
        <v>39814</v>
      </c>
      <c r="N527" s="24">
        <v>1</v>
      </c>
      <c r="O527" s="17">
        <v>3500</v>
      </c>
      <c r="P527" s="17">
        <v>3500</v>
      </c>
      <c r="Q527" s="17">
        <f t="shared" si="12"/>
        <v>0</v>
      </c>
      <c r="R527" s="285" t="s">
        <v>6058</v>
      </c>
      <c r="S527" s="15">
        <v>38979</v>
      </c>
      <c r="T527" s="22" t="s">
        <v>2382</v>
      </c>
    </row>
    <row r="528" spans="1:20" ht="59.25" customHeight="1" x14ac:dyDescent="0.2">
      <c r="A528" s="21">
        <v>536</v>
      </c>
      <c r="B528" s="289" t="s">
        <v>3029</v>
      </c>
      <c r="C528" s="289"/>
      <c r="D528" s="9" t="s">
        <v>2329</v>
      </c>
      <c r="E528" s="12" t="s">
        <v>6643</v>
      </c>
      <c r="F528" s="13" t="s">
        <v>6636</v>
      </c>
      <c r="G528" s="285" t="s">
        <v>6266</v>
      </c>
      <c r="H528" s="285" t="s">
        <v>5127</v>
      </c>
      <c r="I528" s="289"/>
      <c r="J528" s="22" t="s">
        <v>3136</v>
      </c>
      <c r="K528" s="14">
        <v>39412</v>
      </c>
      <c r="L528" s="285">
        <v>825</v>
      </c>
      <c r="M528" s="14">
        <v>39412</v>
      </c>
      <c r="N528" s="24">
        <v>1</v>
      </c>
      <c r="O528" s="17">
        <v>11082</v>
      </c>
      <c r="P528" s="17">
        <v>11082</v>
      </c>
      <c r="Q528" s="17">
        <f t="shared" si="12"/>
        <v>0</v>
      </c>
      <c r="R528" s="285" t="s">
        <v>6058</v>
      </c>
      <c r="S528" s="15">
        <v>39125</v>
      </c>
      <c r="T528" s="22" t="s">
        <v>5384</v>
      </c>
    </row>
    <row r="529" spans="1:20" ht="66.75" customHeight="1" x14ac:dyDescent="0.2">
      <c r="A529" s="21">
        <v>537</v>
      </c>
      <c r="B529" s="289" t="s">
        <v>3030</v>
      </c>
      <c r="C529" s="289" t="s">
        <v>5274</v>
      </c>
      <c r="D529" s="9" t="s">
        <v>2137</v>
      </c>
      <c r="E529" s="15" t="s">
        <v>1880</v>
      </c>
      <c r="F529" s="13" t="s">
        <v>6592</v>
      </c>
      <c r="G529" s="285" t="s">
        <v>2074</v>
      </c>
      <c r="H529" s="285" t="s">
        <v>5127</v>
      </c>
      <c r="I529" s="289"/>
      <c r="J529" s="22" t="s">
        <v>3136</v>
      </c>
      <c r="K529" s="14">
        <v>39619</v>
      </c>
      <c r="L529" s="285">
        <v>504</v>
      </c>
      <c r="M529" s="14">
        <v>39792</v>
      </c>
      <c r="N529" s="24">
        <v>1</v>
      </c>
      <c r="O529" s="17">
        <v>11500</v>
      </c>
      <c r="P529" s="17">
        <v>11500</v>
      </c>
      <c r="Q529" s="17">
        <f t="shared" si="12"/>
        <v>0</v>
      </c>
      <c r="R529" s="285" t="s">
        <v>6058</v>
      </c>
      <c r="S529" s="15">
        <v>39125</v>
      </c>
      <c r="T529" s="22" t="s">
        <v>2388</v>
      </c>
    </row>
    <row r="530" spans="1:20" ht="66.75" customHeight="1" x14ac:dyDescent="0.2">
      <c r="A530" s="21">
        <v>538</v>
      </c>
      <c r="B530" s="289" t="s">
        <v>3031</v>
      </c>
      <c r="C530" s="289" t="s">
        <v>5274</v>
      </c>
      <c r="D530" s="9" t="s">
        <v>194</v>
      </c>
      <c r="E530" s="12" t="s">
        <v>6924</v>
      </c>
      <c r="F530" s="9" t="s">
        <v>6923</v>
      </c>
      <c r="G530" s="285" t="s">
        <v>7982</v>
      </c>
      <c r="H530" s="285" t="s">
        <v>5127</v>
      </c>
      <c r="I530" s="289"/>
      <c r="J530" s="22" t="s">
        <v>3136</v>
      </c>
      <c r="K530" s="14">
        <v>39240</v>
      </c>
      <c r="L530" s="285">
        <v>423</v>
      </c>
      <c r="M530" s="15">
        <v>41000</v>
      </c>
      <c r="N530" s="24">
        <v>1</v>
      </c>
      <c r="O530" s="17">
        <v>26159</v>
      </c>
      <c r="P530" s="17">
        <v>26159</v>
      </c>
      <c r="Q530" s="17">
        <f t="shared" si="12"/>
        <v>0</v>
      </c>
      <c r="R530" s="285" t="s">
        <v>6058</v>
      </c>
      <c r="S530" s="15">
        <v>39133</v>
      </c>
      <c r="T530" s="22" t="s">
        <v>1029</v>
      </c>
    </row>
    <row r="531" spans="1:20" ht="54" customHeight="1" x14ac:dyDescent="0.2">
      <c r="A531" s="21">
        <v>539</v>
      </c>
      <c r="B531" s="289" t="s">
        <v>3032</v>
      </c>
      <c r="C531" s="289" t="s">
        <v>5274</v>
      </c>
      <c r="D531" s="9" t="s">
        <v>4155</v>
      </c>
      <c r="E531" s="12" t="s">
        <v>6924</v>
      </c>
      <c r="F531" s="13" t="s">
        <v>1772</v>
      </c>
      <c r="G531" s="285" t="s">
        <v>7982</v>
      </c>
      <c r="H531" s="285" t="s">
        <v>5127</v>
      </c>
      <c r="I531" s="289"/>
      <c r="J531" s="22" t="s">
        <v>3136</v>
      </c>
      <c r="K531" s="14">
        <v>39240</v>
      </c>
      <c r="L531" s="285">
        <v>423</v>
      </c>
      <c r="M531" s="15">
        <v>41000</v>
      </c>
      <c r="N531" s="24">
        <v>1</v>
      </c>
      <c r="O531" s="17">
        <v>33929</v>
      </c>
      <c r="P531" s="17">
        <v>33929</v>
      </c>
      <c r="Q531" s="17">
        <f t="shared" si="12"/>
        <v>0</v>
      </c>
      <c r="R531" s="285" t="s">
        <v>6058</v>
      </c>
      <c r="S531" s="15">
        <v>39133</v>
      </c>
      <c r="T531" s="22" t="s">
        <v>1029</v>
      </c>
    </row>
    <row r="532" spans="1:20" ht="54" customHeight="1" x14ac:dyDescent="0.2">
      <c r="A532" s="21">
        <v>540</v>
      </c>
      <c r="B532" s="289" t="s">
        <v>4119</v>
      </c>
      <c r="C532" s="289"/>
      <c r="D532" s="9" t="s">
        <v>2205</v>
      </c>
      <c r="E532" s="12" t="s">
        <v>6924</v>
      </c>
      <c r="F532" s="13" t="s">
        <v>1478</v>
      </c>
      <c r="G532" s="285" t="s">
        <v>7982</v>
      </c>
      <c r="H532" s="285" t="s">
        <v>5127</v>
      </c>
      <c r="I532" s="289"/>
      <c r="J532" s="22" t="s">
        <v>3136</v>
      </c>
      <c r="K532" s="14">
        <v>39240</v>
      </c>
      <c r="L532" s="285">
        <v>423</v>
      </c>
      <c r="M532" s="15">
        <v>41000</v>
      </c>
      <c r="N532" s="24">
        <v>1</v>
      </c>
      <c r="O532" s="17">
        <v>30651</v>
      </c>
      <c r="P532" s="17">
        <v>30651</v>
      </c>
      <c r="Q532" s="17">
        <f t="shared" si="12"/>
        <v>0</v>
      </c>
      <c r="R532" s="285" t="s">
        <v>6058</v>
      </c>
      <c r="S532" s="15">
        <v>39133</v>
      </c>
      <c r="T532" s="22" t="s">
        <v>1029</v>
      </c>
    </row>
    <row r="533" spans="1:20" ht="54.75" customHeight="1" x14ac:dyDescent="0.2">
      <c r="A533" s="21">
        <v>541</v>
      </c>
      <c r="B533" s="289" t="s">
        <v>4120</v>
      </c>
      <c r="C533" s="289" t="s">
        <v>5274</v>
      </c>
      <c r="D533" s="9" t="s">
        <v>4858</v>
      </c>
      <c r="E533" s="12" t="s">
        <v>6924</v>
      </c>
      <c r="F533" s="13" t="s">
        <v>1747</v>
      </c>
      <c r="G533" s="285" t="s">
        <v>7982</v>
      </c>
      <c r="H533" s="285" t="s">
        <v>5127</v>
      </c>
      <c r="I533" s="289"/>
      <c r="J533" s="22" t="s">
        <v>3136</v>
      </c>
      <c r="K533" s="14">
        <v>39240</v>
      </c>
      <c r="L533" s="285">
        <v>423</v>
      </c>
      <c r="M533" s="15">
        <v>40544</v>
      </c>
      <c r="N533" s="24">
        <v>1</v>
      </c>
      <c r="O533" s="17">
        <v>18720</v>
      </c>
      <c r="P533" s="17">
        <v>18720</v>
      </c>
      <c r="Q533" s="17">
        <f t="shared" si="12"/>
        <v>0</v>
      </c>
      <c r="R533" s="285" t="s">
        <v>6058</v>
      </c>
      <c r="S533" s="15">
        <v>39133</v>
      </c>
      <c r="T533" s="22" t="s">
        <v>1029</v>
      </c>
    </row>
    <row r="534" spans="1:20" ht="36.75" customHeight="1" x14ac:dyDescent="0.2">
      <c r="A534" s="21">
        <v>542</v>
      </c>
      <c r="B534" s="289" t="s">
        <v>2973</v>
      </c>
      <c r="C534" s="289" t="s">
        <v>5274</v>
      </c>
      <c r="D534" s="9" t="s">
        <v>6832</v>
      </c>
      <c r="E534" s="15" t="s">
        <v>6831</v>
      </c>
      <c r="F534" s="13" t="s">
        <v>6833</v>
      </c>
      <c r="G534" s="285" t="s">
        <v>7917</v>
      </c>
      <c r="H534" s="285" t="s">
        <v>5127</v>
      </c>
      <c r="I534" s="289"/>
      <c r="J534" s="22" t="s">
        <v>3136</v>
      </c>
      <c r="K534" s="14">
        <v>39240</v>
      </c>
      <c r="L534" s="285">
        <v>423</v>
      </c>
      <c r="M534" s="15">
        <v>40544</v>
      </c>
      <c r="N534" s="24">
        <v>1</v>
      </c>
      <c r="O534" s="17">
        <v>10200</v>
      </c>
      <c r="P534" s="17">
        <v>10200</v>
      </c>
      <c r="Q534" s="17">
        <f t="shared" si="12"/>
        <v>0</v>
      </c>
      <c r="R534" s="285" t="s">
        <v>6058</v>
      </c>
      <c r="S534" s="15">
        <v>39133</v>
      </c>
      <c r="T534" s="22" t="s">
        <v>1029</v>
      </c>
    </row>
    <row r="535" spans="1:20" ht="48.75" customHeight="1" x14ac:dyDescent="0.2">
      <c r="A535" s="21">
        <v>543</v>
      </c>
      <c r="B535" s="289" t="s">
        <v>2974</v>
      </c>
      <c r="C535" s="289" t="s">
        <v>5274</v>
      </c>
      <c r="D535" s="9" t="s">
        <v>4128</v>
      </c>
      <c r="E535" s="12" t="s">
        <v>6924</v>
      </c>
      <c r="F535" s="13" t="s">
        <v>7038</v>
      </c>
      <c r="G535" s="285" t="s">
        <v>7981</v>
      </c>
      <c r="H535" s="285" t="s">
        <v>5127</v>
      </c>
      <c r="I535" s="289"/>
      <c r="J535" s="22" t="s">
        <v>3136</v>
      </c>
      <c r="K535" s="14">
        <v>39240</v>
      </c>
      <c r="L535" s="285">
        <v>423</v>
      </c>
      <c r="M535" s="15">
        <v>40544</v>
      </c>
      <c r="N535" s="24">
        <v>2</v>
      </c>
      <c r="O535" s="17">
        <v>24684</v>
      </c>
      <c r="P535" s="17">
        <v>24684</v>
      </c>
      <c r="Q535" s="17">
        <f t="shared" si="12"/>
        <v>0</v>
      </c>
      <c r="R535" s="285" t="s">
        <v>6058</v>
      </c>
      <c r="S535" s="15">
        <v>39133</v>
      </c>
      <c r="T535" s="22" t="s">
        <v>1029</v>
      </c>
    </row>
    <row r="536" spans="1:20" ht="48.75" customHeight="1" x14ac:dyDescent="0.2">
      <c r="A536" s="21">
        <v>544</v>
      </c>
      <c r="B536" s="289" t="s">
        <v>219</v>
      </c>
      <c r="C536" s="289" t="s">
        <v>5274</v>
      </c>
      <c r="D536" s="9" t="s">
        <v>6313</v>
      </c>
      <c r="E536" s="12" t="s">
        <v>6924</v>
      </c>
      <c r="F536" s="13" t="s">
        <v>1772</v>
      </c>
      <c r="G536" s="285" t="s">
        <v>7981</v>
      </c>
      <c r="H536" s="285" t="s">
        <v>5127</v>
      </c>
      <c r="I536" s="289"/>
      <c r="J536" s="22" t="s">
        <v>3136</v>
      </c>
      <c r="K536" s="14">
        <v>39240</v>
      </c>
      <c r="L536" s="285">
        <v>423</v>
      </c>
      <c r="M536" s="15">
        <v>40544</v>
      </c>
      <c r="N536" s="24">
        <v>1</v>
      </c>
      <c r="O536" s="17">
        <v>15496</v>
      </c>
      <c r="P536" s="17">
        <v>15496</v>
      </c>
      <c r="Q536" s="17">
        <f t="shared" si="12"/>
        <v>0</v>
      </c>
      <c r="R536" s="285" t="s">
        <v>6058</v>
      </c>
      <c r="S536" s="15">
        <v>39133</v>
      </c>
      <c r="T536" s="22" t="s">
        <v>1029</v>
      </c>
    </row>
    <row r="537" spans="1:20" ht="49.5" customHeight="1" x14ac:dyDescent="0.2">
      <c r="A537" s="21">
        <v>545</v>
      </c>
      <c r="B537" s="289" t="s">
        <v>3516</v>
      </c>
      <c r="C537" s="289" t="s">
        <v>5274</v>
      </c>
      <c r="D537" s="9" t="s">
        <v>6593</v>
      </c>
      <c r="E537" s="12">
        <v>2007</v>
      </c>
      <c r="F537" s="13" t="s">
        <v>6594</v>
      </c>
      <c r="G537" s="285" t="s">
        <v>2074</v>
      </c>
      <c r="H537" s="285" t="s">
        <v>5127</v>
      </c>
      <c r="I537" s="289"/>
      <c r="J537" s="22" t="s">
        <v>3136</v>
      </c>
      <c r="K537" s="14">
        <v>39619</v>
      </c>
      <c r="L537" s="285">
        <v>504</v>
      </c>
      <c r="M537" s="15">
        <v>39814</v>
      </c>
      <c r="N537" s="24">
        <v>1</v>
      </c>
      <c r="O537" s="17">
        <v>7800</v>
      </c>
      <c r="P537" s="17">
        <v>7800</v>
      </c>
      <c r="Q537" s="17">
        <f t="shared" si="12"/>
        <v>0</v>
      </c>
      <c r="R537" s="285" t="s">
        <v>6058</v>
      </c>
      <c r="S537" s="22" t="s">
        <v>5010</v>
      </c>
      <c r="T537" s="22" t="s">
        <v>2384</v>
      </c>
    </row>
    <row r="538" spans="1:20" ht="49.5" customHeight="1" x14ac:dyDescent="0.2">
      <c r="A538" s="21">
        <v>547</v>
      </c>
      <c r="B538" s="289" t="s">
        <v>3517</v>
      </c>
      <c r="C538" s="289"/>
      <c r="D538" s="9" t="s">
        <v>3158</v>
      </c>
      <c r="E538" s="12" t="s">
        <v>2741</v>
      </c>
      <c r="F538" s="13" t="s">
        <v>4956</v>
      </c>
      <c r="G538" s="56" t="s">
        <v>101</v>
      </c>
      <c r="H538" s="285" t="s">
        <v>5127</v>
      </c>
      <c r="I538" s="289"/>
      <c r="J538" s="115"/>
      <c r="K538" s="285"/>
      <c r="L538" s="285"/>
      <c r="M538" s="15">
        <v>39814</v>
      </c>
      <c r="N538" s="24">
        <v>1</v>
      </c>
      <c r="O538" s="17">
        <v>5701.8</v>
      </c>
      <c r="P538" s="17">
        <v>5701.8</v>
      </c>
      <c r="Q538" s="17">
        <f t="shared" ref="Q538:Q567" si="13">O538-P538</f>
        <v>0</v>
      </c>
      <c r="R538" s="289"/>
      <c r="S538" s="289"/>
      <c r="T538" s="22"/>
    </row>
    <row r="539" spans="1:20" ht="42" customHeight="1" x14ac:dyDescent="0.2">
      <c r="A539" s="21">
        <v>548</v>
      </c>
      <c r="B539" s="289" t="s">
        <v>3518</v>
      </c>
      <c r="C539" s="289"/>
      <c r="D539" s="9" t="s">
        <v>5870</v>
      </c>
      <c r="E539" s="12" t="s">
        <v>2742</v>
      </c>
      <c r="F539" s="13" t="s">
        <v>6544</v>
      </c>
      <c r="G539" s="56" t="s">
        <v>101</v>
      </c>
      <c r="H539" s="285" t="s">
        <v>5127</v>
      </c>
      <c r="I539" s="289"/>
      <c r="J539" s="115"/>
      <c r="K539" s="285"/>
      <c r="L539" s="285"/>
      <c r="M539" s="15">
        <v>41198</v>
      </c>
      <c r="N539" s="24">
        <v>1</v>
      </c>
      <c r="O539" s="17">
        <v>10000</v>
      </c>
      <c r="P539" s="17">
        <v>10000</v>
      </c>
      <c r="Q539" s="17">
        <f t="shared" si="13"/>
        <v>0</v>
      </c>
      <c r="R539" s="289"/>
      <c r="S539" s="289"/>
      <c r="T539" s="22"/>
    </row>
    <row r="540" spans="1:20" ht="39" customHeight="1" x14ac:dyDescent="0.2">
      <c r="A540" s="21">
        <v>549</v>
      </c>
      <c r="B540" s="289" t="s">
        <v>3519</v>
      </c>
      <c r="C540" s="289"/>
      <c r="D540" s="9" t="s">
        <v>4012</v>
      </c>
      <c r="E540" s="12" t="s">
        <v>3549</v>
      </c>
      <c r="F540" s="9" t="s">
        <v>6545</v>
      </c>
      <c r="G540" s="56" t="s">
        <v>101</v>
      </c>
      <c r="H540" s="285" t="s">
        <v>5127</v>
      </c>
      <c r="I540" s="289"/>
      <c r="J540" s="115"/>
      <c r="K540" s="285"/>
      <c r="L540" s="285"/>
      <c r="M540" s="15">
        <v>41000</v>
      </c>
      <c r="N540" s="24">
        <v>1</v>
      </c>
      <c r="O540" s="17">
        <v>29491.26</v>
      </c>
      <c r="P540" s="17">
        <v>29491.26</v>
      </c>
      <c r="Q540" s="17">
        <f t="shared" si="13"/>
        <v>0</v>
      </c>
      <c r="R540" s="289"/>
      <c r="S540" s="289"/>
      <c r="T540" s="22"/>
    </row>
    <row r="541" spans="1:20" ht="83.25" customHeight="1" x14ac:dyDescent="0.2">
      <c r="A541" s="21">
        <v>550</v>
      </c>
      <c r="B541" s="289" t="s">
        <v>3520</v>
      </c>
      <c r="C541" s="289"/>
      <c r="D541" s="9" t="s">
        <v>2541</v>
      </c>
      <c r="E541" s="12" t="s">
        <v>3977</v>
      </c>
      <c r="F541" s="13" t="s">
        <v>6558</v>
      </c>
      <c r="G541" s="285" t="s">
        <v>7464</v>
      </c>
      <c r="H541" s="285" t="s">
        <v>5127</v>
      </c>
      <c r="I541" s="289"/>
      <c r="J541" s="285"/>
      <c r="K541" s="285"/>
      <c r="L541" s="285"/>
      <c r="M541" s="15">
        <v>39814</v>
      </c>
      <c r="N541" s="24">
        <v>1</v>
      </c>
      <c r="O541" s="17">
        <v>6987</v>
      </c>
      <c r="P541" s="17">
        <v>6987</v>
      </c>
      <c r="Q541" s="17">
        <f t="shared" si="13"/>
        <v>0</v>
      </c>
      <c r="R541" s="285"/>
      <c r="S541" s="22"/>
      <c r="T541" s="22"/>
    </row>
    <row r="542" spans="1:20" ht="78.75" customHeight="1" x14ac:dyDescent="0.2">
      <c r="A542" s="21">
        <v>551</v>
      </c>
      <c r="B542" s="289" t="s">
        <v>4939</v>
      </c>
      <c r="C542" s="18"/>
      <c r="D542" s="9" t="s">
        <v>833</v>
      </c>
      <c r="E542" s="12" t="s">
        <v>3977</v>
      </c>
      <c r="F542" s="9" t="s">
        <v>6559</v>
      </c>
      <c r="G542" s="285" t="s">
        <v>7464</v>
      </c>
      <c r="H542" s="285" t="s">
        <v>5127</v>
      </c>
      <c r="I542" s="18"/>
      <c r="J542" s="285"/>
      <c r="K542" s="16"/>
      <c r="L542" s="289"/>
      <c r="M542" s="15">
        <v>42156</v>
      </c>
      <c r="N542" s="24">
        <v>1</v>
      </c>
      <c r="O542" s="17">
        <f>25584.72-2500</f>
        <v>23084.720000000001</v>
      </c>
      <c r="P542" s="17">
        <f>25584.72-2500</f>
        <v>23084.720000000001</v>
      </c>
      <c r="Q542" s="17">
        <f t="shared" si="13"/>
        <v>0</v>
      </c>
      <c r="R542" s="285"/>
      <c r="S542" s="22"/>
      <c r="T542" s="22"/>
    </row>
    <row r="543" spans="1:20" ht="70.5" customHeight="1" x14ac:dyDescent="0.2">
      <c r="A543" s="21">
        <v>552</v>
      </c>
      <c r="B543" s="289" t="s">
        <v>4940</v>
      </c>
      <c r="C543" s="289" t="s">
        <v>5274</v>
      </c>
      <c r="D543" s="9" t="s">
        <v>6707</v>
      </c>
      <c r="E543" s="15" t="s">
        <v>2542</v>
      </c>
      <c r="F543" s="9" t="s">
        <v>6708</v>
      </c>
      <c r="G543" s="285" t="s">
        <v>4946</v>
      </c>
      <c r="H543" s="285" t="s">
        <v>5127</v>
      </c>
      <c r="I543" s="289"/>
      <c r="J543" s="285" t="s">
        <v>3132</v>
      </c>
      <c r="K543" s="14">
        <v>40403</v>
      </c>
      <c r="L543" s="285" t="s">
        <v>2320</v>
      </c>
      <c r="M543" s="14">
        <v>40403</v>
      </c>
      <c r="N543" s="24">
        <v>1</v>
      </c>
      <c r="O543" s="17">
        <v>20117</v>
      </c>
      <c r="P543" s="17">
        <v>20117</v>
      </c>
      <c r="Q543" s="17">
        <f t="shared" si="13"/>
        <v>0</v>
      </c>
      <c r="R543" s="285"/>
      <c r="S543" s="22"/>
      <c r="T543" s="22"/>
    </row>
    <row r="544" spans="1:20" ht="75.75" customHeight="1" x14ac:dyDescent="0.2">
      <c r="A544" s="21">
        <v>553</v>
      </c>
      <c r="B544" s="289" t="s">
        <v>3108</v>
      </c>
      <c r="C544" s="289"/>
      <c r="D544" s="9" t="s">
        <v>6709</v>
      </c>
      <c r="E544" s="15" t="s">
        <v>4252</v>
      </c>
      <c r="F544" s="9" t="s">
        <v>6710</v>
      </c>
      <c r="G544" s="285" t="s">
        <v>4946</v>
      </c>
      <c r="H544" s="285" t="s">
        <v>5127</v>
      </c>
      <c r="I544" s="289"/>
      <c r="J544" s="285" t="s">
        <v>3136</v>
      </c>
      <c r="K544" s="15">
        <v>42156</v>
      </c>
      <c r="L544" s="289">
        <v>449</v>
      </c>
      <c r="M544" s="15">
        <v>42156</v>
      </c>
      <c r="N544" s="24">
        <v>1</v>
      </c>
      <c r="O544" s="17">
        <v>21916</v>
      </c>
      <c r="P544" s="17">
        <v>21916</v>
      </c>
      <c r="Q544" s="17">
        <f t="shared" si="13"/>
        <v>0</v>
      </c>
      <c r="R544" s="285"/>
      <c r="S544" s="22"/>
      <c r="T544" s="22"/>
    </row>
    <row r="545" spans="1:21" ht="69" customHeight="1" x14ac:dyDescent="0.2">
      <c r="A545" s="21">
        <v>554</v>
      </c>
      <c r="B545" s="289" t="s">
        <v>3109</v>
      </c>
      <c r="C545" s="289"/>
      <c r="D545" s="9" t="s">
        <v>6711</v>
      </c>
      <c r="E545" s="15" t="s">
        <v>2542</v>
      </c>
      <c r="F545" s="9" t="s">
        <v>6712</v>
      </c>
      <c r="G545" s="285" t="s">
        <v>4946</v>
      </c>
      <c r="H545" s="285" t="s">
        <v>5127</v>
      </c>
      <c r="I545" s="289"/>
      <c r="J545" s="285" t="s">
        <v>3136</v>
      </c>
      <c r="K545" s="15">
        <v>42156</v>
      </c>
      <c r="L545" s="289">
        <v>449</v>
      </c>
      <c r="M545" s="15">
        <v>42156</v>
      </c>
      <c r="N545" s="24">
        <v>1</v>
      </c>
      <c r="O545" s="17">
        <v>22368</v>
      </c>
      <c r="P545" s="17">
        <v>22368</v>
      </c>
      <c r="Q545" s="17">
        <f t="shared" si="13"/>
        <v>0</v>
      </c>
      <c r="R545" s="285"/>
      <c r="S545" s="22"/>
      <c r="T545" s="22"/>
    </row>
    <row r="546" spans="1:21" ht="69" customHeight="1" x14ac:dyDescent="0.2">
      <c r="A546" s="21">
        <v>555</v>
      </c>
      <c r="B546" s="289" t="s">
        <v>3110</v>
      </c>
      <c r="C546" s="289"/>
      <c r="D546" s="9" t="s">
        <v>477</v>
      </c>
      <c r="E546" s="12" t="s">
        <v>3977</v>
      </c>
      <c r="F546" s="13" t="s">
        <v>6560</v>
      </c>
      <c r="G546" s="285" t="s">
        <v>7464</v>
      </c>
      <c r="H546" s="285" t="s">
        <v>5127</v>
      </c>
      <c r="I546" s="289"/>
      <c r="J546" s="285"/>
      <c r="K546" s="285"/>
      <c r="L546" s="285"/>
      <c r="M546" s="15">
        <v>39814</v>
      </c>
      <c r="N546" s="24">
        <v>1</v>
      </c>
      <c r="O546" s="17">
        <v>5916</v>
      </c>
      <c r="P546" s="17">
        <v>5916</v>
      </c>
      <c r="Q546" s="17">
        <f t="shared" si="13"/>
        <v>0</v>
      </c>
      <c r="R546" s="285"/>
      <c r="S546" s="22"/>
      <c r="T546" s="22"/>
    </row>
    <row r="547" spans="1:21" ht="69" customHeight="1" x14ac:dyDescent="0.2">
      <c r="A547" s="21">
        <v>556</v>
      </c>
      <c r="B547" s="289" t="s">
        <v>3296</v>
      </c>
      <c r="C547" s="289"/>
      <c r="D547" s="9" t="s">
        <v>2946</v>
      </c>
      <c r="E547" s="12" t="s">
        <v>4978</v>
      </c>
      <c r="F547" s="13" t="s">
        <v>6522</v>
      </c>
      <c r="G547" s="285" t="s">
        <v>8293</v>
      </c>
      <c r="H547" s="285" t="s">
        <v>5127</v>
      </c>
      <c r="I547" s="289"/>
      <c r="J547" s="285"/>
      <c r="K547" s="285"/>
      <c r="L547" s="285"/>
      <c r="M547" s="15">
        <v>39904</v>
      </c>
      <c r="N547" s="24">
        <v>1</v>
      </c>
      <c r="O547" s="17">
        <v>5100</v>
      </c>
      <c r="P547" s="17">
        <v>5100</v>
      </c>
      <c r="Q547" s="17">
        <f t="shared" si="13"/>
        <v>0</v>
      </c>
      <c r="R547" s="285"/>
      <c r="S547" s="22"/>
      <c r="T547" s="22"/>
    </row>
    <row r="548" spans="1:21" ht="108" customHeight="1" x14ac:dyDescent="0.2">
      <c r="A548" s="21">
        <v>557</v>
      </c>
      <c r="B548" s="289" t="s">
        <v>5312</v>
      </c>
      <c r="C548" s="289"/>
      <c r="D548" s="9" t="s">
        <v>2140</v>
      </c>
      <c r="E548" s="12" t="s">
        <v>1409</v>
      </c>
      <c r="F548" s="13" t="s">
        <v>6523</v>
      </c>
      <c r="G548" s="285" t="s">
        <v>7464</v>
      </c>
      <c r="H548" s="285" t="s">
        <v>5127</v>
      </c>
      <c r="I548" s="289"/>
      <c r="J548" s="285" t="s">
        <v>10461</v>
      </c>
      <c r="K548" s="14">
        <v>44266</v>
      </c>
      <c r="L548" s="285">
        <v>168</v>
      </c>
      <c r="M548" s="15">
        <v>39904</v>
      </c>
      <c r="N548" s="24">
        <v>1</v>
      </c>
      <c r="O548" s="17">
        <v>11340.93</v>
      </c>
      <c r="P548" s="17">
        <v>11340.93</v>
      </c>
      <c r="Q548" s="17">
        <f t="shared" si="13"/>
        <v>0</v>
      </c>
      <c r="R548" s="285"/>
      <c r="S548" s="22"/>
      <c r="T548" s="22"/>
    </row>
    <row r="549" spans="1:21" ht="69.75" customHeight="1" x14ac:dyDescent="0.2">
      <c r="A549" s="21">
        <v>558</v>
      </c>
      <c r="B549" s="289" t="s">
        <v>5100</v>
      </c>
      <c r="C549" s="289"/>
      <c r="D549" s="9" t="s">
        <v>5272</v>
      </c>
      <c r="E549" s="289">
        <v>2007</v>
      </c>
      <c r="F549" s="9" t="s">
        <v>5273</v>
      </c>
      <c r="G549" s="285" t="s">
        <v>7983</v>
      </c>
      <c r="H549" s="285" t="s">
        <v>5127</v>
      </c>
      <c r="I549" s="289"/>
      <c r="J549" s="285" t="s">
        <v>9408</v>
      </c>
      <c r="K549" s="15">
        <v>43831</v>
      </c>
      <c r="L549" s="289" t="s">
        <v>1029</v>
      </c>
      <c r="M549" s="289">
        <v>2007</v>
      </c>
      <c r="N549" s="24">
        <v>1</v>
      </c>
      <c r="O549" s="17">
        <v>17273.759999999998</v>
      </c>
      <c r="P549" s="17">
        <v>17273.759999999998</v>
      </c>
      <c r="Q549" s="17">
        <f t="shared" si="13"/>
        <v>0</v>
      </c>
      <c r="R549" s="285"/>
      <c r="S549" s="22"/>
      <c r="T549" s="22"/>
    </row>
    <row r="550" spans="1:21" ht="57.75" customHeight="1" x14ac:dyDescent="0.2">
      <c r="A550" s="21">
        <v>559</v>
      </c>
      <c r="B550" s="289" t="s">
        <v>3460</v>
      </c>
      <c r="C550" s="289"/>
      <c r="D550" s="9" t="s">
        <v>3894</v>
      </c>
      <c r="E550" s="289">
        <v>2006</v>
      </c>
      <c r="F550" s="13" t="s">
        <v>2569</v>
      </c>
      <c r="G550" s="285" t="s">
        <v>7983</v>
      </c>
      <c r="H550" s="285" t="s">
        <v>5127</v>
      </c>
      <c r="I550" s="289"/>
      <c r="J550" s="285" t="s">
        <v>9408</v>
      </c>
      <c r="K550" s="15">
        <v>43831</v>
      </c>
      <c r="L550" s="289" t="s">
        <v>1029</v>
      </c>
      <c r="M550" s="289">
        <v>2006</v>
      </c>
      <c r="N550" s="24">
        <v>1</v>
      </c>
      <c r="O550" s="17">
        <v>5814</v>
      </c>
      <c r="P550" s="17">
        <v>5814</v>
      </c>
      <c r="Q550" s="17">
        <f t="shared" si="13"/>
        <v>0</v>
      </c>
      <c r="R550" s="285"/>
      <c r="S550" s="22"/>
      <c r="T550" s="22"/>
    </row>
    <row r="551" spans="1:21" ht="72.75" customHeight="1" x14ac:dyDescent="0.2">
      <c r="A551" s="21">
        <v>560</v>
      </c>
      <c r="B551" s="289" t="s">
        <v>2633</v>
      </c>
      <c r="C551" s="289"/>
      <c r="D551" s="9" t="s">
        <v>1789</v>
      </c>
      <c r="E551" s="289">
        <v>2007</v>
      </c>
      <c r="F551" s="13" t="s">
        <v>1917</v>
      </c>
      <c r="G551" s="285" t="s">
        <v>7983</v>
      </c>
      <c r="H551" s="285" t="s">
        <v>5127</v>
      </c>
      <c r="I551" s="289"/>
      <c r="J551" s="285" t="s">
        <v>9408</v>
      </c>
      <c r="K551" s="15">
        <v>43831</v>
      </c>
      <c r="L551" s="289" t="s">
        <v>1029</v>
      </c>
      <c r="M551" s="289">
        <v>2007</v>
      </c>
      <c r="N551" s="24">
        <v>1</v>
      </c>
      <c r="O551" s="17">
        <v>6000</v>
      </c>
      <c r="P551" s="17">
        <v>6000</v>
      </c>
      <c r="Q551" s="17">
        <f t="shared" si="13"/>
        <v>0</v>
      </c>
      <c r="R551" s="285"/>
      <c r="S551" s="22"/>
      <c r="T551" s="22"/>
    </row>
    <row r="552" spans="1:21" ht="48.75" customHeight="1" x14ac:dyDescent="0.2">
      <c r="A552" s="21">
        <v>561</v>
      </c>
      <c r="B552" s="289" t="s">
        <v>2634</v>
      </c>
      <c r="C552" s="289" t="s">
        <v>5274</v>
      </c>
      <c r="D552" s="9" t="s">
        <v>3894</v>
      </c>
      <c r="E552" s="12" t="s">
        <v>9494</v>
      </c>
      <c r="F552" s="13" t="s">
        <v>2019</v>
      </c>
      <c r="G552" s="285" t="s">
        <v>7981</v>
      </c>
      <c r="H552" s="285" t="s">
        <v>5127</v>
      </c>
      <c r="I552" s="289"/>
      <c r="J552" s="22" t="s">
        <v>9411</v>
      </c>
      <c r="K552" s="15">
        <v>40544</v>
      </c>
      <c r="L552" s="289" t="s">
        <v>1029</v>
      </c>
      <c r="M552" s="12" t="s">
        <v>9494</v>
      </c>
      <c r="N552" s="24">
        <v>1</v>
      </c>
      <c r="O552" s="17">
        <v>8112</v>
      </c>
      <c r="P552" s="17">
        <v>8112</v>
      </c>
      <c r="Q552" s="17">
        <f t="shared" si="13"/>
        <v>0</v>
      </c>
      <c r="R552" s="285"/>
      <c r="S552" s="289"/>
      <c r="T552" s="285"/>
    </row>
    <row r="553" spans="1:21" ht="48.75" customHeight="1" x14ac:dyDescent="0.2">
      <c r="A553" s="21">
        <v>562</v>
      </c>
      <c r="B553" s="289" t="s">
        <v>2635</v>
      </c>
      <c r="C553" s="289" t="s">
        <v>5274</v>
      </c>
      <c r="D553" s="9" t="s">
        <v>476</v>
      </c>
      <c r="E553" s="12" t="s">
        <v>9494</v>
      </c>
      <c r="F553" s="13" t="s">
        <v>2730</v>
      </c>
      <c r="G553" s="285" t="s">
        <v>7981</v>
      </c>
      <c r="H553" s="285" t="s">
        <v>5127</v>
      </c>
      <c r="I553" s="39"/>
      <c r="J553" s="22" t="s">
        <v>9411</v>
      </c>
      <c r="K553" s="15">
        <v>40544</v>
      </c>
      <c r="L553" s="289" t="s">
        <v>1029</v>
      </c>
      <c r="M553" s="12" t="s">
        <v>9494</v>
      </c>
      <c r="N553" s="24">
        <v>1</v>
      </c>
      <c r="O553" s="17">
        <v>6323.2</v>
      </c>
      <c r="P553" s="17">
        <v>6323.2</v>
      </c>
      <c r="Q553" s="17">
        <f t="shared" si="13"/>
        <v>0</v>
      </c>
      <c r="R553" s="285"/>
      <c r="S553" s="289"/>
      <c r="T553" s="285"/>
    </row>
    <row r="554" spans="1:21" ht="36.75" customHeight="1" x14ac:dyDescent="0.2">
      <c r="A554" s="21">
        <v>563</v>
      </c>
      <c r="B554" s="289" t="s">
        <v>2636</v>
      </c>
      <c r="C554" s="289" t="s">
        <v>5274</v>
      </c>
      <c r="D554" s="9" t="s">
        <v>6488</v>
      </c>
      <c r="E554" s="15"/>
      <c r="F554" s="13" t="s">
        <v>730</v>
      </c>
      <c r="G554" s="285" t="s">
        <v>7917</v>
      </c>
      <c r="H554" s="285" t="s">
        <v>5127</v>
      </c>
      <c r="I554" s="289"/>
      <c r="J554" s="22"/>
      <c r="K554" s="285"/>
      <c r="L554" s="285"/>
      <c r="M554" s="12">
        <v>2005</v>
      </c>
      <c r="N554" s="24">
        <v>1</v>
      </c>
      <c r="O554" s="17">
        <v>5750</v>
      </c>
      <c r="P554" s="17">
        <v>5750</v>
      </c>
      <c r="Q554" s="17">
        <f t="shared" si="13"/>
        <v>0</v>
      </c>
      <c r="R554" s="285"/>
      <c r="S554" s="289"/>
      <c r="T554" s="285"/>
    </row>
    <row r="555" spans="1:21" ht="65.25" customHeight="1" x14ac:dyDescent="0.2">
      <c r="A555" s="21">
        <v>564</v>
      </c>
      <c r="B555" s="289" t="s">
        <v>2637</v>
      </c>
      <c r="C555" s="289"/>
      <c r="D555" s="9" t="s">
        <v>682</v>
      </c>
      <c r="E555" s="15"/>
      <c r="F555" s="13" t="s">
        <v>6180</v>
      </c>
      <c r="G555" s="285" t="s">
        <v>793</v>
      </c>
      <c r="H555" s="285" t="s">
        <v>5127</v>
      </c>
      <c r="I555" s="289"/>
      <c r="J555" s="22"/>
      <c r="K555" s="285"/>
      <c r="L555" s="285"/>
      <c r="M555" s="12">
        <v>2007</v>
      </c>
      <c r="N555" s="24">
        <v>1</v>
      </c>
      <c r="O555" s="17">
        <v>6968</v>
      </c>
      <c r="P555" s="17">
        <v>6968</v>
      </c>
      <c r="Q555" s="17">
        <f t="shared" si="13"/>
        <v>0</v>
      </c>
      <c r="R555" s="22"/>
      <c r="S555" s="22"/>
      <c r="T555" s="22"/>
    </row>
    <row r="556" spans="1:21" ht="105" customHeight="1" x14ac:dyDescent="0.2">
      <c r="A556" s="21">
        <v>565</v>
      </c>
      <c r="B556" s="289" t="s">
        <v>2638</v>
      </c>
      <c r="C556" s="289" t="s">
        <v>5274</v>
      </c>
      <c r="D556" s="9" t="s">
        <v>4673</v>
      </c>
      <c r="E556" s="15">
        <v>38686</v>
      </c>
      <c r="F556" s="13" t="s">
        <v>4947</v>
      </c>
      <c r="G556" s="285" t="s">
        <v>7982</v>
      </c>
      <c r="H556" s="285" t="s">
        <v>5127</v>
      </c>
      <c r="I556" s="289"/>
      <c r="J556" s="22" t="s">
        <v>9411</v>
      </c>
      <c r="K556" s="15">
        <v>40544</v>
      </c>
      <c r="L556" s="289" t="s">
        <v>1029</v>
      </c>
      <c r="M556" s="15">
        <v>38686</v>
      </c>
      <c r="N556" s="24">
        <v>1</v>
      </c>
      <c r="O556" s="17">
        <v>7070.4</v>
      </c>
      <c r="P556" s="17">
        <v>7070.4</v>
      </c>
      <c r="Q556" s="17">
        <f t="shared" si="13"/>
        <v>0</v>
      </c>
      <c r="R556" s="285"/>
      <c r="S556" s="289"/>
      <c r="T556" s="285"/>
    </row>
    <row r="557" spans="1:21" ht="55.5" customHeight="1" x14ac:dyDescent="0.2">
      <c r="A557" s="21">
        <v>566</v>
      </c>
      <c r="B557" s="289" t="s">
        <v>2639</v>
      </c>
      <c r="C557" s="289" t="s">
        <v>5274</v>
      </c>
      <c r="D557" s="9" t="s">
        <v>1127</v>
      </c>
      <c r="E557" s="15">
        <v>38837</v>
      </c>
      <c r="F557" s="13" t="s">
        <v>2730</v>
      </c>
      <c r="G557" s="285" t="s">
        <v>7982</v>
      </c>
      <c r="H557" s="285" t="s">
        <v>5127</v>
      </c>
      <c r="I557" s="289"/>
      <c r="J557" s="22" t="s">
        <v>9411</v>
      </c>
      <c r="K557" s="15">
        <v>40544</v>
      </c>
      <c r="L557" s="289" t="s">
        <v>1029</v>
      </c>
      <c r="M557" s="15">
        <v>38837</v>
      </c>
      <c r="N557" s="24">
        <v>1</v>
      </c>
      <c r="O557" s="17">
        <v>6323.2</v>
      </c>
      <c r="P557" s="17">
        <v>6323.2</v>
      </c>
      <c r="Q557" s="17">
        <f t="shared" si="13"/>
        <v>0</v>
      </c>
      <c r="R557" s="285"/>
      <c r="S557" s="289"/>
      <c r="T557" s="285"/>
      <c r="U557" s="41"/>
    </row>
    <row r="558" spans="1:21" ht="70.5" customHeight="1" x14ac:dyDescent="0.2">
      <c r="A558" s="21">
        <v>567</v>
      </c>
      <c r="B558" s="289" t="s">
        <v>2640</v>
      </c>
      <c r="C558" s="289"/>
      <c r="D558" s="9" t="s">
        <v>4868</v>
      </c>
      <c r="E558" s="15"/>
      <c r="F558" s="13" t="s">
        <v>6637</v>
      </c>
      <c r="G558" s="285" t="s">
        <v>6266</v>
      </c>
      <c r="H558" s="285" t="s">
        <v>5127</v>
      </c>
      <c r="I558" s="289"/>
      <c r="J558" s="22" t="s">
        <v>3132</v>
      </c>
      <c r="K558" s="14">
        <v>39792</v>
      </c>
      <c r="L558" s="285" t="s">
        <v>6080</v>
      </c>
      <c r="M558" s="14">
        <v>39792</v>
      </c>
      <c r="N558" s="24">
        <v>1</v>
      </c>
      <c r="O558" s="17">
        <v>16113.96</v>
      </c>
      <c r="P558" s="17">
        <v>16113.96</v>
      </c>
      <c r="Q558" s="17">
        <f t="shared" si="13"/>
        <v>0</v>
      </c>
      <c r="R558" s="285"/>
      <c r="S558" s="289"/>
      <c r="T558" s="285"/>
      <c r="U558" s="41"/>
    </row>
    <row r="559" spans="1:21" ht="112.5" customHeight="1" x14ac:dyDescent="0.2">
      <c r="A559" s="21">
        <v>568</v>
      </c>
      <c r="B559" s="289" t="s">
        <v>6070</v>
      </c>
      <c r="C559" s="289"/>
      <c r="D559" s="9" t="s">
        <v>2140</v>
      </c>
      <c r="E559" s="12" t="s">
        <v>2291</v>
      </c>
      <c r="F559" s="13" t="s">
        <v>6524</v>
      </c>
      <c r="G559" s="285" t="s">
        <v>10690</v>
      </c>
      <c r="H559" s="285" t="s">
        <v>5127</v>
      </c>
      <c r="I559" s="289"/>
      <c r="J559" s="285" t="s">
        <v>10461</v>
      </c>
      <c r="K559" s="14">
        <v>44266</v>
      </c>
      <c r="L559" s="285">
        <v>168</v>
      </c>
      <c r="M559" s="15">
        <v>39904</v>
      </c>
      <c r="N559" s="24">
        <v>1</v>
      </c>
      <c r="O559" s="17">
        <v>3805</v>
      </c>
      <c r="P559" s="17">
        <v>3805</v>
      </c>
      <c r="Q559" s="17">
        <f t="shared" si="13"/>
        <v>0</v>
      </c>
      <c r="R559" s="285"/>
      <c r="S559" s="22"/>
      <c r="T559" s="22"/>
    </row>
    <row r="560" spans="1:21" ht="87.75" customHeight="1" x14ac:dyDescent="0.2">
      <c r="A560" s="21">
        <v>569</v>
      </c>
      <c r="B560" s="289" t="s">
        <v>6071</v>
      </c>
      <c r="C560" s="289"/>
      <c r="D560" s="9" t="s">
        <v>2140</v>
      </c>
      <c r="E560" s="12" t="s">
        <v>2291</v>
      </c>
      <c r="F560" s="13" t="s">
        <v>6525</v>
      </c>
      <c r="G560" s="285" t="s">
        <v>4946</v>
      </c>
      <c r="H560" s="285" t="s">
        <v>5127</v>
      </c>
      <c r="I560" s="289"/>
      <c r="J560" s="285" t="s">
        <v>10461</v>
      </c>
      <c r="K560" s="14">
        <v>44266</v>
      </c>
      <c r="L560" s="285">
        <v>168</v>
      </c>
      <c r="M560" s="15">
        <v>39904</v>
      </c>
      <c r="N560" s="33">
        <v>1</v>
      </c>
      <c r="O560" s="34">
        <v>7500</v>
      </c>
      <c r="P560" s="34">
        <v>7500</v>
      </c>
      <c r="Q560" s="17">
        <f t="shared" si="13"/>
        <v>0</v>
      </c>
      <c r="R560" s="285"/>
      <c r="S560" s="22"/>
      <c r="T560" s="22"/>
    </row>
    <row r="561" spans="1:22" ht="122.25" customHeight="1" x14ac:dyDescent="0.2">
      <c r="A561" s="21">
        <v>570</v>
      </c>
      <c r="B561" s="289" t="s">
        <v>6072</v>
      </c>
      <c r="C561" s="289"/>
      <c r="D561" s="9" t="s">
        <v>2140</v>
      </c>
      <c r="E561" s="12" t="s">
        <v>2291</v>
      </c>
      <c r="F561" s="13" t="s">
        <v>6526</v>
      </c>
      <c r="G561" s="285" t="s">
        <v>7464</v>
      </c>
      <c r="H561" s="285" t="s">
        <v>5127</v>
      </c>
      <c r="I561" s="289"/>
      <c r="J561" s="285" t="s">
        <v>10461</v>
      </c>
      <c r="K561" s="14">
        <v>44266</v>
      </c>
      <c r="L561" s="285">
        <v>168</v>
      </c>
      <c r="M561" s="15">
        <v>39904</v>
      </c>
      <c r="N561" s="33">
        <v>1</v>
      </c>
      <c r="O561" s="34">
        <v>7500</v>
      </c>
      <c r="P561" s="34">
        <v>7500</v>
      </c>
      <c r="Q561" s="34">
        <f t="shared" si="13"/>
        <v>0</v>
      </c>
      <c r="R561" s="285"/>
      <c r="S561" s="22"/>
      <c r="T561" s="22"/>
    </row>
    <row r="562" spans="1:22" ht="57" customHeight="1" x14ac:dyDescent="0.2">
      <c r="A562" s="21">
        <v>571</v>
      </c>
      <c r="B562" s="289" t="s">
        <v>6073</v>
      </c>
      <c r="C562" s="289" t="s">
        <v>5274</v>
      </c>
      <c r="D562" s="9" t="s">
        <v>965</v>
      </c>
      <c r="E562" s="15">
        <v>39417</v>
      </c>
      <c r="F562" s="9" t="s">
        <v>7039</v>
      </c>
      <c r="G562" s="285" t="s">
        <v>7981</v>
      </c>
      <c r="H562" s="285" t="s">
        <v>5127</v>
      </c>
      <c r="I562" s="289"/>
      <c r="J562" s="22" t="s">
        <v>9411</v>
      </c>
      <c r="K562" s="15">
        <v>40544</v>
      </c>
      <c r="L562" s="289" t="s">
        <v>1029</v>
      </c>
      <c r="M562" s="15">
        <v>39441</v>
      </c>
      <c r="N562" s="24">
        <v>1</v>
      </c>
      <c r="O562" s="17">
        <v>18428</v>
      </c>
      <c r="P562" s="17">
        <v>18428</v>
      </c>
      <c r="Q562" s="17">
        <f t="shared" si="13"/>
        <v>0</v>
      </c>
      <c r="R562" s="22"/>
      <c r="S562" s="22"/>
      <c r="T562" s="22"/>
    </row>
    <row r="563" spans="1:22" ht="57" customHeight="1" x14ac:dyDescent="0.2">
      <c r="A563" s="21">
        <v>572</v>
      </c>
      <c r="B563" s="289" t="s">
        <v>6074</v>
      </c>
      <c r="C563" s="289" t="s">
        <v>5274</v>
      </c>
      <c r="D563" s="9" t="s">
        <v>3894</v>
      </c>
      <c r="E563" s="12">
        <v>2007</v>
      </c>
      <c r="F563" s="13" t="s">
        <v>823</v>
      </c>
      <c r="G563" s="285" t="s">
        <v>7982</v>
      </c>
      <c r="H563" s="285" t="s">
        <v>5127</v>
      </c>
      <c r="I563" s="289"/>
      <c r="J563" s="22" t="s">
        <v>9411</v>
      </c>
      <c r="K563" s="15">
        <v>40544</v>
      </c>
      <c r="L563" s="289" t="s">
        <v>1029</v>
      </c>
      <c r="M563" s="15">
        <v>39446</v>
      </c>
      <c r="N563" s="24">
        <v>1</v>
      </c>
      <c r="O563" s="17">
        <v>7662</v>
      </c>
      <c r="P563" s="17">
        <v>7662</v>
      </c>
      <c r="Q563" s="17">
        <f t="shared" si="13"/>
        <v>0</v>
      </c>
      <c r="R563" s="22"/>
      <c r="S563" s="22"/>
      <c r="T563" s="22"/>
    </row>
    <row r="564" spans="1:22" ht="57" customHeight="1" x14ac:dyDescent="0.2">
      <c r="A564" s="21">
        <v>573</v>
      </c>
      <c r="B564" s="289" t="s">
        <v>6026</v>
      </c>
      <c r="C564" s="289"/>
      <c r="D564" s="9" t="s">
        <v>6638</v>
      </c>
      <c r="E564" s="12">
        <v>2007</v>
      </c>
      <c r="F564" s="13" t="s">
        <v>6666</v>
      </c>
      <c r="G564" s="285" t="s">
        <v>6266</v>
      </c>
      <c r="H564" s="285" t="s">
        <v>5127</v>
      </c>
      <c r="I564" s="289"/>
      <c r="J564" s="22"/>
      <c r="K564" s="285"/>
      <c r="L564" s="285"/>
      <c r="M564" s="15">
        <v>40544</v>
      </c>
      <c r="N564" s="24">
        <v>1</v>
      </c>
      <c r="O564" s="17">
        <v>11570</v>
      </c>
      <c r="P564" s="17">
        <v>11570</v>
      </c>
      <c r="Q564" s="17">
        <f t="shared" si="13"/>
        <v>0</v>
      </c>
      <c r="R564" s="22"/>
      <c r="S564" s="22"/>
      <c r="T564" s="22"/>
    </row>
    <row r="565" spans="1:22" ht="64.5" customHeight="1" x14ac:dyDescent="0.2">
      <c r="A565" s="21">
        <v>574</v>
      </c>
      <c r="B565" s="289" t="s">
        <v>6102</v>
      </c>
      <c r="C565" s="289"/>
      <c r="D565" s="9" t="s">
        <v>6638</v>
      </c>
      <c r="E565" s="12">
        <v>2007</v>
      </c>
      <c r="F565" s="13" t="s">
        <v>6667</v>
      </c>
      <c r="G565" s="285" t="s">
        <v>6266</v>
      </c>
      <c r="H565" s="285" t="s">
        <v>5127</v>
      </c>
      <c r="I565" s="289"/>
      <c r="J565" s="22"/>
      <c r="K565" s="285"/>
      <c r="L565" s="285"/>
      <c r="M565" s="15">
        <v>41244</v>
      </c>
      <c r="N565" s="24">
        <v>1</v>
      </c>
      <c r="O565" s="17">
        <v>21186</v>
      </c>
      <c r="P565" s="17">
        <v>21186</v>
      </c>
      <c r="Q565" s="17">
        <f t="shared" si="13"/>
        <v>0</v>
      </c>
      <c r="R565" s="22"/>
      <c r="S565" s="22"/>
      <c r="T565" s="22"/>
    </row>
    <row r="566" spans="1:22" ht="65.25" customHeight="1" x14ac:dyDescent="0.2">
      <c r="A566" s="21">
        <v>575</v>
      </c>
      <c r="B566" s="289" t="s">
        <v>6103</v>
      </c>
      <c r="C566" s="289"/>
      <c r="D566" s="9" t="s">
        <v>6639</v>
      </c>
      <c r="E566" s="12">
        <v>2007</v>
      </c>
      <c r="F566" s="13" t="s">
        <v>6640</v>
      </c>
      <c r="G566" s="285" t="s">
        <v>6266</v>
      </c>
      <c r="H566" s="285" t="s">
        <v>5127</v>
      </c>
      <c r="I566" s="289"/>
      <c r="J566" s="22"/>
      <c r="K566" s="285"/>
      <c r="L566" s="285"/>
      <c r="M566" s="15">
        <v>39814</v>
      </c>
      <c r="N566" s="24">
        <v>2</v>
      </c>
      <c r="O566" s="17">
        <v>17064</v>
      </c>
      <c r="P566" s="17">
        <v>17064</v>
      </c>
      <c r="Q566" s="17">
        <f t="shared" si="13"/>
        <v>0</v>
      </c>
      <c r="R566" s="22"/>
      <c r="S566" s="22"/>
      <c r="T566" s="22"/>
    </row>
    <row r="567" spans="1:22" ht="57" customHeight="1" x14ac:dyDescent="0.2">
      <c r="A567" s="21">
        <v>576</v>
      </c>
      <c r="B567" s="289" t="s">
        <v>2708</v>
      </c>
      <c r="C567" s="289"/>
      <c r="D567" s="9" t="s">
        <v>5984</v>
      </c>
      <c r="E567" s="12">
        <v>2005</v>
      </c>
      <c r="F567" s="13" t="s">
        <v>3286</v>
      </c>
      <c r="G567" s="285" t="s">
        <v>7983</v>
      </c>
      <c r="H567" s="285" t="s">
        <v>5127</v>
      </c>
      <c r="I567" s="285"/>
      <c r="J567" s="285" t="s">
        <v>9408</v>
      </c>
      <c r="K567" s="15">
        <v>43831</v>
      </c>
      <c r="L567" s="289" t="s">
        <v>1029</v>
      </c>
      <c r="M567" s="12">
        <v>2005</v>
      </c>
      <c r="N567" s="24">
        <v>1</v>
      </c>
      <c r="O567" s="17">
        <v>6848</v>
      </c>
      <c r="P567" s="17">
        <v>6848</v>
      </c>
      <c r="Q567" s="17">
        <f t="shared" si="13"/>
        <v>0</v>
      </c>
      <c r="R567" s="285"/>
      <c r="S567" s="22"/>
      <c r="T567" s="22"/>
      <c r="U567" s="41"/>
      <c r="V567" s="41"/>
    </row>
    <row r="568" spans="1:22" ht="57" customHeight="1" x14ac:dyDescent="0.2">
      <c r="A568" s="21">
        <v>577</v>
      </c>
      <c r="B568" s="289" t="s">
        <v>2709</v>
      </c>
      <c r="C568" s="289"/>
      <c r="D568" s="9" t="s">
        <v>5984</v>
      </c>
      <c r="E568" s="12">
        <v>2005</v>
      </c>
      <c r="F568" s="13" t="s">
        <v>3927</v>
      </c>
      <c r="G568" s="285" t="s">
        <v>7983</v>
      </c>
      <c r="H568" s="285" t="s">
        <v>5127</v>
      </c>
      <c r="I568" s="289"/>
      <c r="J568" s="285" t="s">
        <v>9408</v>
      </c>
      <c r="K568" s="15">
        <v>43831</v>
      </c>
      <c r="L568" s="289" t="s">
        <v>1029</v>
      </c>
      <c r="M568" s="12">
        <v>2005</v>
      </c>
      <c r="N568" s="24">
        <v>1</v>
      </c>
      <c r="O568" s="17">
        <v>6420</v>
      </c>
      <c r="P568" s="17">
        <v>6420</v>
      </c>
      <c r="Q568" s="17">
        <f t="shared" ref="Q568:Q612" si="14">O568-P568</f>
        <v>0</v>
      </c>
      <c r="R568" s="285"/>
      <c r="S568" s="22"/>
      <c r="T568" s="22"/>
    </row>
    <row r="569" spans="1:22" ht="57" customHeight="1" x14ac:dyDescent="0.2">
      <c r="A569" s="21">
        <v>578</v>
      </c>
      <c r="B569" s="289" t="s">
        <v>2221</v>
      </c>
      <c r="C569" s="289"/>
      <c r="D569" s="9" t="s">
        <v>2329</v>
      </c>
      <c r="E569" s="12">
        <v>2007</v>
      </c>
      <c r="F569" s="13" t="s">
        <v>3690</v>
      </c>
      <c r="G569" s="285" t="s">
        <v>7983</v>
      </c>
      <c r="H569" s="285" t="s">
        <v>5127</v>
      </c>
      <c r="I569" s="289"/>
      <c r="J569" s="285" t="s">
        <v>9408</v>
      </c>
      <c r="K569" s="15">
        <v>43831</v>
      </c>
      <c r="L569" s="289" t="s">
        <v>1029</v>
      </c>
      <c r="M569" s="12">
        <v>2007</v>
      </c>
      <c r="N569" s="24">
        <v>1</v>
      </c>
      <c r="O569" s="17">
        <v>173814.35</v>
      </c>
      <c r="P569" s="17">
        <v>173814.35</v>
      </c>
      <c r="Q569" s="17">
        <f t="shared" si="14"/>
        <v>0</v>
      </c>
      <c r="R569" s="285"/>
      <c r="S569" s="22"/>
      <c r="T569" s="22"/>
    </row>
    <row r="570" spans="1:22" ht="48.75" customHeight="1" x14ac:dyDescent="0.2">
      <c r="A570" s="21">
        <v>579</v>
      </c>
      <c r="B570" s="289" t="s">
        <v>6027</v>
      </c>
      <c r="C570" s="289" t="s">
        <v>5274</v>
      </c>
      <c r="D570" s="9" t="s">
        <v>6595</v>
      </c>
      <c r="E570" s="15"/>
      <c r="F570" s="9" t="s">
        <v>6596</v>
      </c>
      <c r="G570" s="285" t="s">
        <v>2074</v>
      </c>
      <c r="H570" s="285" t="s">
        <v>5127</v>
      </c>
      <c r="I570" s="289"/>
      <c r="J570" s="22" t="s">
        <v>3136</v>
      </c>
      <c r="K570" s="14">
        <v>39619</v>
      </c>
      <c r="L570" s="285">
        <v>504</v>
      </c>
      <c r="M570" s="14">
        <v>39619</v>
      </c>
      <c r="N570" s="24">
        <v>1</v>
      </c>
      <c r="O570" s="17">
        <v>19920</v>
      </c>
      <c r="P570" s="17">
        <v>19920</v>
      </c>
      <c r="Q570" s="17">
        <f t="shared" si="14"/>
        <v>0</v>
      </c>
      <c r="R570" s="285" t="s">
        <v>4386</v>
      </c>
      <c r="S570" s="15">
        <v>39630</v>
      </c>
      <c r="T570" s="285"/>
    </row>
    <row r="571" spans="1:22" ht="48.75" customHeight="1" x14ac:dyDescent="0.2">
      <c r="A571" s="21">
        <v>580</v>
      </c>
      <c r="B571" s="289" t="s">
        <v>6028</v>
      </c>
      <c r="C571" s="289" t="s">
        <v>5274</v>
      </c>
      <c r="D571" s="9" t="s">
        <v>6597</v>
      </c>
      <c r="E571" s="15"/>
      <c r="F571" s="9" t="s">
        <v>6598</v>
      </c>
      <c r="G571" s="285" t="s">
        <v>2074</v>
      </c>
      <c r="H571" s="285" t="s">
        <v>5127</v>
      </c>
      <c r="I571" s="289"/>
      <c r="J571" s="22" t="s">
        <v>3136</v>
      </c>
      <c r="K571" s="14">
        <v>39619</v>
      </c>
      <c r="L571" s="285">
        <v>504</v>
      </c>
      <c r="M571" s="14">
        <v>39637</v>
      </c>
      <c r="N571" s="24">
        <v>1</v>
      </c>
      <c r="O571" s="17">
        <v>27416</v>
      </c>
      <c r="P571" s="17">
        <v>27416</v>
      </c>
      <c r="Q571" s="17">
        <f t="shared" si="14"/>
        <v>0</v>
      </c>
      <c r="R571" s="285" t="s">
        <v>4386</v>
      </c>
      <c r="S571" s="15">
        <v>39630</v>
      </c>
      <c r="T571" s="285"/>
    </row>
    <row r="572" spans="1:22" ht="59.25" customHeight="1" x14ac:dyDescent="0.2">
      <c r="A572" s="21">
        <v>581</v>
      </c>
      <c r="B572" s="289" t="s">
        <v>5575</v>
      </c>
      <c r="C572" s="289" t="s">
        <v>5274</v>
      </c>
      <c r="D572" s="9" t="s">
        <v>6597</v>
      </c>
      <c r="E572" s="15"/>
      <c r="F572" s="9" t="s">
        <v>6599</v>
      </c>
      <c r="G572" s="285" t="s">
        <v>2074</v>
      </c>
      <c r="H572" s="285" t="s">
        <v>5127</v>
      </c>
      <c r="I572" s="289"/>
      <c r="J572" s="22" t="s">
        <v>3136</v>
      </c>
      <c r="K572" s="14">
        <v>39619</v>
      </c>
      <c r="L572" s="285">
        <v>504</v>
      </c>
      <c r="M572" s="14">
        <v>39637</v>
      </c>
      <c r="N572" s="24">
        <v>1</v>
      </c>
      <c r="O572" s="17">
        <v>32883.07</v>
      </c>
      <c r="P572" s="17">
        <v>32883.07</v>
      </c>
      <c r="Q572" s="17">
        <f t="shared" si="14"/>
        <v>0</v>
      </c>
      <c r="R572" s="285" t="s">
        <v>4386</v>
      </c>
      <c r="S572" s="15">
        <v>39630</v>
      </c>
      <c r="T572" s="285"/>
    </row>
    <row r="573" spans="1:22" ht="59.25" customHeight="1" x14ac:dyDescent="0.2">
      <c r="A573" s="21">
        <v>582</v>
      </c>
      <c r="B573" s="289" t="s">
        <v>804</v>
      </c>
      <c r="C573" s="289" t="s">
        <v>5274</v>
      </c>
      <c r="D573" s="9" t="s">
        <v>6597</v>
      </c>
      <c r="E573" s="15"/>
      <c r="F573" s="9" t="s">
        <v>6600</v>
      </c>
      <c r="G573" s="285" t="s">
        <v>2074</v>
      </c>
      <c r="H573" s="285" t="s">
        <v>5127</v>
      </c>
      <c r="I573" s="289"/>
      <c r="J573" s="22" t="s">
        <v>3136</v>
      </c>
      <c r="K573" s="14">
        <v>39619</v>
      </c>
      <c r="L573" s="285">
        <v>504</v>
      </c>
      <c r="M573" s="14">
        <v>39506</v>
      </c>
      <c r="N573" s="24">
        <v>1</v>
      </c>
      <c r="O573" s="17">
        <v>16359</v>
      </c>
      <c r="P573" s="17">
        <v>16359</v>
      </c>
      <c r="Q573" s="17">
        <f t="shared" si="14"/>
        <v>0</v>
      </c>
      <c r="R573" s="285" t="s">
        <v>4386</v>
      </c>
      <c r="S573" s="15">
        <v>39630</v>
      </c>
      <c r="T573" s="285"/>
    </row>
    <row r="574" spans="1:22" ht="59.25" customHeight="1" x14ac:dyDescent="0.2">
      <c r="A574" s="21">
        <v>583</v>
      </c>
      <c r="B574" s="289" t="s">
        <v>805</v>
      </c>
      <c r="C574" s="285"/>
      <c r="D574" s="9" t="s">
        <v>9198</v>
      </c>
      <c r="E574" s="14" t="s">
        <v>2390</v>
      </c>
      <c r="F574" s="13" t="s">
        <v>2389</v>
      </c>
      <c r="G574" s="285" t="s">
        <v>4296</v>
      </c>
      <c r="H574" s="285" t="s">
        <v>3793</v>
      </c>
      <c r="I574" s="289"/>
      <c r="J574" s="285" t="s">
        <v>3136</v>
      </c>
      <c r="K574" s="14">
        <v>43032</v>
      </c>
      <c r="L574" s="289">
        <v>951</v>
      </c>
      <c r="M574" s="14">
        <v>39437</v>
      </c>
      <c r="N574" s="24">
        <v>1</v>
      </c>
      <c r="O574" s="17">
        <v>39300</v>
      </c>
      <c r="P574" s="17">
        <v>39300</v>
      </c>
      <c r="Q574" s="17">
        <f t="shared" si="14"/>
        <v>0</v>
      </c>
      <c r="R574" s="285" t="s">
        <v>5071</v>
      </c>
      <c r="S574" s="285" t="s">
        <v>1919</v>
      </c>
      <c r="T574" s="285" t="s">
        <v>6081</v>
      </c>
    </row>
    <row r="575" spans="1:22" ht="59.25" customHeight="1" x14ac:dyDescent="0.2">
      <c r="A575" s="21">
        <v>584</v>
      </c>
      <c r="B575" s="289" t="s">
        <v>806</v>
      </c>
      <c r="C575" s="285"/>
      <c r="D575" s="9" t="s">
        <v>2577</v>
      </c>
      <c r="E575" s="14" t="s">
        <v>6146</v>
      </c>
      <c r="F575" s="9" t="s">
        <v>6145</v>
      </c>
      <c r="G575" s="285" t="s">
        <v>4296</v>
      </c>
      <c r="H575" s="285" t="s">
        <v>3793</v>
      </c>
      <c r="I575" s="289"/>
      <c r="J575" s="285" t="s">
        <v>3136</v>
      </c>
      <c r="K575" s="14">
        <v>43032</v>
      </c>
      <c r="L575" s="289">
        <v>951</v>
      </c>
      <c r="M575" s="14">
        <v>39637</v>
      </c>
      <c r="N575" s="24">
        <v>1</v>
      </c>
      <c r="O575" s="17">
        <v>30000</v>
      </c>
      <c r="P575" s="17">
        <v>30000</v>
      </c>
      <c r="Q575" s="17">
        <f t="shared" si="14"/>
        <v>0</v>
      </c>
      <c r="R575" s="285" t="s">
        <v>12</v>
      </c>
      <c r="S575" s="285" t="s">
        <v>4544</v>
      </c>
      <c r="T575" s="285" t="s">
        <v>1029</v>
      </c>
    </row>
    <row r="576" spans="1:22" ht="57" customHeight="1" x14ac:dyDescent="0.2">
      <c r="A576" s="21">
        <v>585</v>
      </c>
      <c r="B576" s="289" t="s">
        <v>123</v>
      </c>
      <c r="C576" s="285"/>
      <c r="D576" s="9" t="s">
        <v>5984</v>
      </c>
      <c r="E576" s="14" t="s">
        <v>6138</v>
      </c>
      <c r="F576" s="13" t="s">
        <v>3908</v>
      </c>
      <c r="G576" s="285" t="s">
        <v>4296</v>
      </c>
      <c r="H576" s="285" t="s">
        <v>3793</v>
      </c>
      <c r="I576" s="289"/>
      <c r="J576" s="285" t="s">
        <v>3136</v>
      </c>
      <c r="K576" s="14">
        <v>43032</v>
      </c>
      <c r="L576" s="289">
        <v>951</v>
      </c>
      <c r="M576" s="14">
        <v>39637</v>
      </c>
      <c r="N576" s="24">
        <v>1</v>
      </c>
      <c r="O576" s="17">
        <v>7550</v>
      </c>
      <c r="P576" s="17">
        <v>7550</v>
      </c>
      <c r="Q576" s="17">
        <f t="shared" si="14"/>
        <v>0</v>
      </c>
      <c r="R576" s="285" t="s">
        <v>5071</v>
      </c>
      <c r="S576" s="14">
        <v>39462</v>
      </c>
      <c r="T576" s="285" t="s">
        <v>4543</v>
      </c>
    </row>
    <row r="577" spans="1:20" ht="105" customHeight="1" x14ac:dyDescent="0.2">
      <c r="A577" s="21">
        <v>586</v>
      </c>
      <c r="B577" s="289" t="s">
        <v>2711</v>
      </c>
      <c r="C577" s="289"/>
      <c r="D577" s="9" t="s">
        <v>6713</v>
      </c>
      <c r="E577" s="15"/>
      <c r="F577" s="9" t="s">
        <v>6714</v>
      </c>
      <c r="G577" s="285" t="s">
        <v>4946</v>
      </c>
      <c r="H577" s="285" t="s">
        <v>5127</v>
      </c>
      <c r="I577" s="289"/>
      <c r="J577" s="285" t="s">
        <v>3136</v>
      </c>
      <c r="K577" s="14">
        <v>41267</v>
      </c>
      <c r="L577" s="285">
        <v>1232</v>
      </c>
      <c r="M577" s="15">
        <v>39797</v>
      </c>
      <c r="N577" s="24">
        <v>1</v>
      </c>
      <c r="O577" s="17">
        <v>20449</v>
      </c>
      <c r="P577" s="17">
        <v>20449</v>
      </c>
      <c r="Q577" s="17">
        <f t="shared" si="14"/>
        <v>0</v>
      </c>
      <c r="R577" s="285"/>
      <c r="S577" s="22"/>
      <c r="T577" s="22"/>
    </row>
    <row r="578" spans="1:20" ht="54.75" customHeight="1" x14ac:dyDescent="0.2">
      <c r="A578" s="21">
        <v>587</v>
      </c>
      <c r="B578" s="289" t="s">
        <v>2712</v>
      </c>
      <c r="C578" s="289"/>
      <c r="D578" s="9" t="s">
        <v>6715</v>
      </c>
      <c r="E578" s="15"/>
      <c r="F578" s="13" t="s">
        <v>6716</v>
      </c>
      <c r="G578" s="285" t="s">
        <v>4946</v>
      </c>
      <c r="H578" s="285" t="s">
        <v>5127</v>
      </c>
      <c r="I578" s="289"/>
      <c r="J578" s="285" t="s">
        <v>3132</v>
      </c>
      <c r="K578" s="14">
        <v>40403</v>
      </c>
      <c r="L578" s="285" t="s">
        <v>2320</v>
      </c>
      <c r="M578" s="15">
        <v>40403</v>
      </c>
      <c r="N578" s="24">
        <v>1</v>
      </c>
      <c r="O578" s="17">
        <v>64571</v>
      </c>
      <c r="P578" s="17">
        <v>64571</v>
      </c>
      <c r="Q578" s="17">
        <f t="shared" si="14"/>
        <v>0</v>
      </c>
      <c r="R578" s="285"/>
      <c r="S578" s="22"/>
      <c r="T578" s="22"/>
    </row>
    <row r="579" spans="1:20" ht="53.25" customHeight="1" x14ac:dyDescent="0.2">
      <c r="A579" s="21">
        <v>588</v>
      </c>
      <c r="B579" s="289" t="s">
        <v>2713</v>
      </c>
      <c r="C579" s="289"/>
      <c r="D579" s="9" t="s">
        <v>6715</v>
      </c>
      <c r="E579" s="15"/>
      <c r="F579" s="13" t="s">
        <v>6717</v>
      </c>
      <c r="G579" s="285" t="s">
        <v>4946</v>
      </c>
      <c r="H579" s="285" t="s">
        <v>5127</v>
      </c>
      <c r="I579" s="289"/>
      <c r="J579" s="285" t="s">
        <v>3132</v>
      </c>
      <c r="K579" s="14">
        <v>40403</v>
      </c>
      <c r="L579" s="285" t="s">
        <v>2320</v>
      </c>
      <c r="M579" s="15">
        <v>39785</v>
      </c>
      <c r="N579" s="24">
        <v>1</v>
      </c>
      <c r="O579" s="17">
        <v>65038</v>
      </c>
      <c r="P579" s="17">
        <v>65038</v>
      </c>
      <c r="Q579" s="17">
        <f t="shared" si="14"/>
        <v>0</v>
      </c>
      <c r="R579" s="285"/>
      <c r="S579" s="22"/>
      <c r="T579" s="22"/>
    </row>
    <row r="580" spans="1:20" ht="105" customHeight="1" x14ac:dyDescent="0.2">
      <c r="A580" s="21">
        <v>589</v>
      </c>
      <c r="B580" s="289" t="s">
        <v>4323</v>
      </c>
      <c r="D580" s="9" t="s">
        <v>1418</v>
      </c>
      <c r="E580" s="12"/>
      <c r="F580" s="13" t="s">
        <v>6534</v>
      </c>
      <c r="G580" s="285" t="s">
        <v>3090</v>
      </c>
      <c r="H580" s="285" t="s">
        <v>5127</v>
      </c>
      <c r="I580" s="289"/>
      <c r="J580" s="285" t="s">
        <v>3132</v>
      </c>
      <c r="K580" s="14">
        <v>40403</v>
      </c>
      <c r="L580" s="285" t="s">
        <v>2320</v>
      </c>
      <c r="M580" s="14">
        <v>40403</v>
      </c>
      <c r="N580" s="24">
        <v>1</v>
      </c>
      <c r="O580" s="17">
        <v>3495</v>
      </c>
      <c r="P580" s="17">
        <v>3495</v>
      </c>
      <c r="Q580" s="17">
        <f t="shared" si="14"/>
        <v>0</v>
      </c>
      <c r="R580" s="285"/>
      <c r="S580" s="22"/>
      <c r="T580" s="22"/>
    </row>
    <row r="581" spans="1:20" ht="77.25" customHeight="1" x14ac:dyDescent="0.2">
      <c r="A581" s="21">
        <v>590</v>
      </c>
      <c r="B581" s="289" t="s">
        <v>4324</v>
      </c>
      <c r="C581" s="289"/>
      <c r="D581" s="9" t="s">
        <v>3877</v>
      </c>
      <c r="E581" s="15"/>
      <c r="F581" s="13" t="s">
        <v>6718</v>
      </c>
      <c r="G581" s="285" t="s">
        <v>4946</v>
      </c>
      <c r="H581" s="285" t="s">
        <v>5127</v>
      </c>
      <c r="I581" s="289"/>
      <c r="J581" s="285" t="s">
        <v>3136</v>
      </c>
      <c r="K581" s="15">
        <v>42156</v>
      </c>
      <c r="L581" s="289">
        <v>449</v>
      </c>
      <c r="M581" s="15">
        <v>39956</v>
      </c>
      <c r="N581" s="24">
        <v>1</v>
      </c>
      <c r="O581" s="17">
        <v>20222.54</v>
      </c>
      <c r="P581" s="17">
        <v>20222.54</v>
      </c>
      <c r="Q581" s="17">
        <f t="shared" si="14"/>
        <v>0</v>
      </c>
      <c r="R581" s="285"/>
      <c r="S581" s="22"/>
      <c r="T581" s="22"/>
    </row>
    <row r="582" spans="1:20" ht="99.75" customHeight="1" x14ac:dyDescent="0.2">
      <c r="A582" s="21">
        <v>591</v>
      </c>
      <c r="B582" s="289" t="s">
        <v>1791</v>
      </c>
      <c r="C582" s="289" t="s">
        <v>5274</v>
      </c>
      <c r="D582" s="9" t="s">
        <v>201</v>
      </c>
      <c r="E582" s="15"/>
      <c r="F582" s="9" t="s">
        <v>6719</v>
      </c>
      <c r="G582" s="285" t="s">
        <v>4946</v>
      </c>
      <c r="H582" s="285" t="s">
        <v>5127</v>
      </c>
      <c r="I582" s="289"/>
      <c r="J582" s="285" t="s">
        <v>3132</v>
      </c>
      <c r="K582" s="14">
        <v>40403</v>
      </c>
      <c r="L582" s="285" t="s">
        <v>2320</v>
      </c>
      <c r="M582" s="15">
        <v>40243</v>
      </c>
      <c r="N582" s="24">
        <v>1</v>
      </c>
      <c r="O582" s="17">
        <v>21514</v>
      </c>
      <c r="P582" s="17">
        <v>21514</v>
      </c>
      <c r="Q582" s="17">
        <f t="shared" si="14"/>
        <v>0</v>
      </c>
      <c r="R582" s="285"/>
      <c r="S582" s="22"/>
      <c r="T582" s="22"/>
    </row>
    <row r="583" spans="1:20" ht="54" customHeight="1" x14ac:dyDescent="0.2">
      <c r="A583" s="21">
        <v>592</v>
      </c>
      <c r="B583" s="289" t="s">
        <v>2597</v>
      </c>
      <c r="C583" s="289"/>
      <c r="D583" s="9" t="s">
        <v>201</v>
      </c>
      <c r="E583" s="15"/>
      <c r="F583" s="9" t="s">
        <v>6720</v>
      </c>
      <c r="G583" s="285" t="s">
        <v>4946</v>
      </c>
      <c r="H583" s="285" t="s">
        <v>5127</v>
      </c>
      <c r="I583" s="289"/>
      <c r="J583" s="285" t="s">
        <v>3136</v>
      </c>
      <c r="K583" s="15">
        <v>42156</v>
      </c>
      <c r="L583" s="289">
        <v>449</v>
      </c>
      <c r="M583" s="15">
        <v>40243</v>
      </c>
      <c r="N583" s="24">
        <v>1</v>
      </c>
      <c r="O583" s="17">
        <v>21940</v>
      </c>
      <c r="P583" s="17">
        <v>21940</v>
      </c>
      <c r="Q583" s="17">
        <f t="shared" si="14"/>
        <v>0</v>
      </c>
      <c r="R583" s="285"/>
      <c r="S583" s="22"/>
      <c r="T583" s="22"/>
    </row>
    <row r="584" spans="1:20" ht="89.25" customHeight="1" x14ac:dyDescent="0.2">
      <c r="A584" s="21">
        <v>593</v>
      </c>
      <c r="B584" s="289" t="s">
        <v>2598</v>
      </c>
      <c r="C584" s="289"/>
      <c r="D584" s="9" t="s">
        <v>201</v>
      </c>
      <c r="E584" s="12"/>
      <c r="F584" s="9" t="s">
        <v>7132</v>
      </c>
      <c r="G584" s="285" t="s">
        <v>7464</v>
      </c>
      <c r="H584" s="285" t="s">
        <v>5127</v>
      </c>
      <c r="I584" s="289"/>
      <c r="J584" s="285"/>
      <c r="K584" s="285"/>
      <c r="L584" s="285"/>
      <c r="M584" s="15">
        <v>40318</v>
      </c>
      <c r="N584" s="24">
        <v>1</v>
      </c>
      <c r="O584" s="17">
        <v>27713</v>
      </c>
      <c r="P584" s="17">
        <v>27713</v>
      </c>
      <c r="Q584" s="17">
        <f t="shared" si="14"/>
        <v>0</v>
      </c>
      <c r="R584" s="285"/>
      <c r="S584" s="22"/>
      <c r="T584" s="22"/>
    </row>
    <row r="585" spans="1:20" ht="63" customHeight="1" x14ac:dyDescent="0.2">
      <c r="A585" s="21">
        <v>594</v>
      </c>
      <c r="B585" s="289" t="s">
        <v>2599</v>
      </c>
      <c r="C585" s="285" t="s">
        <v>5274</v>
      </c>
      <c r="D585" s="9" t="s">
        <v>1418</v>
      </c>
      <c r="E585" s="15"/>
      <c r="F585" s="13" t="s">
        <v>6721</v>
      </c>
      <c r="G585" s="285" t="s">
        <v>4946</v>
      </c>
      <c r="H585" s="285" t="s">
        <v>5127</v>
      </c>
      <c r="I585" s="289"/>
      <c r="J585" s="285" t="s">
        <v>3132</v>
      </c>
      <c r="K585" s="14">
        <v>40403</v>
      </c>
      <c r="L585" s="285" t="s">
        <v>2320</v>
      </c>
      <c r="M585" s="15">
        <v>40493</v>
      </c>
      <c r="N585" s="24">
        <v>1</v>
      </c>
      <c r="O585" s="17">
        <v>3486</v>
      </c>
      <c r="P585" s="17">
        <v>3486</v>
      </c>
      <c r="Q585" s="17">
        <f t="shared" si="14"/>
        <v>0</v>
      </c>
      <c r="R585" s="289"/>
      <c r="S585" s="289"/>
      <c r="T585" s="285"/>
    </row>
    <row r="586" spans="1:20" ht="63" customHeight="1" x14ac:dyDescent="0.2">
      <c r="A586" s="21">
        <v>595</v>
      </c>
      <c r="B586" s="289" t="s">
        <v>1678</v>
      </c>
      <c r="C586" s="289" t="s">
        <v>5274</v>
      </c>
      <c r="D586" s="9" t="s">
        <v>2913</v>
      </c>
      <c r="E586" s="12" t="s">
        <v>4164</v>
      </c>
      <c r="F586" s="13" t="s">
        <v>6507</v>
      </c>
      <c r="G586" s="285" t="s">
        <v>7846</v>
      </c>
      <c r="H586" s="285" t="s">
        <v>5127</v>
      </c>
      <c r="I586" s="289"/>
      <c r="J586" s="285"/>
      <c r="K586" s="285"/>
      <c r="L586" s="285"/>
      <c r="M586" s="15">
        <v>39814</v>
      </c>
      <c r="N586" s="24">
        <v>1</v>
      </c>
      <c r="O586" s="17">
        <v>6261.75</v>
      </c>
      <c r="P586" s="17">
        <v>6261.75</v>
      </c>
      <c r="Q586" s="17">
        <f t="shared" si="14"/>
        <v>0</v>
      </c>
      <c r="R586" s="285"/>
      <c r="S586" s="22"/>
      <c r="T586" s="22"/>
    </row>
    <row r="587" spans="1:20" ht="66.75" customHeight="1" x14ac:dyDescent="0.2">
      <c r="A587" s="21">
        <v>596</v>
      </c>
      <c r="B587" s="289" t="s">
        <v>1638</v>
      </c>
      <c r="C587" s="289" t="s">
        <v>5274</v>
      </c>
      <c r="D587" s="9" t="s">
        <v>2632</v>
      </c>
      <c r="E587" s="12" t="s">
        <v>4165</v>
      </c>
      <c r="F587" s="13" t="s">
        <v>6508</v>
      </c>
      <c r="G587" s="285" t="s">
        <v>7846</v>
      </c>
      <c r="H587" s="285" t="s">
        <v>5127</v>
      </c>
      <c r="I587" s="289"/>
      <c r="J587" s="285"/>
      <c r="K587" s="285"/>
      <c r="L587" s="285"/>
      <c r="M587" s="15">
        <v>39814</v>
      </c>
      <c r="N587" s="24">
        <v>1</v>
      </c>
      <c r="O587" s="17">
        <v>9397.7999999999993</v>
      </c>
      <c r="P587" s="17">
        <v>9397.7999999999993</v>
      </c>
      <c r="Q587" s="17">
        <f t="shared" si="14"/>
        <v>0</v>
      </c>
      <c r="R587" s="285"/>
      <c r="S587" s="22"/>
      <c r="T587" s="22"/>
    </row>
    <row r="588" spans="1:20" ht="54.75" customHeight="1" x14ac:dyDescent="0.2">
      <c r="A588" s="21">
        <v>597</v>
      </c>
      <c r="B588" s="289" t="s">
        <v>5994</v>
      </c>
      <c r="C588" s="285"/>
      <c r="D588" s="9" t="s">
        <v>3894</v>
      </c>
      <c r="E588" s="14"/>
      <c r="F588" s="13" t="s">
        <v>3908</v>
      </c>
      <c r="G588" s="285" t="s">
        <v>4296</v>
      </c>
      <c r="H588" s="285" t="s">
        <v>3793</v>
      </c>
      <c r="I588" s="289"/>
      <c r="J588" s="285" t="s">
        <v>3136</v>
      </c>
      <c r="K588" s="14">
        <v>43032</v>
      </c>
      <c r="L588" s="289">
        <v>951</v>
      </c>
      <c r="M588" s="15">
        <v>39995</v>
      </c>
      <c r="N588" s="24">
        <v>1</v>
      </c>
      <c r="O588" s="17">
        <v>12200</v>
      </c>
      <c r="P588" s="17">
        <v>12200</v>
      </c>
      <c r="Q588" s="17">
        <f t="shared" si="14"/>
        <v>0</v>
      </c>
      <c r="R588" s="285" t="s">
        <v>5071</v>
      </c>
      <c r="S588" s="285" t="s">
        <v>4545</v>
      </c>
      <c r="T588" s="285" t="s">
        <v>4546</v>
      </c>
    </row>
    <row r="589" spans="1:20" ht="54.75" customHeight="1" x14ac:dyDescent="0.2">
      <c r="A589" s="21">
        <v>598</v>
      </c>
      <c r="B589" s="289" t="s">
        <v>2349</v>
      </c>
      <c r="C589" s="285"/>
      <c r="D589" s="9" t="s">
        <v>1324</v>
      </c>
      <c r="E589" s="14"/>
      <c r="F589" s="9" t="s">
        <v>2305</v>
      </c>
      <c r="G589" s="285" t="s">
        <v>7983</v>
      </c>
      <c r="H589" s="285" t="s">
        <v>5127</v>
      </c>
      <c r="I589" s="289"/>
      <c r="J589" s="285" t="s">
        <v>9408</v>
      </c>
      <c r="K589" s="15">
        <v>43831</v>
      </c>
      <c r="L589" s="289" t="s">
        <v>1029</v>
      </c>
      <c r="M589" s="14">
        <v>39506</v>
      </c>
      <c r="N589" s="24">
        <v>1</v>
      </c>
      <c r="O589" s="17">
        <v>25570</v>
      </c>
      <c r="P589" s="17">
        <v>25570</v>
      </c>
      <c r="Q589" s="17">
        <f t="shared" si="14"/>
        <v>0</v>
      </c>
      <c r="R589" s="285" t="s">
        <v>3218</v>
      </c>
      <c r="S589" s="14">
        <v>39506</v>
      </c>
      <c r="T589" s="285">
        <v>141</v>
      </c>
    </row>
    <row r="590" spans="1:20" ht="47.25" customHeight="1" x14ac:dyDescent="0.2">
      <c r="A590" s="21">
        <v>601</v>
      </c>
      <c r="B590" s="289" t="s">
        <v>2350</v>
      </c>
      <c r="C590" s="285"/>
      <c r="D590" s="9" t="s">
        <v>6069</v>
      </c>
      <c r="E590" s="14"/>
      <c r="F590" s="13" t="s">
        <v>2098</v>
      </c>
      <c r="G590" s="285" t="s">
        <v>7983</v>
      </c>
      <c r="H590" s="285" t="s">
        <v>5127</v>
      </c>
      <c r="I590" s="289"/>
      <c r="J590" s="285" t="s">
        <v>9408</v>
      </c>
      <c r="K590" s="15">
        <v>43831</v>
      </c>
      <c r="L590" s="289" t="s">
        <v>1029</v>
      </c>
      <c r="M590" s="14">
        <v>39637</v>
      </c>
      <c r="N590" s="24">
        <v>1</v>
      </c>
      <c r="O590" s="17">
        <v>6823</v>
      </c>
      <c r="P590" s="17">
        <v>6823</v>
      </c>
      <c r="Q590" s="17">
        <f t="shared" si="14"/>
        <v>0</v>
      </c>
      <c r="R590" s="285" t="s">
        <v>5071</v>
      </c>
      <c r="S590" s="14">
        <v>39637</v>
      </c>
      <c r="T590" s="285">
        <v>4290</v>
      </c>
    </row>
    <row r="591" spans="1:20" ht="47.25" customHeight="1" x14ac:dyDescent="0.2">
      <c r="A591" s="21">
        <v>602</v>
      </c>
      <c r="B591" s="289" t="s">
        <v>2351</v>
      </c>
      <c r="C591" s="285"/>
      <c r="D591" s="9" t="s">
        <v>2999</v>
      </c>
      <c r="E591" s="14"/>
      <c r="F591" s="13" t="s">
        <v>3000</v>
      </c>
      <c r="G591" s="285" t="s">
        <v>7983</v>
      </c>
      <c r="H591" s="285" t="s">
        <v>5127</v>
      </c>
      <c r="I591" s="289"/>
      <c r="J591" s="285" t="s">
        <v>9408</v>
      </c>
      <c r="K591" s="15">
        <v>43831</v>
      </c>
      <c r="L591" s="289" t="s">
        <v>1029</v>
      </c>
      <c r="M591" s="14">
        <v>39506</v>
      </c>
      <c r="N591" s="24">
        <v>1</v>
      </c>
      <c r="O591" s="17">
        <v>8700</v>
      </c>
      <c r="P591" s="17">
        <v>8700</v>
      </c>
      <c r="Q591" s="17">
        <f t="shared" si="14"/>
        <v>0</v>
      </c>
      <c r="R591" s="285" t="s">
        <v>5071</v>
      </c>
      <c r="S591" s="14">
        <v>39506</v>
      </c>
      <c r="T591" s="285">
        <v>133</v>
      </c>
    </row>
    <row r="592" spans="1:20" ht="79.5" customHeight="1" x14ac:dyDescent="0.2">
      <c r="A592" s="21">
        <v>603</v>
      </c>
      <c r="B592" s="289" t="s">
        <v>2352</v>
      </c>
      <c r="C592" s="285"/>
      <c r="D592" s="9" t="s">
        <v>654</v>
      </c>
      <c r="E592" s="14"/>
      <c r="F592" s="13"/>
      <c r="G592" s="285" t="s">
        <v>7983</v>
      </c>
      <c r="H592" s="285" t="s">
        <v>5127</v>
      </c>
      <c r="I592" s="289"/>
      <c r="J592" s="285" t="s">
        <v>9408</v>
      </c>
      <c r="K592" s="15">
        <v>43831</v>
      </c>
      <c r="L592" s="289" t="s">
        <v>1029</v>
      </c>
      <c r="M592" s="14">
        <v>39437</v>
      </c>
      <c r="N592" s="24">
        <v>1</v>
      </c>
      <c r="O592" s="17">
        <v>8700</v>
      </c>
      <c r="P592" s="17">
        <v>8700</v>
      </c>
      <c r="Q592" s="17">
        <f t="shared" si="14"/>
        <v>0</v>
      </c>
      <c r="R592" s="285" t="s">
        <v>5071</v>
      </c>
      <c r="S592" s="14">
        <v>39437</v>
      </c>
      <c r="T592" s="285" t="s">
        <v>1029</v>
      </c>
    </row>
    <row r="593" spans="1:22" ht="57.75" customHeight="1" x14ac:dyDescent="0.2">
      <c r="A593" s="21">
        <v>604</v>
      </c>
      <c r="B593" s="289" t="s">
        <v>2190</v>
      </c>
      <c r="C593" s="285"/>
      <c r="D593" s="9" t="s">
        <v>965</v>
      </c>
      <c r="E593" s="14"/>
      <c r="F593" s="9" t="s">
        <v>6641</v>
      </c>
      <c r="G593" s="285" t="s">
        <v>6266</v>
      </c>
      <c r="H593" s="285" t="s">
        <v>5127</v>
      </c>
      <c r="I593" s="289"/>
      <c r="J593" s="285"/>
      <c r="K593" s="289"/>
      <c r="L593" s="289"/>
      <c r="M593" s="14">
        <v>39552</v>
      </c>
      <c r="N593" s="24">
        <v>1</v>
      </c>
      <c r="O593" s="17">
        <v>32950</v>
      </c>
      <c r="P593" s="17">
        <v>32950</v>
      </c>
      <c r="Q593" s="17">
        <f t="shared" si="14"/>
        <v>0</v>
      </c>
      <c r="R593" s="285" t="s">
        <v>5071</v>
      </c>
      <c r="S593" s="14">
        <v>39552</v>
      </c>
      <c r="T593" s="285">
        <v>228</v>
      </c>
    </row>
    <row r="594" spans="1:22" ht="57.75" customHeight="1" x14ac:dyDescent="0.2">
      <c r="A594" s="21">
        <v>605</v>
      </c>
      <c r="B594" s="289" t="s">
        <v>915</v>
      </c>
      <c r="C594" s="285"/>
      <c r="D594" s="9" t="s">
        <v>965</v>
      </c>
      <c r="E594" s="14"/>
      <c r="F594" s="9" t="s">
        <v>6642</v>
      </c>
      <c r="G594" s="285" t="s">
        <v>6266</v>
      </c>
      <c r="H594" s="285" t="s">
        <v>5127</v>
      </c>
      <c r="I594" s="289"/>
      <c r="J594" s="285"/>
      <c r="K594" s="289"/>
      <c r="L594" s="289"/>
      <c r="M594" s="14">
        <v>39489</v>
      </c>
      <c r="N594" s="24">
        <v>2</v>
      </c>
      <c r="O594" s="17">
        <v>39578</v>
      </c>
      <c r="P594" s="17">
        <v>39578</v>
      </c>
      <c r="Q594" s="17">
        <f t="shared" si="14"/>
        <v>0</v>
      </c>
      <c r="R594" s="285" t="s">
        <v>5071</v>
      </c>
      <c r="S594" s="14">
        <v>39489</v>
      </c>
      <c r="T594" s="285">
        <v>8003</v>
      </c>
    </row>
    <row r="595" spans="1:22" ht="60" customHeight="1" x14ac:dyDescent="0.2">
      <c r="A595" s="21">
        <v>606</v>
      </c>
      <c r="B595" s="30" t="s">
        <v>916</v>
      </c>
      <c r="C595" s="49"/>
      <c r="D595" s="46" t="s">
        <v>965</v>
      </c>
      <c r="E595" s="53"/>
      <c r="F595" s="46" t="s">
        <v>6644</v>
      </c>
      <c r="G595" s="49" t="s">
        <v>6266</v>
      </c>
      <c r="H595" s="49" t="s">
        <v>5127</v>
      </c>
      <c r="I595" s="30"/>
      <c r="J595" s="49" t="s">
        <v>9440</v>
      </c>
      <c r="K595" s="51">
        <v>40544</v>
      </c>
      <c r="L595" s="30" t="s">
        <v>1029</v>
      </c>
      <c r="M595" s="53">
        <v>39660</v>
      </c>
      <c r="N595" s="52">
        <v>1</v>
      </c>
      <c r="O595" s="48">
        <v>25000</v>
      </c>
      <c r="P595" s="48">
        <v>25000</v>
      </c>
      <c r="Q595" s="48">
        <f t="shared" si="14"/>
        <v>0</v>
      </c>
      <c r="R595" s="49" t="s">
        <v>5071</v>
      </c>
      <c r="S595" s="53">
        <v>39561</v>
      </c>
      <c r="T595" s="49">
        <v>255</v>
      </c>
    </row>
    <row r="596" spans="1:22" ht="73.5" customHeight="1" x14ac:dyDescent="0.2">
      <c r="A596" s="21">
        <v>607</v>
      </c>
      <c r="B596" s="20" t="s">
        <v>1298</v>
      </c>
      <c r="C596" s="37" t="s">
        <v>6325</v>
      </c>
      <c r="D596" s="54" t="s">
        <v>2041</v>
      </c>
      <c r="E596" s="32"/>
      <c r="F596" s="55" t="s">
        <v>730</v>
      </c>
      <c r="G596" s="37" t="s">
        <v>7934</v>
      </c>
      <c r="H596" s="37" t="s">
        <v>5127</v>
      </c>
      <c r="I596" s="20"/>
      <c r="J596" s="37"/>
      <c r="K596" s="20"/>
      <c r="L596" s="20"/>
      <c r="M596" s="32">
        <v>39804</v>
      </c>
      <c r="N596" s="33">
        <v>1</v>
      </c>
      <c r="O596" s="34">
        <v>3315</v>
      </c>
      <c r="P596" s="34">
        <v>3315</v>
      </c>
      <c r="Q596" s="34">
        <f t="shared" si="14"/>
        <v>0</v>
      </c>
      <c r="R596" s="37" t="s">
        <v>5071</v>
      </c>
      <c r="S596" s="32">
        <v>39492</v>
      </c>
      <c r="T596" s="37">
        <v>891</v>
      </c>
    </row>
    <row r="597" spans="1:22" ht="81.75" customHeight="1" x14ac:dyDescent="0.2">
      <c r="A597" s="21">
        <v>608</v>
      </c>
      <c r="B597" s="289" t="s">
        <v>655</v>
      </c>
      <c r="C597" s="285" t="s">
        <v>6325</v>
      </c>
      <c r="D597" s="9" t="s">
        <v>2522</v>
      </c>
      <c r="E597" s="14">
        <v>39721</v>
      </c>
      <c r="F597" s="9" t="s">
        <v>6925</v>
      </c>
      <c r="G597" s="285" t="s">
        <v>7982</v>
      </c>
      <c r="H597" s="285" t="s">
        <v>5127</v>
      </c>
      <c r="I597" s="289"/>
      <c r="J597" s="22" t="s">
        <v>9411</v>
      </c>
      <c r="K597" s="15">
        <v>40544</v>
      </c>
      <c r="L597" s="289" t="s">
        <v>1029</v>
      </c>
      <c r="M597" s="14">
        <v>39721</v>
      </c>
      <c r="N597" s="24">
        <v>1</v>
      </c>
      <c r="O597" s="17">
        <v>14871</v>
      </c>
      <c r="P597" s="17">
        <v>14871</v>
      </c>
      <c r="Q597" s="17">
        <f t="shared" si="14"/>
        <v>0</v>
      </c>
      <c r="R597" s="285" t="s">
        <v>5071</v>
      </c>
      <c r="S597" s="14">
        <v>39490</v>
      </c>
      <c r="T597" s="285">
        <v>459</v>
      </c>
    </row>
    <row r="598" spans="1:22" ht="72" customHeight="1" x14ac:dyDescent="0.2">
      <c r="A598" s="21">
        <v>609</v>
      </c>
      <c r="B598" s="289" t="s">
        <v>656</v>
      </c>
      <c r="C598" s="285" t="s">
        <v>6325</v>
      </c>
      <c r="D598" s="9" t="s">
        <v>201</v>
      </c>
      <c r="E598" s="15">
        <v>39715</v>
      </c>
      <c r="F598" s="9" t="s">
        <v>6926</v>
      </c>
      <c r="G598" s="285" t="s">
        <v>7982</v>
      </c>
      <c r="H598" s="285" t="s">
        <v>5127</v>
      </c>
      <c r="I598" s="289"/>
      <c r="J598" s="22" t="s">
        <v>9411</v>
      </c>
      <c r="K598" s="15">
        <v>40544</v>
      </c>
      <c r="L598" s="289" t="s">
        <v>1029</v>
      </c>
      <c r="M598" s="15">
        <v>39715</v>
      </c>
      <c r="N598" s="24">
        <v>1</v>
      </c>
      <c r="O598" s="17">
        <v>33756</v>
      </c>
      <c r="P598" s="17">
        <v>33756</v>
      </c>
      <c r="Q598" s="17">
        <f t="shared" si="14"/>
        <v>0</v>
      </c>
      <c r="R598" s="285" t="s">
        <v>5071</v>
      </c>
      <c r="S598" s="14">
        <v>39476</v>
      </c>
      <c r="T598" s="285">
        <v>74</v>
      </c>
    </row>
    <row r="599" spans="1:22" ht="72" customHeight="1" x14ac:dyDescent="0.2">
      <c r="A599" s="21">
        <v>610</v>
      </c>
      <c r="B599" s="289" t="s">
        <v>657</v>
      </c>
      <c r="C599" s="285" t="s">
        <v>5274</v>
      </c>
      <c r="D599" s="9" t="s">
        <v>4156</v>
      </c>
      <c r="E599" s="15">
        <v>39442</v>
      </c>
      <c r="F599" s="9" t="s">
        <v>2288</v>
      </c>
      <c r="G599" s="285" t="s">
        <v>7982</v>
      </c>
      <c r="H599" s="285" t="s">
        <v>5127</v>
      </c>
      <c r="I599" s="289"/>
      <c r="J599" s="22" t="s">
        <v>9411</v>
      </c>
      <c r="K599" s="15">
        <v>40544</v>
      </c>
      <c r="L599" s="289" t="s">
        <v>1029</v>
      </c>
      <c r="M599" s="15">
        <v>39442</v>
      </c>
      <c r="N599" s="24">
        <v>1</v>
      </c>
      <c r="O599" s="17">
        <v>21017</v>
      </c>
      <c r="P599" s="17">
        <v>21017</v>
      </c>
      <c r="Q599" s="17">
        <f t="shared" si="14"/>
        <v>0</v>
      </c>
      <c r="R599" s="285" t="s">
        <v>5071</v>
      </c>
      <c r="S599" s="14">
        <v>39440</v>
      </c>
      <c r="T599" s="285">
        <v>6628</v>
      </c>
    </row>
    <row r="600" spans="1:22" s="41" customFormat="1" ht="72" customHeight="1" x14ac:dyDescent="0.2">
      <c r="A600" s="21">
        <v>611</v>
      </c>
      <c r="B600" s="289" t="s">
        <v>658</v>
      </c>
      <c r="C600" s="285" t="s">
        <v>5274</v>
      </c>
      <c r="D600" s="9" t="s">
        <v>208</v>
      </c>
      <c r="E600" s="15">
        <v>39442</v>
      </c>
      <c r="F600" s="13" t="s">
        <v>6927</v>
      </c>
      <c r="G600" s="285" t="s">
        <v>7982</v>
      </c>
      <c r="H600" s="285" t="s">
        <v>5127</v>
      </c>
      <c r="I600" s="289"/>
      <c r="J600" s="22" t="s">
        <v>9411</v>
      </c>
      <c r="K600" s="15">
        <v>40544</v>
      </c>
      <c r="L600" s="289" t="s">
        <v>1029</v>
      </c>
      <c r="M600" s="15">
        <v>39442</v>
      </c>
      <c r="N600" s="24">
        <v>2</v>
      </c>
      <c r="O600" s="17">
        <v>13166</v>
      </c>
      <c r="P600" s="17">
        <v>13166</v>
      </c>
      <c r="Q600" s="17">
        <f t="shared" si="14"/>
        <v>0</v>
      </c>
      <c r="R600" s="285" t="s">
        <v>5071</v>
      </c>
      <c r="S600" s="14">
        <v>39440</v>
      </c>
      <c r="T600" s="285">
        <v>6628</v>
      </c>
      <c r="U600" s="19"/>
      <c r="V600" s="19"/>
    </row>
    <row r="601" spans="1:22" ht="72" customHeight="1" x14ac:dyDescent="0.2">
      <c r="A601" s="21">
        <v>612</v>
      </c>
      <c r="B601" s="289" t="s">
        <v>659</v>
      </c>
      <c r="C601" s="289" t="s">
        <v>5274</v>
      </c>
      <c r="D601" s="9" t="s">
        <v>7040</v>
      </c>
      <c r="E601" s="15">
        <v>38982</v>
      </c>
      <c r="F601" s="13" t="s">
        <v>7041</v>
      </c>
      <c r="G601" s="285" t="s">
        <v>7981</v>
      </c>
      <c r="H601" s="285" t="s">
        <v>5127</v>
      </c>
      <c r="I601" s="289"/>
      <c r="J601" s="22" t="s">
        <v>9411</v>
      </c>
      <c r="K601" s="15">
        <v>40544</v>
      </c>
      <c r="L601" s="289" t="s">
        <v>1029</v>
      </c>
      <c r="M601" s="15">
        <v>38982</v>
      </c>
      <c r="N601" s="24">
        <v>1</v>
      </c>
      <c r="O601" s="17">
        <v>5500</v>
      </c>
      <c r="P601" s="17">
        <v>5500</v>
      </c>
      <c r="Q601" s="17">
        <f t="shared" si="14"/>
        <v>0</v>
      </c>
      <c r="R601" s="285" t="s">
        <v>5071</v>
      </c>
      <c r="S601" s="14">
        <v>39644</v>
      </c>
      <c r="T601" s="285">
        <v>912</v>
      </c>
    </row>
    <row r="602" spans="1:22" ht="72" customHeight="1" x14ac:dyDescent="0.2">
      <c r="A602" s="21">
        <v>613</v>
      </c>
      <c r="B602" s="289" t="s">
        <v>660</v>
      </c>
      <c r="C602" s="289" t="s">
        <v>5274</v>
      </c>
      <c r="D602" s="9" t="s">
        <v>5870</v>
      </c>
      <c r="E602" s="15">
        <v>39713</v>
      </c>
      <c r="F602" s="13" t="s">
        <v>6785</v>
      </c>
      <c r="G602" s="285" t="s">
        <v>7981</v>
      </c>
      <c r="H602" s="285" t="s">
        <v>5127</v>
      </c>
      <c r="I602" s="289"/>
      <c r="J602" s="22" t="s">
        <v>9411</v>
      </c>
      <c r="K602" s="15">
        <v>40544</v>
      </c>
      <c r="L602" s="289" t="s">
        <v>1029</v>
      </c>
      <c r="M602" s="15">
        <v>39713</v>
      </c>
      <c r="N602" s="24">
        <v>1</v>
      </c>
      <c r="O602" s="17">
        <v>21000</v>
      </c>
      <c r="P602" s="17">
        <v>21000</v>
      </c>
      <c r="Q602" s="17">
        <f t="shared" si="14"/>
        <v>0</v>
      </c>
      <c r="R602" s="285" t="s">
        <v>5071</v>
      </c>
      <c r="S602" s="14">
        <v>39644</v>
      </c>
      <c r="T602" s="285">
        <v>912</v>
      </c>
    </row>
    <row r="603" spans="1:22" ht="60.75" customHeight="1" x14ac:dyDescent="0.2">
      <c r="A603" s="21">
        <v>614</v>
      </c>
      <c r="B603" s="289" t="s">
        <v>661</v>
      </c>
      <c r="C603" s="289" t="s">
        <v>5274</v>
      </c>
      <c r="D603" s="9" t="s">
        <v>2041</v>
      </c>
      <c r="E603" s="15">
        <v>39232</v>
      </c>
      <c r="F603" s="13" t="s">
        <v>1748</v>
      </c>
      <c r="G603" s="285" t="s">
        <v>7981</v>
      </c>
      <c r="H603" s="285" t="s">
        <v>5127</v>
      </c>
      <c r="I603" s="289"/>
      <c r="J603" s="22" t="s">
        <v>9411</v>
      </c>
      <c r="K603" s="15">
        <v>40544</v>
      </c>
      <c r="L603" s="289" t="s">
        <v>1029</v>
      </c>
      <c r="M603" s="15">
        <v>39232</v>
      </c>
      <c r="N603" s="24">
        <v>1</v>
      </c>
      <c r="O603" s="17">
        <v>3600</v>
      </c>
      <c r="P603" s="17">
        <v>3600</v>
      </c>
      <c r="Q603" s="17">
        <f t="shared" si="14"/>
        <v>0</v>
      </c>
      <c r="R603" s="285" t="s">
        <v>1000</v>
      </c>
      <c r="S603" s="14"/>
      <c r="T603" s="285"/>
    </row>
    <row r="604" spans="1:22" ht="60.75" customHeight="1" x14ac:dyDescent="0.2">
      <c r="A604" s="21">
        <v>615</v>
      </c>
      <c r="B604" s="289" t="s">
        <v>379</v>
      </c>
      <c r="C604" s="289" t="s">
        <v>5274</v>
      </c>
      <c r="D604" s="9" t="s">
        <v>9495</v>
      </c>
      <c r="E604" s="15">
        <v>39813</v>
      </c>
      <c r="F604" s="13" t="s">
        <v>7042</v>
      </c>
      <c r="G604" s="285" t="s">
        <v>7981</v>
      </c>
      <c r="H604" s="285" t="s">
        <v>5127</v>
      </c>
      <c r="I604" s="289"/>
      <c r="J604" s="22" t="s">
        <v>9411</v>
      </c>
      <c r="K604" s="15">
        <v>40544</v>
      </c>
      <c r="L604" s="289" t="s">
        <v>1029</v>
      </c>
      <c r="M604" s="15">
        <v>39813</v>
      </c>
      <c r="N604" s="24">
        <v>1</v>
      </c>
      <c r="O604" s="17">
        <v>19050</v>
      </c>
      <c r="P604" s="17">
        <v>19050</v>
      </c>
      <c r="Q604" s="17">
        <f t="shared" si="14"/>
        <v>0</v>
      </c>
      <c r="R604" s="285" t="s">
        <v>5071</v>
      </c>
      <c r="S604" s="14">
        <v>39762</v>
      </c>
      <c r="T604" s="285">
        <v>2033</v>
      </c>
    </row>
    <row r="605" spans="1:22" ht="60.75" customHeight="1" x14ac:dyDescent="0.2">
      <c r="A605" s="21">
        <v>616</v>
      </c>
      <c r="B605" s="289" t="s">
        <v>380</v>
      </c>
      <c r="C605" s="285" t="s">
        <v>5274</v>
      </c>
      <c r="D605" s="9" t="s">
        <v>4143</v>
      </c>
      <c r="E605" s="15">
        <v>40544</v>
      </c>
      <c r="F605" s="9" t="s">
        <v>6601</v>
      </c>
      <c r="G605" s="285" t="s">
        <v>2074</v>
      </c>
      <c r="H605" s="285" t="s">
        <v>5127</v>
      </c>
      <c r="I605" s="289"/>
      <c r="J605" s="285" t="s">
        <v>3132</v>
      </c>
      <c r="K605" s="15">
        <v>39807</v>
      </c>
      <c r="L605" s="289" t="s">
        <v>5891</v>
      </c>
      <c r="M605" s="15">
        <v>41306</v>
      </c>
      <c r="N605" s="24">
        <v>1</v>
      </c>
      <c r="O605" s="17">
        <v>19454</v>
      </c>
      <c r="P605" s="17">
        <v>19454</v>
      </c>
      <c r="Q605" s="17">
        <f t="shared" si="14"/>
        <v>0</v>
      </c>
      <c r="R605" s="285" t="s">
        <v>5587</v>
      </c>
      <c r="S605" s="14">
        <v>39807</v>
      </c>
      <c r="T605" s="285" t="s">
        <v>5891</v>
      </c>
    </row>
    <row r="606" spans="1:22" ht="60.75" customHeight="1" x14ac:dyDescent="0.2">
      <c r="A606" s="21">
        <v>617</v>
      </c>
      <c r="B606" s="289" t="s">
        <v>381</v>
      </c>
      <c r="C606" s="285"/>
      <c r="D606" s="9" t="s">
        <v>2465</v>
      </c>
      <c r="E606" s="22">
        <v>2007</v>
      </c>
      <c r="F606" s="13" t="s">
        <v>6602</v>
      </c>
      <c r="G606" s="285" t="s">
        <v>2074</v>
      </c>
      <c r="H606" s="285" t="s">
        <v>5127</v>
      </c>
      <c r="I606" s="289"/>
      <c r="J606" s="285" t="s">
        <v>3132</v>
      </c>
      <c r="K606" s="15">
        <v>39807</v>
      </c>
      <c r="L606" s="289" t="s">
        <v>5891</v>
      </c>
      <c r="M606" s="15">
        <v>41306</v>
      </c>
      <c r="N606" s="24">
        <v>1</v>
      </c>
      <c r="O606" s="17">
        <v>3380</v>
      </c>
      <c r="P606" s="17">
        <v>3380</v>
      </c>
      <c r="Q606" s="17">
        <f t="shared" si="14"/>
        <v>0</v>
      </c>
      <c r="R606" s="285" t="s">
        <v>5587</v>
      </c>
      <c r="S606" s="14">
        <v>39807</v>
      </c>
      <c r="T606" s="285" t="s">
        <v>5891</v>
      </c>
    </row>
    <row r="607" spans="1:22" ht="60.75" customHeight="1" x14ac:dyDescent="0.2">
      <c r="A607" s="21">
        <v>618</v>
      </c>
      <c r="B607" s="289" t="s">
        <v>382</v>
      </c>
      <c r="C607" s="285" t="s">
        <v>5274</v>
      </c>
      <c r="D607" s="9" t="s">
        <v>6928</v>
      </c>
      <c r="E607" s="14">
        <v>39722</v>
      </c>
      <c r="F607" s="13" t="s">
        <v>6929</v>
      </c>
      <c r="G607" s="285" t="s">
        <v>7982</v>
      </c>
      <c r="H607" s="285" t="s">
        <v>5127</v>
      </c>
      <c r="I607" s="289"/>
      <c r="J607" s="22" t="s">
        <v>9411</v>
      </c>
      <c r="K607" s="15">
        <v>40544</v>
      </c>
      <c r="L607" s="289" t="s">
        <v>1029</v>
      </c>
      <c r="M607" s="15">
        <v>39812</v>
      </c>
      <c r="N607" s="24">
        <v>1</v>
      </c>
      <c r="O607" s="17">
        <v>6247</v>
      </c>
      <c r="P607" s="17">
        <v>6247</v>
      </c>
      <c r="Q607" s="17">
        <f t="shared" si="14"/>
        <v>0</v>
      </c>
      <c r="R607" s="285" t="s">
        <v>5071</v>
      </c>
      <c r="S607" s="14">
        <v>39742</v>
      </c>
      <c r="T607" s="285">
        <v>1714</v>
      </c>
    </row>
    <row r="608" spans="1:22" ht="60.75" customHeight="1" x14ac:dyDescent="0.2">
      <c r="A608" s="21">
        <v>619</v>
      </c>
      <c r="B608" s="289" t="s">
        <v>383</v>
      </c>
      <c r="C608" s="285" t="s">
        <v>5274</v>
      </c>
      <c r="D608" s="9" t="s">
        <v>6930</v>
      </c>
      <c r="E608" s="14">
        <v>39722</v>
      </c>
      <c r="F608" s="9" t="s">
        <v>6931</v>
      </c>
      <c r="G608" s="285" t="s">
        <v>7982</v>
      </c>
      <c r="H608" s="285" t="s">
        <v>5127</v>
      </c>
      <c r="I608" s="289"/>
      <c r="J608" s="22" t="s">
        <v>9411</v>
      </c>
      <c r="K608" s="15">
        <v>40544</v>
      </c>
      <c r="L608" s="289" t="s">
        <v>1029</v>
      </c>
      <c r="M608" s="15">
        <v>39813</v>
      </c>
      <c r="N608" s="24">
        <v>1</v>
      </c>
      <c r="O608" s="17">
        <v>20503</v>
      </c>
      <c r="P608" s="17">
        <v>20503</v>
      </c>
      <c r="Q608" s="17">
        <f t="shared" si="14"/>
        <v>0</v>
      </c>
      <c r="R608" s="285" t="s">
        <v>5071</v>
      </c>
      <c r="S608" s="14">
        <v>39742</v>
      </c>
      <c r="T608" s="285">
        <v>1714</v>
      </c>
    </row>
    <row r="609" spans="1:20" ht="41.25" customHeight="1" x14ac:dyDescent="0.2">
      <c r="A609" s="21">
        <v>620</v>
      </c>
      <c r="B609" s="289" t="s">
        <v>384</v>
      </c>
      <c r="C609" s="285" t="s">
        <v>5274</v>
      </c>
      <c r="D609" s="9" t="s">
        <v>201</v>
      </c>
      <c r="E609" s="14">
        <v>39753</v>
      </c>
      <c r="F609" s="9" t="s">
        <v>6834</v>
      </c>
      <c r="G609" s="285" t="s">
        <v>7917</v>
      </c>
      <c r="H609" s="285" t="s">
        <v>5127</v>
      </c>
      <c r="I609" s="289"/>
      <c r="J609" s="285"/>
      <c r="K609" s="289"/>
      <c r="L609" s="289"/>
      <c r="M609" s="15">
        <v>41000</v>
      </c>
      <c r="N609" s="24">
        <v>1</v>
      </c>
      <c r="O609" s="17">
        <v>24000</v>
      </c>
      <c r="P609" s="17">
        <v>24000</v>
      </c>
      <c r="Q609" s="17">
        <f t="shared" si="14"/>
        <v>0</v>
      </c>
      <c r="R609" s="285" t="s">
        <v>5071</v>
      </c>
      <c r="S609" s="14">
        <v>39762</v>
      </c>
      <c r="T609" s="285">
        <v>2034</v>
      </c>
    </row>
    <row r="610" spans="1:20" ht="71.25" customHeight="1" x14ac:dyDescent="0.2">
      <c r="A610" s="21">
        <v>621</v>
      </c>
      <c r="B610" s="289" t="s">
        <v>385</v>
      </c>
      <c r="C610" s="285"/>
      <c r="D610" s="9" t="s">
        <v>6334</v>
      </c>
      <c r="E610" s="15">
        <v>40544</v>
      </c>
      <c r="F610" s="9" t="s">
        <v>6645</v>
      </c>
      <c r="G610" s="285" t="s">
        <v>7981</v>
      </c>
      <c r="H610" s="285" t="s">
        <v>5127</v>
      </c>
      <c r="I610" s="289"/>
      <c r="J610" s="285" t="s">
        <v>3136</v>
      </c>
      <c r="K610" s="15">
        <v>43600</v>
      </c>
      <c r="L610" s="289">
        <v>388</v>
      </c>
      <c r="M610" s="15">
        <v>40544</v>
      </c>
      <c r="N610" s="24">
        <v>1</v>
      </c>
      <c r="O610" s="17">
        <v>19049</v>
      </c>
      <c r="P610" s="17">
        <v>19049</v>
      </c>
      <c r="Q610" s="17">
        <f t="shared" si="14"/>
        <v>0</v>
      </c>
      <c r="R610" s="285" t="s">
        <v>5071</v>
      </c>
      <c r="S610" s="14">
        <v>39762</v>
      </c>
      <c r="T610" s="285">
        <v>2031</v>
      </c>
    </row>
    <row r="611" spans="1:20" ht="34.5" customHeight="1" x14ac:dyDescent="0.2">
      <c r="A611" s="21">
        <v>622</v>
      </c>
      <c r="B611" s="289" t="s">
        <v>105</v>
      </c>
      <c r="C611" s="289" t="s">
        <v>5274</v>
      </c>
      <c r="D611" s="9" t="s">
        <v>6835</v>
      </c>
      <c r="E611" s="14">
        <v>39783</v>
      </c>
      <c r="F611" s="9" t="s">
        <v>9463</v>
      </c>
      <c r="G611" s="285" t="s">
        <v>7917</v>
      </c>
      <c r="H611" s="285" t="s">
        <v>5127</v>
      </c>
      <c r="I611" s="289"/>
      <c r="J611" s="285"/>
      <c r="K611" s="289"/>
      <c r="L611" s="289"/>
      <c r="M611" s="15">
        <v>40544</v>
      </c>
      <c r="N611" s="24">
        <f>5-1-2</f>
        <v>2</v>
      </c>
      <c r="O611" s="17">
        <f>43325-8665-8665-8665</f>
        <v>17330</v>
      </c>
      <c r="P611" s="17">
        <v>17330</v>
      </c>
      <c r="Q611" s="17">
        <f t="shared" si="14"/>
        <v>0</v>
      </c>
      <c r="R611" s="285" t="s">
        <v>5071</v>
      </c>
      <c r="S611" s="14">
        <v>39804</v>
      </c>
      <c r="T611" s="285">
        <v>2775</v>
      </c>
    </row>
    <row r="612" spans="1:20" ht="71.25" customHeight="1" x14ac:dyDescent="0.2">
      <c r="A612" s="21">
        <v>623</v>
      </c>
      <c r="B612" s="289" t="s">
        <v>106</v>
      </c>
      <c r="C612" s="285" t="s">
        <v>5274</v>
      </c>
      <c r="D612" s="9" t="s">
        <v>6932</v>
      </c>
      <c r="E612" s="14">
        <v>39783</v>
      </c>
      <c r="F612" s="9" t="s">
        <v>6933</v>
      </c>
      <c r="G612" s="285" t="s">
        <v>7982</v>
      </c>
      <c r="H612" s="285" t="s">
        <v>5127</v>
      </c>
      <c r="I612" s="289"/>
      <c r="J612" s="22" t="s">
        <v>9411</v>
      </c>
      <c r="K612" s="15">
        <v>40544</v>
      </c>
      <c r="L612" s="289" t="s">
        <v>1029</v>
      </c>
      <c r="M612" s="15">
        <v>39813</v>
      </c>
      <c r="N612" s="24">
        <v>3</v>
      </c>
      <c r="O612" s="17">
        <v>25995</v>
      </c>
      <c r="P612" s="17">
        <v>25995</v>
      </c>
      <c r="Q612" s="17">
        <f t="shared" si="14"/>
        <v>0</v>
      </c>
      <c r="R612" s="285" t="s">
        <v>5071</v>
      </c>
      <c r="S612" s="14">
        <v>39804</v>
      </c>
      <c r="T612" s="285">
        <v>2775</v>
      </c>
    </row>
    <row r="613" spans="1:20" ht="71.25" customHeight="1" x14ac:dyDescent="0.2">
      <c r="A613" s="21">
        <v>624</v>
      </c>
      <c r="B613" s="289" t="s">
        <v>1380</v>
      </c>
      <c r="C613" s="9"/>
      <c r="D613" s="9" t="s">
        <v>6646</v>
      </c>
      <c r="E613" s="15">
        <v>39813</v>
      </c>
      <c r="F613" s="13" t="s">
        <v>7043</v>
      </c>
      <c r="G613" s="285" t="s">
        <v>7981</v>
      </c>
      <c r="H613" s="285" t="s">
        <v>5127</v>
      </c>
      <c r="I613" s="22"/>
      <c r="J613" s="22" t="s">
        <v>9411</v>
      </c>
      <c r="K613" s="15">
        <v>40544</v>
      </c>
      <c r="L613" s="289" t="s">
        <v>1029</v>
      </c>
      <c r="M613" s="15">
        <v>39813</v>
      </c>
      <c r="N613" s="24">
        <f>3-1</f>
        <v>2</v>
      </c>
      <c r="O613" s="17">
        <f>16068-5356</f>
        <v>10712</v>
      </c>
      <c r="P613" s="17">
        <f>16068-5356</f>
        <v>10712</v>
      </c>
      <c r="Q613" s="17">
        <v>0</v>
      </c>
      <c r="R613" s="285" t="s">
        <v>5071</v>
      </c>
      <c r="S613" s="14">
        <v>39804</v>
      </c>
      <c r="T613" s="285">
        <v>2775</v>
      </c>
    </row>
    <row r="614" spans="1:20" ht="34.5" customHeight="1" x14ac:dyDescent="0.2">
      <c r="A614" s="21">
        <v>625</v>
      </c>
      <c r="B614" s="289" t="s">
        <v>1269</v>
      </c>
      <c r="C614" s="285" t="s">
        <v>5274</v>
      </c>
      <c r="D614" s="9" t="s">
        <v>6646</v>
      </c>
      <c r="E614" s="14">
        <v>39783</v>
      </c>
      <c r="F614" s="13" t="s">
        <v>6836</v>
      </c>
      <c r="G614" s="285" t="s">
        <v>7917</v>
      </c>
      <c r="H614" s="285" t="s">
        <v>5127</v>
      </c>
      <c r="I614" s="289"/>
      <c r="J614" s="285"/>
      <c r="K614" s="289"/>
      <c r="L614" s="289"/>
      <c r="M614" s="15">
        <v>40544</v>
      </c>
      <c r="N614" s="24">
        <v>5</v>
      </c>
      <c r="O614" s="17">
        <v>26780</v>
      </c>
      <c r="P614" s="17">
        <v>26780</v>
      </c>
      <c r="Q614" s="17">
        <f t="shared" ref="Q614:Q677" si="15">O614-P614</f>
        <v>0</v>
      </c>
      <c r="R614" s="285" t="s">
        <v>5071</v>
      </c>
      <c r="S614" s="14">
        <v>39804</v>
      </c>
      <c r="T614" s="285">
        <v>2775</v>
      </c>
    </row>
    <row r="615" spans="1:20" ht="57.75" customHeight="1" x14ac:dyDescent="0.2">
      <c r="A615" s="21">
        <v>626</v>
      </c>
      <c r="B615" s="289" t="s">
        <v>1270</v>
      </c>
      <c r="C615" s="285" t="s">
        <v>6325</v>
      </c>
      <c r="D615" s="9" t="s">
        <v>6646</v>
      </c>
      <c r="E615" s="14">
        <v>39783</v>
      </c>
      <c r="F615" s="13" t="s">
        <v>6934</v>
      </c>
      <c r="G615" s="285" t="s">
        <v>7982</v>
      </c>
      <c r="H615" s="285" t="s">
        <v>5127</v>
      </c>
      <c r="I615" s="289"/>
      <c r="J615" s="22" t="s">
        <v>9411</v>
      </c>
      <c r="K615" s="15">
        <v>40544</v>
      </c>
      <c r="L615" s="289" t="s">
        <v>1029</v>
      </c>
      <c r="M615" s="15">
        <v>39813</v>
      </c>
      <c r="N615" s="24">
        <v>3</v>
      </c>
      <c r="O615" s="17">
        <v>16068</v>
      </c>
      <c r="P615" s="17">
        <v>16068</v>
      </c>
      <c r="Q615" s="17">
        <f t="shared" si="15"/>
        <v>0</v>
      </c>
      <c r="R615" s="285" t="s">
        <v>5071</v>
      </c>
      <c r="S615" s="14">
        <v>39804</v>
      </c>
      <c r="T615" s="285">
        <v>2775</v>
      </c>
    </row>
    <row r="616" spans="1:20" ht="68.25" customHeight="1" x14ac:dyDescent="0.2">
      <c r="A616" s="21">
        <v>627</v>
      </c>
      <c r="B616" s="289" t="s">
        <v>850</v>
      </c>
      <c r="C616" s="285"/>
      <c r="D616" s="9" t="s">
        <v>6646</v>
      </c>
      <c r="E616" s="14">
        <v>39783</v>
      </c>
      <c r="F616" s="13" t="s">
        <v>6647</v>
      </c>
      <c r="G616" s="285" t="s">
        <v>6266</v>
      </c>
      <c r="H616" s="285" t="s">
        <v>5127</v>
      </c>
      <c r="I616" s="289"/>
      <c r="J616" s="285" t="s">
        <v>9440</v>
      </c>
      <c r="K616" s="15">
        <v>40544</v>
      </c>
      <c r="L616" s="289" t="s">
        <v>1029</v>
      </c>
      <c r="M616" s="14">
        <v>39813</v>
      </c>
      <c r="N616" s="24">
        <v>1</v>
      </c>
      <c r="O616" s="17">
        <v>5356</v>
      </c>
      <c r="P616" s="17">
        <v>5356</v>
      </c>
      <c r="Q616" s="17">
        <f t="shared" si="15"/>
        <v>0</v>
      </c>
      <c r="R616" s="285" t="s">
        <v>5071</v>
      </c>
      <c r="S616" s="14">
        <v>39804</v>
      </c>
      <c r="T616" s="285">
        <v>2775</v>
      </c>
    </row>
    <row r="617" spans="1:20" ht="65.25" customHeight="1" x14ac:dyDescent="0.2">
      <c r="A617" s="21">
        <v>628</v>
      </c>
      <c r="B617" s="289" t="s">
        <v>851</v>
      </c>
      <c r="C617" s="285"/>
      <c r="D617" s="9" t="s">
        <v>6648</v>
      </c>
      <c r="E617" s="14">
        <v>39783</v>
      </c>
      <c r="F617" s="9" t="s">
        <v>6649</v>
      </c>
      <c r="G617" s="285" t="s">
        <v>7981</v>
      </c>
      <c r="H617" s="285" t="s">
        <v>5127</v>
      </c>
      <c r="I617" s="289"/>
      <c r="J617" s="285" t="s">
        <v>3136</v>
      </c>
      <c r="K617" s="15">
        <v>43600</v>
      </c>
      <c r="L617" s="289">
        <v>388</v>
      </c>
      <c r="M617" s="14">
        <v>39804</v>
      </c>
      <c r="N617" s="24">
        <v>1</v>
      </c>
      <c r="O617" s="17">
        <v>8762</v>
      </c>
      <c r="P617" s="17">
        <v>8762</v>
      </c>
      <c r="Q617" s="17">
        <f t="shared" si="15"/>
        <v>0</v>
      </c>
      <c r="R617" s="285" t="s">
        <v>5071</v>
      </c>
      <c r="S617" s="14">
        <v>39804</v>
      </c>
      <c r="T617" s="285">
        <v>2775</v>
      </c>
    </row>
    <row r="618" spans="1:20" ht="100.5" customHeight="1" x14ac:dyDescent="0.2">
      <c r="A618" s="21">
        <v>629</v>
      </c>
      <c r="B618" s="289" t="s">
        <v>4990</v>
      </c>
      <c r="C618" s="285"/>
      <c r="D618" s="9" t="s">
        <v>6650</v>
      </c>
      <c r="E618" s="14">
        <v>39783</v>
      </c>
      <c r="F618" s="13" t="s">
        <v>6330</v>
      </c>
      <c r="G618" s="285" t="s">
        <v>6266</v>
      </c>
      <c r="H618" s="285" t="s">
        <v>5127</v>
      </c>
      <c r="I618" s="289"/>
      <c r="J618" s="285" t="s">
        <v>9440</v>
      </c>
      <c r="K618" s="15">
        <v>40544</v>
      </c>
      <c r="L618" s="289" t="s">
        <v>1029</v>
      </c>
      <c r="M618" s="14">
        <v>39813</v>
      </c>
      <c r="N618" s="24">
        <v>1</v>
      </c>
      <c r="O618" s="17">
        <v>5358.76</v>
      </c>
      <c r="P618" s="17">
        <v>5358.76</v>
      </c>
      <c r="Q618" s="17">
        <f t="shared" si="15"/>
        <v>0</v>
      </c>
      <c r="R618" s="285" t="s">
        <v>5071</v>
      </c>
      <c r="S618" s="14">
        <v>39804</v>
      </c>
      <c r="T618" s="285">
        <v>2775</v>
      </c>
    </row>
    <row r="619" spans="1:20" ht="61.5" customHeight="1" x14ac:dyDescent="0.2">
      <c r="A619" s="21">
        <v>630</v>
      </c>
      <c r="B619" s="289" t="s">
        <v>5177</v>
      </c>
      <c r="C619" s="285"/>
      <c r="D619" s="9" t="s">
        <v>5870</v>
      </c>
      <c r="E619" s="22" t="s">
        <v>215</v>
      </c>
      <c r="F619" s="13" t="s">
        <v>6561</v>
      </c>
      <c r="G619" s="285" t="s">
        <v>7464</v>
      </c>
      <c r="H619" s="285" t="s">
        <v>5127</v>
      </c>
      <c r="I619" s="289"/>
      <c r="J619" s="285"/>
      <c r="K619" s="289"/>
      <c r="L619" s="289"/>
      <c r="M619" s="14">
        <v>39794</v>
      </c>
      <c r="N619" s="24">
        <v>1</v>
      </c>
      <c r="O619" s="17">
        <v>15510</v>
      </c>
      <c r="P619" s="17">
        <v>15510</v>
      </c>
      <c r="Q619" s="17">
        <f t="shared" si="15"/>
        <v>0</v>
      </c>
      <c r="R619" s="285" t="s">
        <v>6058</v>
      </c>
      <c r="S619" s="14">
        <v>39794</v>
      </c>
      <c r="T619" s="285">
        <v>165</v>
      </c>
    </row>
    <row r="620" spans="1:20" ht="61.5" customHeight="1" x14ac:dyDescent="0.2">
      <c r="A620" s="21">
        <v>631</v>
      </c>
      <c r="B620" s="289" t="s">
        <v>5178</v>
      </c>
      <c r="C620" s="289" t="s">
        <v>5274</v>
      </c>
      <c r="D620" s="9" t="s">
        <v>1945</v>
      </c>
      <c r="E620" s="15">
        <v>39813</v>
      </c>
      <c r="F620" s="13" t="s">
        <v>7044</v>
      </c>
      <c r="G620" s="285" t="s">
        <v>7981</v>
      </c>
      <c r="H620" s="285" t="s">
        <v>5127</v>
      </c>
      <c r="I620" s="289"/>
      <c r="J620" s="22" t="s">
        <v>9411</v>
      </c>
      <c r="K620" s="15">
        <v>40544</v>
      </c>
      <c r="L620" s="289" t="s">
        <v>1029</v>
      </c>
      <c r="M620" s="15">
        <v>39813</v>
      </c>
      <c r="N620" s="24">
        <v>1</v>
      </c>
      <c r="O620" s="17">
        <v>3923</v>
      </c>
      <c r="P620" s="17">
        <v>3923</v>
      </c>
      <c r="Q620" s="17">
        <f t="shared" si="15"/>
        <v>0</v>
      </c>
      <c r="R620" s="285" t="s">
        <v>5071</v>
      </c>
      <c r="S620" s="15">
        <v>39659</v>
      </c>
      <c r="T620" s="285">
        <v>4686</v>
      </c>
    </row>
    <row r="621" spans="1:20" ht="69" customHeight="1" x14ac:dyDescent="0.2">
      <c r="A621" s="21">
        <v>632</v>
      </c>
      <c r="B621" s="289" t="s">
        <v>5179</v>
      </c>
      <c r="C621" s="289" t="s">
        <v>5274</v>
      </c>
      <c r="D621" s="9" t="s">
        <v>6167</v>
      </c>
      <c r="E621" s="22">
        <v>2008</v>
      </c>
      <c r="F621" s="13" t="s">
        <v>7045</v>
      </c>
      <c r="G621" s="285" t="s">
        <v>7981</v>
      </c>
      <c r="H621" s="285" t="s">
        <v>5127</v>
      </c>
      <c r="I621" s="289"/>
      <c r="J621" s="285" t="s">
        <v>3136</v>
      </c>
      <c r="K621" s="15">
        <v>40837</v>
      </c>
      <c r="L621" s="289">
        <v>1080</v>
      </c>
      <c r="M621" s="15">
        <v>39659</v>
      </c>
      <c r="N621" s="24">
        <v>1</v>
      </c>
      <c r="O621" s="17">
        <v>3161</v>
      </c>
      <c r="P621" s="17">
        <v>3161</v>
      </c>
      <c r="Q621" s="17">
        <f t="shared" si="15"/>
        <v>0</v>
      </c>
      <c r="R621" s="285" t="s">
        <v>5071</v>
      </c>
      <c r="S621" s="15">
        <v>39659</v>
      </c>
      <c r="T621" s="285">
        <v>4686</v>
      </c>
    </row>
    <row r="622" spans="1:20" ht="69" customHeight="1" x14ac:dyDescent="0.2">
      <c r="A622" s="21">
        <v>633</v>
      </c>
      <c r="B622" s="289" t="s">
        <v>5180</v>
      </c>
      <c r="C622" s="289" t="s">
        <v>5274</v>
      </c>
      <c r="D622" s="9" t="s">
        <v>5774</v>
      </c>
      <c r="E622" s="22">
        <v>2008</v>
      </c>
      <c r="F622" s="13" t="s">
        <v>7046</v>
      </c>
      <c r="G622" s="285" t="s">
        <v>7981</v>
      </c>
      <c r="H622" s="285" t="s">
        <v>5127</v>
      </c>
      <c r="I622" s="289"/>
      <c r="J622" s="22" t="s">
        <v>9411</v>
      </c>
      <c r="K622" s="15">
        <v>40544</v>
      </c>
      <c r="L622" s="289" t="s">
        <v>1029</v>
      </c>
      <c r="M622" s="15">
        <v>39813</v>
      </c>
      <c r="N622" s="24">
        <v>1</v>
      </c>
      <c r="O622" s="17">
        <v>23000</v>
      </c>
      <c r="P622" s="17">
        <v>23000</v>
      </c>
      <c r="Q622" s="17">
        <f t="shared" si="15"/>
        <v>0</v>
      </c>
      <c r="R622" s="285" t="s">
        <v>5071</v>
      </c>
      <c r="S622" s="15">
        <v>39685</v>
      </c>
      <c r="T622" s="285">
        <v>645</v>
      </c>
    </row>
    <row r="623" spans="1:20" ht="69" customHeight="1" x14ac:dyDescent="0.2">
      <c r="A623" s="21">
        <v>634</v>
      </c>
      <c r="B623" s="289" t="s">
        <v>5181</v>
      </c>
      <c r="C623" s="289" t="s">
        <v>5274</v>
      </c>
      <c r="D623" s="9" t="s">
        <v>7047</v>
      </c>
      <c r="E623" s="22">
        <v>2008</v>
      </c>
      <c r="F623" s="9" t="s">
        <v>7048</v>
      </c>
      <c r="G623" s="285" t="s">
        <v>7981</v>
      </c>
      <c r="H623" s="285" t="s">
        <v>5127</v>
      </c>
      <c r="I623" s="289"/>
      <c r="J623" s="22" t="s">
        <v>9411</v>
      </c>
      <c r="K623" s="15">
        <v>40544</v>
      </c>
      <c r="L623" s="289" t="s">
        <v>1029</v>
      </c>
      <c r="M623" s="15">
        <v>39813</v>
      </c>
      <c r="N623" s="24">
        <v>12</v>
      </c>
      <c r="O623" s="17">
        <v>198900</v>
      </c>
      <c r="P623" s="17">
        <v>198900</v>
      </c>
      <c r="Q623" s="17">
        <f t="shared" si="15"/>
        <v>0</v>
      </c>
      <c r="R623" s="285" t="s">
        <v>5071</v>
      </c>
      <c r="S623" s="15">
        <v>39672</v>
      </c>
      <c r="T623" s="285">
        <v>526</v>
      </c>
    </row>
    <row r="624" spans="1:20" ht="69" customHeight="1" x14ac:dyDescent="0.2">
      <c r="A624" s="21">
        <v>635</v>
      </c>
      <c r="B624" s="289" t="s">
        <v>1613</v>
      </c>
      <c r="C624" s="289" t="s">
        <v>5274</v>
      </c>
      <c r="D624" s="9" t="s">
        <v>2895</v>
      </c>
      <c r="E624" s="22">
        <v>2008</v>
      </c>
      <c r="F624" s="13" t="s">
        <v>7049</v>
      </c>
      <c r="G624" s="285" t="s">
        <v>7981</v>
      </c>
      <c r="H624" s="285" t="s">
        <v>5127</v>
      </c>
      <c r="I624" s="289"/>
      <c r="J624" s="22" t="s">
        <v>9411</v>
      </c>
      <c r="K624" s="15">
        <v>40544</v>
      </c>
      <c r="L624" s="289" t="s">
        <v>1029</v>
      </c>
      <c r="M624" s="15">
        <v>39813</v>
      </c>
      <c r="N624" s="24">
        <v>6</v>
      </c>
      <c r="O624" s="17">
        <v>21540</v>
      </c>
      <c r="P624" s="17">
        <v>21540</v>
      </c>
      <c r="Q624" s="17">
        <f t="shared" si="15"/>
        <v>0</v>
      </c>
      <c r="R624" s="285" t="s">
        <v>5071</v>
      </c>
      <c r="S624" s="15">
        <v>39659</v>
      </c>
      <c r="T624" s="285">
        <v>4691</v>
      </c>
    </row>
    <row r="625" spans="1:22" ht="69" customHeight="1" x14ac:dyDescent="0.2">
      <c r="A625" s="21">
        <v>636</v>
      </c>
      <c r="B625" s="289" t="s">
        <v>1614</v>
      </c>
      <c r="C625" s="289" t="s">
        <v>5274</v>
      </c>
      <c r="D625" s="9" t="s">
        <v>274</v>
      </c>
      <c r="E625" s="22">
        <v>2008</v>
      </c>
      <c r="F625" s="13" t="s">
        <v>7050</v>
      </c>
      <c r="G625" s="285" t="s">
        <v>7981</v>
      </c>
      <c r="H625" s="285" t="s">
        <v>5127</v>
      </c>
      <c r="I625" s="289"/>
      <c r="J625" s="22" t="s">
        <v>9411</v>
      </c>
      <c r="K625" s="15">
        <v>40544</v>
      </c>
      <c r="L625" s="289" t="s">
        <v>1029</v>
      </c>
      <c r="M625" s="15">
        <v>39813</v>
      </c>
      <c r="N625" s="24">
        <v>1</v>
      </c>
      <c r="O625" s="17">
        <v>4868</v>
      </c>
      <c r="P625" s="17">
        <v>4868</v>
      </c>
      <c r="Q625" s="17">
        <f t="shared" si="15"/>
        <v>0</v>
      </c>
      <c r="R625" s="285" t="s">
        <v>5071</v>
      </c>
      <c r="S625" s="15">
        <v>39659</v>
      </c>
      <c r="T625" s="285">
        <v>4691</v>
      </c>
    </row>
    <row r="626" spans="1:22" ht="69" customHeight="1" x14ac:dyDescent="0.2">
      <c r="A626" s="21">
        <v>637</v>
      </c>
      <c r="B626" s="289" t="s">
        <v>2909</v>
      </c>
      <c r="C626" s="289" t="s">
        <v>5274</v>
      </c>
      <c r="D626" s="9" t="s">
        <v>2424</v>
      </c>
      <c r="E626" s="22">
        <v>2008</v>
      </c>
      <c r="F626" s="13" t="s">
        <v>7051</v>
      </c>
      <c r="G626" s="285" t="s">
        <v>7981</v>
      </c>
      <c r="H626" s="285" t="s">
        <v>5127</v>
      </c>
      <c r="I626" s="289"/>
      <c r="J626" s="22" t="s">
        <v>9411</v>
      </c>
      <c r="K626" s="15">
        <v>40544</v>
      </c>
      <c r="L626" s="289" t="s">
        <v>1029</v>
      </c>
      <c r="M626" s="15">
        <v>39813</v>
      </c>
      <c r="N626" s="24">
        <v>2</v>
      </c>
      <c r="O626" s="17">
        <v>19894</v>
      </c>
      <c r="P626" s="17">
        <v>19894</v>
      </c>
      <c r="Q626" s="17">
        <f t="shared" si="15"/>
        <v>0</v>
      </c>
      <c r="R626" s="285" t="s">
        <v>5071</v>
      </c>
      <c r="S626" s="15">
        <v>39659</v>
      </c>
      <c r="T626" s="285">
        <v>4691</v>
      </c>
    </row>
    <row r="627" spans="1:22" ht="69.75" customHeight="1" x14ac:dyDescent="0.2">
      <c r="A627" s="21">
        <v>638</v>
      </c>
      <c r="B627" s="289" t="s">
        <v>3045</v>
      </c>
      <c r="C627" s="289" t="s">
        <v>5274</v>
      </c>
      <c r="D627" s="9" t="s">
        <v>7052</v>
      </c>
      <c r="E627" s="22">
        <v>2008</v>
      </c>
      <c r="F627" s="13" t="s">
        <v>5341</v>
      </c>
      <c r="G627" s="285" t="s">
        <v>7981</v>
      </c>
      <c r="H627" s="285" t="s">
        <v>5127</v>
      </c>
      <c r="I627" s="289"/>
      <c r="J627" s="22" t="s">
        <v>9411</v>
      </c>
      <c r="K627" s="15">
        <v>40544</v>
      </c>
      <c r="L627" s="289" t="s">
        <v>1029</v>
      </c>
      <c r="M627" s="15">
        <v>39813</v>
      </c>
      <c r="N627" s="24">
        <v>1</v>
      </c>
      <c r="O627" s="17">
        <v>6950</v>
      </c>
      <c r="P627" s="17">
        <v>6950</v>
      </c>
      <c r="Q627" s="17">
        <f t="shared" si="15"/>
        <v>0</v>
      </c>
      <c r="R627" s="285" t="s">
        <v>5071</v>
      </c>
      <c r="S627" s="15">
        <v>39741</v>
      </c>
      <c r="T627" s="14" t="s">
        <v>1920</v>
      </c>
    </row>
    <row r="628" spans="1:22" ht="69.75" customHeight="1" x14ac:dyDescent="0.2">
      <c r="A628" s="21">
        <v>639</v>
      </c>
      <c r="B628" s="289" t="s">
        <v>4402</v>
      </c>
      <c r="C628" s="285" t="s">
        <v>6325</v>
      </c>
      <c r="D628" s="9" t="s">
        <v>3640</v>
      </c>
      <c r="E628" s="22">
        <v>2008</v>
      </c>
      <c r="F628" s="9" t="s">
        <v>6935</v>
      </c>
      <c r="G628" s="285" t="s">
        <v>7982</v>
      </c>
      <c r="H628" s="285" t="s">
        <v>5127</v>
      </c>
      <c r="I628" s="289"/>
      <c r="J628" s="22" t="s">
        <v>9411</v>
      </c>
      <c r="K628" s="15">
        <v>40544</v>
      </c>
      <c r="L628" s="289" t="s">
        <v>1029</v>
      </c>
      <c r="M628" s="15">
        <v>39813</v>
      </c>
      <c r="N628" s="24">
        <v>10</v>
      </c>
      <c r="O628" s="17">
        <v>180000</v>
      </c>
      <c r="P628" s="17">
        <v>180000</v>
      </c>
      <c r="Q628" s="17">
        <f t="shared" si="15"/>
        <v>0</v>
      </c>
      <c r="R628" s="285" t="s">
        <v>5071</v>
      </c>
      <c r="S628" s="15">
        <v>39700</v>
      </c>
      <c r="T628" s="285">
        <v>647</v>
      </c>
    </row>
    <row r="629" spans="1:22" ht="34.5" customHeight="1" x14ac:dyDescent="0.2">
      <c r="A629" s="21">
        <v>640</v>
      </c>
      <c r="B629" s="289" t="s">
        <v>4403</v>
      </c>
      <c r="C629" s="289" t="s">
        <v>5274</v>
      </c>
      <c r="D629" s="9" t="s">
        <v>5091</v>
      </c>
      <c r="E629" s="22">
        <v>2008</v>
      </c>
      <c r="F629" s="9" t="s">
        <v>6491</v>
      </c>
      <c r="G629" s="285" t="s">
        <v>7917</v>
      </c>
      <c r="H629" s="285" t="s">
        <v>5127</v>
      </c>
      <c r="I629" s="289"/>
      <c r="J629" s="285"/>
      <c r="K629" s="289"/>
      <c r="L629" s="289"/>
      <c r="M629" s="15">
        <v>41275</v>
      </c>
      <c r="N629" s="24">
        <f>10-1-1</f>
        <v>8</v>
      </c>
      <c r="O629" s="17">
        <f>250000-25000-25000</f>
        <v>200000</v>
      </c>
      <c r="P629" s="17">
        <f>250000-25000-25000</f>
        <v>200000</v>
      </c>
      <c r="Q629" s="17">
        <f t="shared" si="15"/>
        <v>0</v>
      </c>
      <c r="R629" s="285" t="s">
        <v>5071</v>
      </c>
      <c r="S629" s="15">
        <v>39700</v>
      </c>
      <c r="T629" s="285">
        <v>649</v>
      </c>
    </row>
    <row r="630" spans="1:22" ht="76.5" customHeight="1" x14ac:dyDescent="0.2">
      <c r="A630" s="21">
        <v>641</v>
      </c>
      <c r="B630" s="289" t="s">
        <v>4404</v>
      </c>
      <c r="C630" s="285" t="s">
        <v>5274</v>
      </c>
      <c r="D630" s="9" t="s">
        <v>5091</v>
      </c>
      <c r="E630" s="22">
        <v>2008</v>
      </c>
      <c r="F630" s="9" t="s">
        <v>7053</v>
      </c>
      <c r="G630" s="285" t="s">
        <v>7981</v>
      </c>
      <c r="H630" s="285" t="s">
        <v>5127</v>
      </c>
      <c r="I630" s="289"/>
      <c r="J630" s="22" t="s">
        <v>9411</v>
      </c>
      <c r="K630" s="15">
        <v>40544</v>
      </c>
      <c r="L630" s="289" t="s">
        <v>1029</v>
      </c>
      <c r="M630" s="15">
        <v>39813</v>
      </c>
      <c r="N630" s="24">
        <v>12</v>
      </c>
      <c r="O630" s="17">
        <v>241200</v>
      </c>
      <c r="P630" s="17">
        <v>241200</v>
      </c>
      <c r="Q630" s="17">
        <f t="shared" si="15"/>
        <v>0</v>
      </c>
      <c r="R630" s="285" t="s">
        <v>5071</v>
      </c>
      <c r="S630" s="15">
        <v>39700</v>
      </c>
      <c r="T630" s="285">
        <v>648</v>
      </c>
    </row>
    <row r="631" spans="1:22" ht="69.75" customHeight="1" x14ac:dyDescent="0.2">
      <c r="A631" s="21">
        <v>642</v>
      </c>
      <c r="B631" s="289" t="s">
        <v>4405</v>
      </c>
      <c r="C631" s="285" t="s">
        <v>5274</v>
      </c>
      <c r="D631" s="9" t="s">
        <v>2109</v>
      </c>
      <c r="E631" s="22">
        <v>2008</v>
      </c>
      <c r="F631" s="13" t="s">
        <v>6936</v>
      </c>
      <c r="G631" s="285" t="s">
        <v>7982</v>
      </c>
      <c r="H631" s="285" t="s">
        <v>5127</v>
      </c>
      <c r="I631" s="289"/>
      <c r="J631" s="22" t="s">
        <v>9411</v>
      </c>
      <c r="K631" s="15">
        <v>40544</v>
      </c>
      <c r="L631" s="289" t="s">
        <v>1029</v>
      </c>
      <c r="M631" s="15">
        <v>39813</v>
      </c>
      <c r="N631" s="24">
        <v>2</v>
      </c>
      <c r="O631" s="17">
        <v>7270</v>
      </c>
      <c r="P631" s="17">
        <v>7270</v>
      </c>
      <c r="Q631" s="17">
        <f t="shared" si="15"/>
        <v>0</v>
      </c>
      <c r="R631" s="285" t="s">
        <v>5071</v>
      </c>
      <c r="S631" s="15">
        <v>39701</v>
      </c>
      <c r="T631" s="285">
        <v>5606</v>
      </c>
    </row>
    <row r="632" spans="1:22" ht="39" customHeight="1" x14ac:dyDescent="0.2">
      <c r="A632" s="21">
        <v>643</v>
      </c>
      <c r="B632" s="289" t="s">
        <v>4406</v>
      </c>
      <c r="C632" s="285" t="s">
        <v>5274</v>
      </c>
      <c r="D632" s="9" t="s">
        <v>2110</v>
      </c>
      <c r="E632" s="22">
        <v>2008</v>
      </c>
      <c r="F632" s="13" t="s">
        <v>6837</v>
      </c>
      <c r="G632" s="285" t="s">
        <v>7917</v>
      </c>
      <c r="H632" s="285" t="s">
        <v>5127</v>
      </c>
      <c r="I632" s="289"/>
      <c r="J632" s="285"/>
      <c r="K632" s="289"/>
      <c r="L632" s="289"/>
      <c r="M632" s="15">
        <v>40544</v>
      </c>
      <c r="N632" s="24">
        <v>3</v>
      </c>
      <c r="O632" s="17">
        <v>25830</v>
      </c>
      <c r="P632" s="17">
        <v>25830</v>
      </c>
      <c r="Q632" s="17">
        <f t="shared" si="15"/>
        <v>0</v>
      </c>
      <c r="R632" s="285" t="s">
        <v>5071</v>
      </c>
      <c r="S632" s="15">
        <v>39639</v>
      </c>
      <c r="T632" s="285">
        <v>2364</v>
      </c>
    </row>
    <row r="633" spans="1:22" ht="39" customHeight="1" x14ac:dyDescent="0.2">
      <c r="A633" s="21">
        <v>644</v>
      </c>
      <c r="B633" s="285" t="s">
        <v>6447</v>
      </c>
      <c r="C633" s="285" t="s">
        <v>5274</v>
      </c>
      <c r="D633" s="9" t="s">
        <v>4167</v>
      </c>
      <c r="E633" s="22">
        <v>2008</v>
      </c>
      <c r="F633" s="18" t="s">
        <v>1655</v>
      </c>
      <c r="G633" s="285" t="s">
        <v>7917</v>
      </c>
      <c r="H633" s="285" t="s">
        <v>5127</v>
      </c>
      <c r="I633" s="40"/>
      <c r="J633" s="17"/>
      <c r="K633" s="40"/>
      <c r="L633" s="289"/>
      <c r="M633" s="15">
        <v>40544</v>
      </c>
      <c r="N633" s="24">
        <v>1</v>
      </c>
      <c r="O633" s="40">
        <v>6160</v>
      </c>
      <c r="P633" s="17">
        <v>6160</v>
      </c>
      <c r="Q633" s="17">
        <f t="shared" si="15"/>
        <v>0</v>
      </c>
      <c r="R633" s="285" t="s">
        <v>1054</v>
      </c>
      <c r="S633" s="15">
        <v>39639</v>
      </c>
      <c r="T633" s="285">
        <v>2364</v>
      </c>
      <c r="V633" s="111"/>
    </row>
    <row r="634" spans="1:22" ht="55.5" customHeight="1" x14ac:dyDescent="0.2">
      <c r="A634" s="21">
        <v>645</v>
      </c>
      <c r="B634" s="289" t="s">
        <v>4407</v>
      </c>
      <c r="C634" s="285" t="s">
        <v>6325</v>
      </c>
      <c r="D634" s="9" t="s">
        <v>3640</v>
      </c>
      <c r="E634" s="22">
        <v>2008</v>
      </c>
      <c r="F634" s="9" t="s">
        <v>5086</v>
      </c>
      <c r="G634" s="285" t="s">
        <v>7982</v>
      </c>
      <c r="H634" s="285" t="s">
        <v>5127</v>
      </c>
      <c r="I634" s="289"/>
      <c r="J634" s="22" t="s">
        <v>9411</v>
      </c>
      <c r="K634" s="15">
        <v>40544</v>
      </c>
      <c r="L634" s="289" t="s">
        <v>1029</v>
      </c>
      <c r="M634" s="15">
        <v>39813</v>
      </c>
      <c r="N634" s="24">
        <v>1</v>
      </c>
      <c r="O634" s="17">
        <v>30000</v>
      </c>
      <c r="P634" s="17">
        <v>30000</v>
      </c>
      <c r="Q634" s="17">
        <f t="shared" si="15"/>
        <v>0</v>
      </c>
      <c r="R634" s="285" t="s">
        <v>5071</v>
      </c>
      <c r="S634" s="15">
        <v>39699</v>
      </c>
      <c r="T634" s="285">
        <v>623</v>
      </c>
    </row>
    <row r="635" spans="1:22" ht="55.5" customHeight="1" x14ac:dyDescent="0.2">
      <c r="A635" s="21">
        <v>646</v>
      </c>
      <c r="B635" s="289" t="s">
        <v>4408</v>
      </c>
      <c r="C635" s="285" t="s">
        <v>6325</v>
      </c>
      <c r="D635" s="9" t="s">
        <v>3398</v>
      </c>
      <c r="E635" s="22">
        <v>2008</v>
      </c>
      <c r="F635" s="9" t="s">
        <v>6937</v>
      </c>
      <c r="G635" s="285" t="s">
        <v>7982</v>
      </c>
      <c r="H635" s="285" t="s">
        <v>5127</v>
      </c>
      <c r="I635" s="289"/>
      <c r="J635" s="22" t="s">
        <v>9411</v>
      </c>
      <c r="K635" s="15">
        <v>40544</v>
      </c>
      <c r="L635" s="289" t="s">
        <v>1029</v>
      </c>
      <c r="M635" s="15">
        <v>39715</v>
      </c>
      <c r="N635" s="24">
        <v>1</v>
      </c>
      <c r="O635" s="17">
        <v>12171.78</v>
      </c>
      <c r="P635" s="17">
        <v>12171.78</v>
      </c>
      <c r="Q635" s="17">
        <f t="shared" si="15"/>
        <v>0</v>
      </c>
      <c r="R635" s="285"/>
      <c r="S635" s="15"/>
      <c r="T635" s="14"/>
    </row>
    <row r="636" spans="1:22" ht="55.5" customHeight="1" x14ac:dyDescent="0.2">
      <c r="A636" s="21">
        <v>647</v>
      </c>
      <c r="B636" s="289" t="s">
        <v>4409</v>
      </c>
      <c r="C636" s="285" t="s">
        <v>6325</v>
      </c>
      <c r="D636" s="9" t="s">
        <v>1117</v>
      </c>
      <c r="E636" s="22">
        <v>2008</v>
      </c>
      <c r="F636" s="13" t="s">
        <v>6082</v>
      </c>
      <c r="G636" s="285" t="s">
        <v>7982</v>
      </c>
      <c r="H636" s="285" t="s">
        <v>5127</v>
      </c>
      <c r="I636" s="289"/>
      <c r="J636" s="22" t="s">
        <v>9411</v>
      </c>
      <c r="K636" s="15">
        <v>40544</v>
      </c>
      <c r="L636" s="289" t="s">
        <v>1029</v>
      </c>
      <c r="M636" s="15">
        <v>39813</v>
      </c>
      <c r="N636" s="24">
        <v>1</v>
      </c>
      <c r="O636" s="17">
        <v>10000</v>
      </c>
      <c r="P636" s="17">
        <v>10000</v>
      </c>
      <c r="Q636" s="17">
        <f t="shared" si="15"/>
        <v>0</v>
      </c>
      <c r="R636" s="285"/>
      <c r="S636" s="15"/>
      <c r="T636" s="14"/>
    </row>
    <row r="637" spans="1:22" ht="55.5" customHeight="1" x14ac:dyDescent="0.2">
      <c r="A637" s="21">
        <v>648</v>
      </c>
      <c r="B637" s="289" t="s">
        <v>4410</v>
      </c>
      <c r="C637" s="285"/>
      <c r="D637" s="9" t="s">
        <v>313</v>
      </c>
      <c r="E637" s="14"/>
      <c r="F637" s="9" t="s">
        <v>6651</v>
      </c>
      <c r="G637" s="285" t="s">
        <v>6266</v>
      </c>
      <c r="H637" s="285" t="s">
        <v>5127</v>
      </c>
      <c r="I637" s="289"/>
      <c r="J637" s="285"/>
      <c r="K637" s="289"/>
      <c r="L637" s="289"/>
      <c r="M637" s="15">
        <v>40544</v>
      </c>
      <c r="N637" s="24">
        <v>1</v>
      </c>
      <c r="O637" s="17">
        <v>18000</v>
      </c>
      <c r="P637" s="17">
        <v>18000</v>
      </c>
      <c r="Q637" s="17">
        <f t="shared" si="15"/>
        <v>0</v>
      </c>
      <c r="R637" s="285"/>
      <c r="S637" s="15"/>
      <c r="T637" s="14"/>
    </row>
    <row r="638" spans="1:22" ht="51.75" customHeight="1" x14ac:dyDescent="0.2">
      <c r="A638" s="21">
        <v>649</v>
      </c>
      <c r="B638" s="289" t="s">
        <v>4411</v>
      </c>
      <c r="C638" s="285"/>
      <c r="D638" s="9" t="s">
        <v>3892</v>
      </c>
      <c r="E638" s="22"/>
      <c r="F638" s="13" t="s">
        <v>6546</v>
      </c>
      <c r="G638" s="56" t="s">
        <v>101</v>
      </c>
      <c r="H638" s="285" t="s">
        <v>5127</v>
      </c>
      <c r="I638" s="289"/>
      <c r="J638" s="285" t="s">
        <v>9459</v>
      </c>
      <c r="K638" s="289">
        <v>2008</v>
      </c>
      <c r="L638" s="289" t="s">
        <v>1029</v>
      </c>
      <c r="M638" s="15">
        <v>39776</v>
      </c>
      <c r="N638" s="24">
        <v>1</v>
      </c>
      <c r="O638" s="17">
        <v>3495</v>
      </c>
      <c r="P638" s="17">
        <v>3495</v>
      </c>
      <c r="Q638" s="17">
        <f t="shared" si="15"/>
        <v>0</v>
      </c>
      <c r="R638" s="289" t="s">
        <v>3404</v>
      </c>
      <c r="S638" s="15">
        <v>39776</v>
      </c>
      <c r="T638" s="285">
        <v>129</v>
      </c>
    </row>
    <row r="639" spans="1:22" ht="48.75" customHeight="1" x14ac:dyDescent="0.2">
      <c r="A639" s="21">
        <v>650</v>
      </c>
      <c r="B639" s="289" t="s">
        <v>4412</v>
      </c>
      <c r="C639" s="285"/>
      <c r="D639" s="9" t="s">
        <v>4972</v>
      </c>
      <c r="E639" s="22"/>
      <c r="F639" s="13" t="s">
        <v>6547</v>
      </c>
      <c r="G639" s="56" t="s">
        <v>101</v>
      </c>
      <c r="H639" s="285" t="s">
        <v>5127</v>
      </c>
      <c r="I639" s="289"/>
      <c r="J639" s="285"/>
      <c r="K639" s="289"/>
      <c r="L639" s="289"/>
      <c r="M639" s="15">
        <v>41000</v>
      </c>
      <c r="N639" s="24">
        <v>1</v>
      </c>
      <c r="O639" s="17">
        <v>29505</v>
      </c>
      <c r="P639" s="17">
        <v>29505</v>
      </c>
      <c r="Q639" s="17">
        <f t="shared" si="15"/>
        <v>0</v>
      </c>
      <c r="R639" s="289"/>
      <c r="S639" s="15"/>
      <c r="T639" s="285"/>
    </row>
    <row r="640" spans="1:22" ht="48.75" customHeight="1" x14ac:dyDescent="0.2">
      <c r="A640" s="21">
        <v>651</v>
      </c>
      <c r="B640" s="289" t="s">
        <v>4413</v>
      </c>
      <c r="C640" s="285" t="s">
        <v>5274</v>
      </c>
      <c r="D640" s="9" t="s">
        <v>5355</v>
      </c>
      <c r="E640" s="22"/>
      <c r="F640" s="9" t="s">
        <v>10326</v>
      </c>
      <c r="G640" s="285" t="s">
        <v>7846</v>
      </c>
      <c r="H640" s="285" t="s">
        <v>5127</v>
      </c>
      <c r="I640" s="289"/>
      <c r="J640" s="285" t="s">
        <v>9459</v>
      </c>
      <c r="K640" s="289">
        <v>2008</v>
      </c>
      <c r="L640" s="289" t="s">
        <v>1029</v>
      </c>
      <c r="M640" s="15">
        <v>39771</v>
      </c>
      <c r="N640" s="24">
        <v>1</v>
      </c>
      <c r="O640" s="17">
        <v>20449</v>
      </c>
      <c r="P640" s="17">
        <v>20449</v>
      </c>
      <c r="Q640" s="17">
        <f t="shared" si="15"/>
        <v>0</v>
      </c>
      <c r="R640" s="289" t="s">
        <v>3404</v>
      </c>
      <c r="S640" s="15">
        <v>39771</v>
      </c>
      <c r="T640" s="285">
        <v>121</v>
      </c>
    </row>
    <row r="641" spans="1:20" ht="48.75" customHeight="1" x14ac:dyDescent="0.2">
      <c r="A641" s="21">
        <v>652</v>
      </c>
      <c r="B641" s="289" t="s">
        <v>4414</v>
      </c>
      <c r="C641" s="285" t="s">
        <v>5274</v>
      </c>
      <c r="D641" s="9" t="s">
        <v>1654</v>
      </c>
      <c r="E641" s="22"/>
      <c r="F641" s="13" t="s">
        <v>6509</v>
      </c>
      <c r="G641" s="285" t="s">
        <v>7846</v>
      </c>
      <c r="H641" s="285" t="s">
        <v>5127</v>
      </c>
      <c r="I641" s="289"/>
      <c r="J641" s="285" t="s">
        <v>9459</v>
      </c>
      <c r="K641" s="289">
        <v>2008</v>
      </c>
      <c r="L641" s="289" t="s">
        <v>1029</v>
      </c>
      <c r="M641" s="15">
        <v>39771</v>
      </c>
      <c r="N641" s="24">
        <v>1</v>
      </c>
      <c r="O641" s="17">
        <v>3495</v>
      </c>
      <c r="P641" s="17">
        <v>3495</v>
      </c>
      <c r="Q641" s="17">
        <f t="shared" si="15"/>
        <v>0</v>
      </c>
      <c r="R641" s="289" t="s">
        <v>3404</v>
      </c>
      <c r="S641" s="15">
        <v>39771</v>
      </c>
      <c r="T641" s="285">
        <v>121</v>
      </c>
    </row>
    <row r="642" spans="1:20" ht="64.5" customHeight="1" x14ac:dyDescent="0.2">
      <c r="A642" s="21">
        <v>653</v>
      </c>
      <c r="B642" s="289" t="s">
        <v>4415</v>
      </c>
      <c r="C642" s="285" t="s">
        <v>6325</v>
      </c>
      <c r="D642" s="9" t="s">
        <v>2146</v>
      </c>
      <c r="E642" s="22"/>
      <c r="F642" s="13" t="s">
        <v>6510</v>
      </c>
      <c r="G642" s="285" t="s">
        <v>7846</v>
      </c>
      <c r="H642" s="285" t="s">
        <v>5127</v>
      </c>
      <c r="I642" s="289"/>
      <c r="J642" s="285" t="s">
        <v>9459</v>
      </c>
      <c r="K642" s="289">
        <v>2008</v>
      </c>
      <c r="L642" s="289" t="s">
        <v>1029</v>
      </c>
      <c r="M642" s="15">
        <v>39780</v>
      </c>
      <c r="N642" s="24">
        <v>1</v>
      </c>
      <c r="O642" s="17">
        <v>3515</v>
      </c>
      <c r="P642" s="17">
        <v>3515</v>
      </c>
      <c r="Q642" s="17">
        <f t="shared" si="15"/>
        <v>0</v>
      </c>
      <c r="R642" s="285" t="s">
        <v>5071</v>
      </c>
      <c r="S642" s="15">
        <v>39780</v>
      </c>
      <c r="T642" s="285">
        <v>7665</v>
      </c>
    </row>
    <row r="643" spans="1:20" ht="63" customHeight="1" x14ac:dyDescent="0.2">
      <c r="A643" s="21">
        <v>654</v>
      </c>
      <c r="B643" s="289" t="s">
        <v>4416</v>
      </c>
      <c r="C643" s="285"/>
      <c r="D643" s="9" t="s">
        <v>3213</v>
      </c>
      <c r="E643" s="14"/>
      <c r="F643" s="13"/>
      <c r="G643" s="285" t="s">
        <v>7983</v>
      </c>
      <c r="H643" s="285" t="s">
        <v>5127</v>
      </c>
      <c r="I643" s="289"/>
      <c r="J643" s="285" t="s">
        <v>9408</v>
      </c>
      <c r="K643" s="15">
        <v>43831</v>
      </c>
      <c r="L643" s="289" t="s">
        <v>1029</v>
      </c>
      <c r="M643" s="15">
        <v>39797</v>
      </c>
      <c r="N643" s="24">
        <v>1</v>
      </c>
      <c r="O643" s="17">
        <v>9500</v>
      </c>
      <c r="P643" s="17">
        <v>9500</v>
      </c>
      <c r="Q643" s="17">
        <f t="shared" si="15"/>
        <v>0</v>
      </c>
      <c r="R643" s="285" t="s">
        <v>5071</v>
      </c>
      <c r="S643" s="15">
        <v>39797</v>
      </c>
      <c r="T643" s="285">
        <v>793</v>
      </c>
    </row>
    <row r="644" spans="1:20" ht="48.75" customHeight="1" x14ac:dyDescent="0.2">
      <c r="A644" s="21">
        <v>655</v>
      </c>
      <c r="B644" s="289" t="s">
        <v>4417</v>
      </c>
      <c r="C644" s="285"/>
      <c r="D644" s="9" t="s">
        <v>2298</v>
      </c>
      <c r="E644" s="14"/>
      <c r="F644" s="13" t="s">
        <v>2094</v>
      </c>
      <c r="G644" s="285" t="s">
        <v>7983</v>
      </c>
      <c r="H644" s="285" t="s">
        <v>5127</v>
      </c>
      <c r="I644" s="289"/>
      <c r="J644" s="285" t="s">
        <v>9408</v>
      </c>
      <c r="K644" s="15">
        <v>43831</v>
      </c>
      <c r="L644" s="289" t="s">
        <v>1029</v>
      </c>
      <c r="M644" s="15" t="s">
        <v>2546</v>
      </c>
      <c r="N644" s="24">
        <v>1</v>
      </c>
      <c r="O644" s="17">
        <v>7250</v>
      </c>
      <c r="P644" s="17">
        <v>7250</v>
      </c>
      <c r="Q644" s="17">
        <f t="shared" si="15"/>
        <v>0</v>
      </c>
      <c r="R644" s="285" t="s">
        <v>1921</v>
      </c>
      <c r="S644" s="15" t="s">
        <v>2546</v>
      </c>
      <c r="T644" s="285"/>
    </row>
    <row r="645" spans="1:20" ht="46.5" customHeight="1" x14ac:dyDescent="0.2">
      <c r="A645" s="21">
        <v>656</v>
      </c>
      <c r="B645" s="289" t="s">
        <v>4418</v>
      </c>
      <c r="C645" s="285"/>
      <c r="D645" s="9" t="s">
        <v>5330</v>
      </c>
      <c r="E645" s="14"/>
      <c r="F645" s="13"/>
      <c r="G645" s="285" t="s">
        <v>7983</v>
      </c>
      <c r="H645" s="285" t="s">
        <v>5127</v>
      </c>
      <c r="I645" s="289"/>
      <c r="J645" s="285" t="s">
        <v>9408</v>
      </c>
      <c r="K645" s="15">
        <v>43831</v>
      </c>
      <c r="L645" s="289" t="s">
        <v>1029</v>
      </c>
      <c r="M645" s="15">
        <v>39785</v>
      </c>
      <c r="N645" s="24">
        <v>1</v>
      </c>
      <c r="O645" s="17">
        <v>19000</v>
      </c>
      <c r="P645" s="17">
        <v>19000</v>
      </c>
      <c r="Q645" s="17">
        <f t="shared" si="15"/>
        <v>0</v>
      </c>
      <c r="R645" s="285" t="s">
        <v>5071</v>
      </c>
      <c r="S645" s="15">
        <v>39785</v>
      </c>
      <c r="T645" s="285">
        <v>768</v>
      </c>
    </row>
    <row r="646" spans="1:20" ht="46.5" customHeight="1" x14ac:dyDescent="0.2">
      <c r="A646" s="21">
        <v>657</v>
      </c>
      <c r="B646" s="289" t="s">
        <v>5000</v>
      </c>
      <c r="C646" s="285"/>
      <c r="D646" s="9" t="s">
        <v>362</v>
      </c>
      <c r="E646" s="22"/>
      <c r="F646" s="13" t="s">
        <v>6548</v>
      </c>
      <c r="G646" s="56" t="s">
        <v>101</v>
      </c>
      <c r="H646" s="285" t="s">
        <v>5127</v>
      </c>
      <c r="I646" s="289"/>
      <c r="J646" s="285"/>
      <c r="K646" s="289"/>
      <c r="L646" s="289"/>
      <c r="M646" s="15">
        <v>39956</v>
      </c>
      <c r="N646" s="24">
        <v>1</v>
      </c>
      <c r="O646" s="17">
        <v>7769</v>
      </c>
      <c r="P646" s="17">
        <v>7769</v>
      </c>
      <c r="Q646" s="17">
        <f t="shared" si="15"/>
        <v>0</v>
      </c>
      <c r="R646" s="285" t="s">
        <v>5071</v>
      </c>
      <c r="S646" s="15">
        <v>39827</v>
      </c>
      <c r="T646" s="285">
        <v>104</v>
      </c>
    </row>
    <row r="647" spans="1:20" ht="46.5" customHeight="1" x14ac:dyDescent="0.2">
      <c r="A647" s="21">
        <v>658</v>
      </c>
      <c r="B647" s="289" t="s">
        <v>5001</v>
      </c>
      <c r="C647" s="285"/>
      <c r="D647" s="9" t="s">
        <v>4855</v>
      </c>
      <c r="E647" s="22" t="s">
        <v>4426</v>
      </c>
      <c r="F647" s="13" t="s">
        <v>6527</v>
      </c>
      <c r="G647" s="285" t="s">
        <v>7464</v>
      </c>
      <c r="H647" s="285" t="s">
        <v>5127</v>
      </c>
      <c r="I647" s="289"/>
      <c r="J647" s="285" t="s">
        <v>10461</v>
      </c>
      <c r="K647" s="15">
        <v>44266</v>
      </c>
      <c r="L647" s="289">
        <v>168</v>
      </c>
      <c r="M647" s="15">
        <v>40243</v>
      </c>
      <c r="N647" s="33">
        <v>1</v>
      </c>
      <c r="O647" s="34">
        <v>9500</v>
      </c>
      <c r="P647" s="34">
        <v>9500</v>
      </c>
      <c r="Q647" s="34">
        <f t="shared" si="15"/>
        <v>0</v>
      </c>
      <c r="R647" s="285" t="s">
        <v>5071</v>
      </c>
      <c r="S647" s="15">
        <v>39890</v>
      </c>
      <c r="T647" s="285">
        <v>1274</v>
      </c>
    </row>
    <row r="648" spans="1:20" ht="46.5" customHeight="1" x14ac:dyDescent="0.2">
      <c r="A648" s="21">
        <v>659</v>
      </c>
      <c r="B648" s="289" t="s">
        <v>5002</v>
      </c>
      <c r="C648" s="285"/>
      <c r="D648" s="9" t="s">
        <v>5775</v>
      </c>
      <c r="E648" s="14"/>
      <c r="F648" s="13" t="s">
        <v>6308</v>
      </c>
      <c r="G648" s="285" t="s">
        <v>4296</v>
      </c>
      <c r="H648" s="285" t="s">
        <v>3793</v>
      </c>
      <c r="I648" s="289"/>
      <c r="J648" s="285" t="s">
        <v>3136</v>
      </c>
      <c r="K648" s="14">
        <v>43032</v>
      </c>
      <c r="L648" s="289">
        <v>951</v>
      </c>
      <c r="M648" s="15">
        <v>40243</v>
      </c>
      <c r="N648" s="24">
        <v>1</v>
      </c>
      <c r="O648" s="17">
        <v>43370</v>
      </c>
      <c r="P648" s="17">
        <v>43370</v>
      </c>
      <c r="Q648" s="17">
        <f t="shared" si="15"/>
        <v>0</v>
      </c>
      <c r="R648" s="285" t="s">
        <v>6307</v>
      </c>
      <c r="S648" s="15">
        <v>39860</v>
      </c>
      <c r="T648" s="285" t="s">
        <v>961</v>
      </c>
    </row>
    <row r="649" spans="1:20" ht="46.5" customHeight="1" x14ac:dyDescent="0.2">
      <c r="A649" s="21">
        <v>660</v>
      </c>
      <c r="B649" s="289" t="s">
        <v>5594</v>
      </c>
      <c r="C649" s="284"/>
      <c r="D649" s="9" t="s">
        <v>4012</v>
      </c>
      <c r="E649" s="22">
        <v>2008</v>
      </c>
      <c r="F649" s="9"/>
      <c r="G649" s="285" t="s">
        <v>7983</v>
      </c>
      <c r="H649" s="285" t="s">
        <v>5127</v>
      </c>
      <c r="I649" s="289"/>
      <c r="J649" s="285" t="s">
        <v>9408</v>
      </c>
      <c r="K649" s="15">
        <v>43831</v>
      </c>
      <c r="L649" s="289" t="s">
        <v>1029</v>
      </c>
      <c r="M649" s="15">
        <v>39956</v>
      </c>
      <c r="N649" s="24">
        <v>1</v>
      </c>
      <c r="O649" s="17">
        <v>20000</v>
      </c>
      <c r="P649" s="17">
        <v>20000</v>
      </c>
      <c r="Q649" s="17">
        <f t="shared" si="15"/>
        <v>0</v>
      </c>
      <c r="R649" s="285" t="s">
        <v>6166</v>
      </c>
      <c r="S649" s="15">
        <v>39956</v>
      </c>
      <c r="T649" s="285" t="s">
        <v>1922</v>
      </c>
    </row>
    <row r="650" spans="1:20" ht="46.5" customHeight="1" x14ac:dyDescent="0.2">
      <c r="A650" s="21">
        <v>661</v>
      </c>
      <c r="B650" s="289" t="s">
        <v>5595</v>
      </c>
      <c r="C650" s="285" t="s">
        <v>5274</v>
      </c>
      <c r="D650" s="9" t="s">
        <v>1996</v>
      </c>
      <c r="E650" s="14"/>
      <c r="F650" s="13" t="s">
        <v>6722</v>
      </c>
      <c r="G650" s="285" t="s">
        <v>4946</v>
      </c>
      <c r="H650" s="285" t="s">
        <v>5127</v>
      </c>
      <c r="I650" s="289"/>
      <c r="J650" s="285" t="s">
        <v>3132</v>
      </c>
      <c r="K650" s="14">
        <v>40403</v>
      </c>
      <c r="L650" s="285" t="s">
        <v>2320</v>
      </c>
      <c r="M650" s="15">
        <v>40243</v>
      </c>
      <c r="N650" s="24">
        <v>1</v>
      </c>
      <c r="O650" s="17">
        <v>24750</v>
      </c>
      <c r="P650" s="17">
        <v>24750</v>
      </c>
      <c r="Q650" s="17">
        <f t="shared" si="15"/>
        <v>0</v>
      </c>
      <c r="R650" s="285" t="s">
        <v>5071</v>
      </c>
      <c r="S650" s="15">
        <v>40129</v>
      </c>
      <c r="T650" s="285">
        <v>1601</v>
      </c>
    </row>
    <row r="651" spans="1:20" ht="54.75" customHeight="1" x14ac:dyDescent="0.2">
      <c r="A651" s="21">
        <v>662</v>
      </c>
      <c r="B651" s="289" t="s">
        <v>1217</v>
      </c>
      <c r="C651" s="285" t="s">
        <v>5274</v>
      </c>
      <c r="D651" s="9" t="s">
        <v>1238</v>
      </c>
      <c r="E651" s="14"/>
      <c r="F651" s="13" t="s">
        <v>5139</v>
      </c>
      <c r="G651" s="285" t="s">
        <v>4946</v>
      </c>
      <c r="H651" s="285" t="s">
        <v>5127</v>
      </c>
      <c r="I651" s="289"/>
      <c r="J651" s="285" t="s">
        <v>3132</v>
      </c>
      <c r="K651" s="14">
        <v>40403</v>
      </c>
      <c r="L651" s="285" t="s">
        <v>2320</v>
      </c>
      <c r="M651" s="15">
        <v>40243</v>
      </c>
      <c r="N651" s="24">
        <v>1</v>
      </c>
      <c r="O651" s="17">
        <v>25000</v>
      </c>
      <c r="P651" s="17">
        <v>25000</v>
      </c>
      <c r="Q651" s="17">
        <f t="shared" si="15"/>
        <v>0</v>
      </c>
      <c r="R651" s="285" t="s">
        <v>5071</v>
      </c>
      <c r="S651" s="15">
        <v>40297</v>
      </c>
      <c r="T651" s="285">
        <v>889</v>
      </c>
    </row>
    <row r="652" spans="1:20" ht="54.75" customHeight="1" x14ac:dyDescent="0.2">
      <c r="A652" s="21">
        <v>663</v>
      </c>
      <c r="B652" s="289" t="s">
        <v>3018</v>
      </c>
      <c r="C652" s="285"/>
      <c r="D652" s="9" t="s">
        <v>201</v>
      </c>
      <c r="E652" s="14">
        <v>40483</v>
      </c>
      <c r="F652" s="9" t="s">
        <v>10321</v>
      </c>
      <c r="G652" s="285" t="s">
        <v>4720</v>
      </c>
      <c r="H652" s="285" t="s">
        <v>5127</v>
      </c>
      <c r="I652" s="289"/>
      <c r="J652" s="285" t="s">
        <v>1128</v>
      </c>
      <c r="K652" s="15">
        <v>40495</v>
      </c>
      <c r="L652" s="289">
        <v>3817</v>
      </c>
      <c r="M652" s="15">
        <v>40318</v>
      </c>
      <c r="N652" s="24">
        <v>1</v>
      </c>
      <c r="O652" s="17">
        <v>49515</v>
      </c>
      <c r="P652" s="17">
        <v>49515</v>
      </c>
      <c r="Q652" s="17">
        <f t="shared" si="15"/>
        <v>0</v>
      </c>
      <c r="R652" s="285" t="s">
        <v>1562</v>
      </c>
      <c r="S652" s="14" t="s">
        <v>2273</v>
      </c>
      <c r="T652" s="285">
        <v>3817</v>
      </c>
    </row>
    <row r="653" spans="1:20" ht="54.75" customHeight="1" x14ac:dyDescent="0.2">
      <c r="A653" s="21">
        <v>664</v>
      </c>
      <c r="B653" s="289" t="s">
        <v>3019</v>
      </c>
      <c r="C653" s="285" t="s">
        <v>5274</v>
      </c>
      <c r="D653" s="9" t="s">
        <v>313</v>
      </c>
      <c r="E653" s="14">
        <v>40008</v>
      </c>
      <c r="F653" s="9" t="s">
        <v>7054</v>
      </c>
      <c r="G653" s="285" t="s">
        <v>7981</v>
      </c>
      <c r="H653" s="285" t="s">
        <v>5127</v>
      </c>
      <c r="I653" s="289"/>
      <c r="J653" s="22" t="s">
        <v>9411</v>
      </c>
      <c r="K653" s="15">
        <v>40544</v>
      </c>
      <c r="L653" s="289" t="s">
        <v>1029</v>
      </c>
      <c r="M653" s="14">
        <v>40008</v>
      </c>
      <c r="N653" s="24">
        <f>4-1</f>
        <v>3</v>
      </c>
      <c r="O653" s="17">
        <f>78400-19600</f>
        <v>58800</v>
      </c>
      <c r="P653" s="17">
        <f>78400-19600</f>
        <v>58800</v>
      </c>
      <c r="Q653" s="17">
        <f t="shared" si="15"/>
        <v>0</v>
      </c>
      <c r="R653" s="285" t="s">
        <v>5071</v>
      </c>
      <c r="S653" s="14">
        <v>40008</v>
      </c>
      <c r="T653" s="285">
        <v>122</v>
      </c>
    </row>
    <row r="654" spans="1:20" ht="33" customHeight="1" x14ac:dyDescent="0.2">
      <c r="A654" s="21">
        <v>665</v>
      </c>
      <c r="B654" s="289" t="s">
        <v>4326</v>
      </c>
      <c r="C654" s="285" t="s">
        <v>5274</v>
      </c>
      <c r="D654" s="9" t="s">
        <v>6114</v>
      </c>
      <c r="E654" s="14">
        <v>40057</v>
      </c>
      <c r="F654" s="13" t="s">
        <v>6838</v>
      </c>
      <c r="G654" s="285" t="s">
        <v>7917</v>
      </c>
      <c r="H654" s="285" t="s">
        <v>5127</v>
      </c>
      <c r="I654" s="289"/>
      <c r="J654" s="285"/>
      <c r="K654" s="289"/>
      <c r="L654" s="289"/>
      <c r="M654" s="15">
        <v>41275</v>
      </c>
      <c r="N654" s="24">
        <v>1</v>
      </c>
      <c r="O654" s="17">
        <v>64485</v>
      </c>
      <c r="P654" s="17">
        <v>64485</v>
      </c>
      <c r="Q654" s="17">
        <f t="shared" si="15"/>
        <v>0</v>
      </c>
      <c r="R654" s="285" t="s">
        <v>5071</v>
      </c>
      <c r="S654" s="14">
        <v>40022</v>
      </c>
      <c r="T654" s="285">
        <v>549</v>
      </c>
    </row>
    <row r="655" spans="1:20" ht="33" customHeight="1" x14ac:dyDescent="0.2">
      <c r="A655" s="21">
        <v>666</v>
      </c>
      <c r="B655" s="289" t="s">
        <v>1498</v>
      </c>
      <c r="C655" s="285" t="s">
        <v>5274</v>
      </c>
      <c r="D655" s="9" t="s">
        <v>313</v>
      </c>
      <c r="E655" s="14"/>
      <c r="F655" s="9" t="s">
        <v>6839</v>
      </c>
      <c r="G655" s="285" t="s">
        <v>7917</v>
      </c>
      <c r="H655" s="285" t="s">
        <v>5127</v>
      </c>
      <c r="I655" s="289"/>
      <c r="J655" s="285"/>
      <c r="K655" s="289"/>
      <c r="L655" s="289"/>
      <c r="M655" s="15">
        <v>40544</v>
      </c>
      <c r="N655" s="24">
        <v>1</v>
      </c>
      <c r="O655" s="17">
        <v>18897.32</v>
      </c>
      <c r="P655" s="17">
        <v>18897.32</v>
      </c>
      <c r="Q655" s="17">
        <f t="shared" si="15"/>
        <v>0</v>
      </c>
      <c r="R655" s="285" t="s">
        <v>5071</v>
      </c>
      <c r="S655" s="14">
        <v>40127</v>
      </c>
      <c r="T655" s="285">
        <v>1564</v>
      </c>
    </row>
    <row r="656" spans="1:20" ht="73.5" customHeight="1" x14ac:dyDescent="0.2">
      <c r="A656" s="21">
        <v>667</v>
      </c>
      <c r="B656" s="289" t="s">
        <v>1499</v>
      </c>
      <c r="C656" s="285" t="s">
        <v>5274</v>
      </c>
      <c r="D656" s="9" t="s">
        <v>313</v>
      </c>
      <c r="E656" s="15">
        <v>39722</v>
      </c>
      <c r="F656" s="9" t="s">
        <v>6938</v>
      </c>
      <c r="G656" s="285" t="s">
        <v>7982</v>
      </c>
      <c r="H656" s="285" t="s">
        <v>5127</v>
      </c>
      <c r="I656" s="289"/>
      <c r="J656" s="22" t="s">
        <v>9411</v>
      </c>
      <c r="K656" s="15">
        <v>40544</v>
      </c>
      <c r="L656" s="289" t="s">
        <v>1029</v>
      </c>
      <c r="M656" s="15">
        <v>39722</v>
      </c>
      <c r="N656" s="24">
        <v>3</v>
      </c>
      <c r="O656" s="17">
        <v>54159</v>
      </c>
      <c r="P656" s="17">
        <v>54159</v>
      </c>
      <c r="Q656" s="17">
        <f t="shared" si="15"/>
        <v>0</v>
      </c>
      <c r="R656" s="285" t="s">
        <v>5071</v>
      </c>
      <c r="S656" s="14">
        <v>39722</v>
      </c>
      <c r="T656" s="285">
        <v>6186</v>
      </c>
    </row>
    <row r="657" spans="1:20" ht="94.5" customHeight="1" x14ac:dyDescent="0.2">
      <c r="A657" s="21">
        <v>668</v>
      </c>
      <c r="B657" s="289" t="s">
        <v>1500</v>
      </c>
      <c r="C657" s="285" t="s">
        <v>5274</v>
      </c>
      <c r="D657" s="9" t="s">
        <v>201</v>
      </c>
      <c r="E657" s="14">
        <v>40116</v>
      </c>
      <c r="F657" s="9" t="s">
        <v>6998</v>
      </c>
      <c r="G657" s="285" t="s">
        <v>7977</v>
      </c>
      <c r="H657" s="285" t="s">
        <v>5127</v>
      </c>
      <c r="I657" s="289"/>
      <c r="J657" s="285" t="s">
        <v>9405</v>
      </c>
      <c r="K657" s="289">
        <v>2009</v>
      </c>
      <c r="L657" s="289" t="s">
        <v>1029</v>
      </c>
      <c r="M657" s="15">
        <v>40544</v>
      </c>
      <c r="N657" s="24">
        <v>1</v>
      </c>
      <c r="O657" s="17">
        <v>19143</v>
      </c>
      <c r="P657" s="17">
        <v>19143</v>
      </c>
      <c r="Q657" s="17">
        <f t="shared" si="15"/>
        <v>0</v>
      </c>
      <c r="R657" s="285" t="s">
        <v>5377</v>
      </c>
      <c r="S657" s="14"/>
      <c r="T657" s="285"/>
    </row>
    <row r="658" spans="1:20" ht="54.75" customHeight="1" x14ac:dyDescent="0.2">
      <c r="A658" s="21">
        <v>669</v>
      </c>
      <c r="B658" s="289" t="s">
        <v>1501</v>
      </c>
      <c r="C658" s="285"/>
      <c r="D658" s="9" t="s">
        <v>313</v>
      </c>
      <c r="E658" s="14">
        <v>40116</v>
      </c>
      <c r="F658" s="9" t="s">
        <v>10308</v>
      </c>
      <c r="G658" s="285" t="s">
        <v>792</v>
      </c>
      <c r="H658" s="285" t="s">
        <v>5127</v>
      </c>
      <c r="I658" s="289"/>
      <c r="J658" s="285"/>
      <c r="K658" s="289"/>
      <c r="L658" s="289"/>
      <c r="M658" s="15">
        <v>40544</v>
      </c>
      <c r="N658" s="24">
        <v>1</v>
      </c>
      <c r="O658" s="17">
        <v>13177.26</v>
      </c>
      <c r="P658" s="17">
        <v>13177.26</v>
      </c>
      <c r="Q658" s="17">
        <f t="shared" si="15"/>
        <v>0</v>
      </c>
      <c r="R658" s="285" t="s">
        <v>1914</v>
      </c>
      <c r="S658" s="14">
        <v>40227</v>
      </c>
      <c r="T658" s="285">
        <v>236</v>
      </c>
    </row>
    <row r="659" spans="1:20" ht="48" customHeight="1" x14ac:dyDescent="0.2">
      <c r="A659" s="21">
        <v>670</v>
      </c>
      <c r="B659" s="289" t="s">
        <v>1502</v>
      </c>
      <c r="C659" s="285"/>
      <c r="D659" s="9" t="s">
        <v>3907</v>
      </c>
      <c r="E659" s="14">
        <v>40543</v>
      </c>
      <c r="F659" s="9" t="s">
        <v>6652</v>
      </c>
      <c r="G659" s="285" t="s">
        <v>6266</v>
      </c>
      <c r="H659" s="285" t="s">
        <v>5127</v>
      </c>
      <c r="I659" s="289"/>
      <c r="J659" s="285" t="s">
        <v>9414</v>
      </c>
      <c r="K659" s="15">
        <v>40544</v>
      </c>
      <c r="L659" s="289" t="s">
        <v>1029</v>
      </c>
      <c r="M659" s="15">
        <v>41244</v>
      </c>
      <c r="N659" s="24">
        <f>4-1</f>
        <v>3</v>
      </c>
      <c r="O659" s="17">
        <f>109102.85-27275.72</f>
        <v>81827.13</v>
      </c>
      <c r="P659" s="17">
        <f>109102.85-27275.72</f>
        <v>81827.13</v>
      </c>
      <c r="Q659" s="17">
        <f t="shared" si="15"/>
        <v>0</v>
      </c>
      <c r="R659" s="285" t="s">
        <v>1914</v>
      </c>
      <c r="S659" s="14">
        <v>40470</v>
      </c>
      <c r="T659" s="285">
        <v>1585</v>
      </c>
    </row>
    <row r="660" spans="1:20" ht="48" customHeight="1" x14ac:dyDescent="0.2">
      <c r="A660" s="21">
        <v>671</v>
      </c>
      <c r="B660" s="289" t="s">
        <v>1502</v>
      </c>
      <c r="C660" s="285"/>
      <c r="D660" s="9" t="s">
        <v>3907</v>
      </c>
      <c r="E660" s="14">
        <v>40543</v>
      </c>
      <c r="F660" s="9" t="s">
        <v>6652</v>
      </c>
      <c r="G660" s="285" t="s">
        <v>7982</v>
      </c>
      <c r="H660" s="285" t="s">
        <v>5127</v>
      </c>
      <c r="I660" s="289"/>
      <c r="J660" s="285" t="s">
        <v>3136</v>
      </c>
      <c r="K660" s="15">
        <v>43600</v>
      </c>
      <c r="L660" s="289">
        <v>388</v>
      </c>
      <c r="M660" s="15">
        <v>41244</v>
      </c>
      <c r="N660" s="24">
        <v>1</v>
      </c>
      <c r="O660" s="17">
        <v>27275.72</v>
      </c>
      <c r="P660" s="17">
        <v>27275.72</v>
      </c>
      <c r="Q660" s="17">
        <f t="shared" si="15"/>
        <v>0</v>
      </c>
      <c r="R660" s="285" t="s">
        <v>1914</v>
      </c>
      <c r="S660" s="14">
        <v>40470</v>
      </c>
      <c r="T660" s="285">
        <v>1585</v>
      </c>
    </row>
    <row r="661" spans="1:20" ht="48" customHeight="1" x14ac:dyDescent="0.2">
      <c r="A661" s="21">
        <v>672</v>
      </c>
      <c r="B661" s="289" t="s">
        <v>1503</v>
      </c>
      <c r="C661" s="285"/>
      <c r="D661" s="9" t="s">
        <v>3907</v>
      </c>
      <c r="E661" s="14">
        <v>40543</v>
      </c>
      <c r="F661" s="9" t="s">
        <v>6653</v>
      </c>
      <c r="G661" s="285" t="s">
        <v>6266</v>
      </c>
      <c r="H661" s="285" t="s">
        <v>5127</v>
      </c>
      <c r="I661" s="289"/>
      <c r="J661" s="285" t="s">
        <v>9414</v>
      </c>
      <c r="K661" s="15">
        <v>40544</v>
      </c>
      <c r="L661" s="289" t="s">
        <v>1029</v>
      </c>
      <c r="M661" s="15">
        <v>41244</v>
      </c>
      <c r="N661" s="24">
        <v>2</v>
      </c>
      <c r="O661" s="17">
        <v>51780</v>
      </c>
      <c r="P661" s="17">
        <v>51780</v>
      </c>
      <c r="Q661" s="17">
        <f t="shared" si="15"/>
        <v>0</v>
      </c>
      <c r="R661" s="285" t="s">
        <v>1914</v>
      </c>
      <c r="S661" s="14">
        <v>40470</v>
      </c>
      <c r="T661" s="285">
        <v>1585</v>
      </c>
    </row>
    <row r="662" spans="1:20" ht="48" customHeight="1" x14ac:dyDescent="0.2">
      <c r="A662" s="21">
        <v>673</v>
      </c>
      <c r="B662" s="289" t="s">
        <v>1504</v>
      </c>
      <c r="C662" s="285" t="s">
        <v>5274</v>
      </c>
      <c r="D662" s="9" t="s">
        <v>3907</v>
      </c>
      <c r="E662" s="14">
        <v>40543</v>
      </c>
      <c r="F662" s="9" t="s">
        <v>6999</v>
      </c>
      <c r="G662" s="285" t="s">
        <v>7977</v>
      </c>
      <c r="H662" s="285" t="s">
        <v>5127</v>
      </c>
      <c r="I662" s="289"/>
      <c r="J662" s="285" t="s">
        <v>9405</v>
      </c>
      <c r="K662" s="289">
        <v>2009</v>
      </c>
      <c r="L662" s="289" t="s">
        <v>1029</v>
      </c>
      <c r="M662" s="15">
        <v>41244</v>
      </c>
      <c r="N662" s="24">
        <v>2</v>
      </c>
      <c r="O662" s="17">
        <v>54551.43</v>
      </c>
      <c r="P662" s="17">
        <v>54551.43</v>
      </c>
      <c r="Q662" s="17">
        <f t="shared" si="15"/>
        <v>0</v>
      </c>
      <c r="R662" s="285" t="s">
        <v>1914</v>
      </c>
      <c r="S662" s="14">
        <v>40470</v>
      </c>
      <c r="T662" s="285">
        <v>1585</v>
      </c>
    </row>
    <row r="663" spans="1:20" ht="48" customHeight="1" x14ac:dyDescent="0.2">
      <c r="A663" s="21">
        <v>674</v>
      </c>
      <c r="B663" s="289" t="s">
        <v>1505</v>
      </c>
      <c r="C663" s="285" t="s">
        <v>5274</v>
      </c>
      <c r="D663" s="9" t="s">
        <v>3907</v>
      </c>
      <c r="E663" s="14">
        <v>40543</v>
      </c>
      <c r="F663" s="9" t="s">
        <v>10309</v>
      </c>
      <c r="G663" s="285" t="s">
        <v>7934</v>
      </c>
      <c r="H663" s="285" t="s">
        <v>5127</v>
      </c>
      <c r="I663" s="289"/>
      <c r="J663" s="285"/>
      <c r="K663" s="289"/>
      <c r="L663" s="289"/>
      <c r="M663" s="15">
        <v>41244</v>
      </c>
      <c r="N663" s="24">
        <v>2</v>
      </c>
      <c r="O663" s="17">
        <v>54551.43</v>
      </c>
      <c r="P663" s="17">
        <v>54551.43</v>
      </c>
      <c r="Q663" s="17">
        <f t="shared" si="15"/>
        <v>0</v>
      </c>
      <c r="R663" s="285" t="s">
        <v>1914</v>
      </c>
      <c r="S663" s="14">
        <v>40470</v>
      </c>
      <c r="T663" s="285">
        <v>1585</v>
      </c>
    </row>
    <row r="664" spans="1:20" ht="54.75" customHeight="1" x14ac:dyDescent="0.2">
      <c r="A664" s="21">
        <v>675</v>
      </c>
      <c r="B664" s="289" t="s">
        <v>1506</v>
      </c>
      <c r="C664" s="285" t="s">
        <v>5274</v>
      </c>
      <c r="D664" s="9" t="s">
        <v>3907</v>
      </c>
      <c r="E664" s="14">
        <v>40543</v>
      </c>
      <c r="F664" s="9" t="s">
        <v>6888</v>
      </c>
      <c r="G664" s="285" t="s">
        <v>515</v>
      </c>
      <c r="H664" s="285" t="s">
        <v>5127</v>
      </c>
      <c r="I664" s="289"/>
      <c r="J664" s="285"/>
      <c r="K664" s="289"/>
      <c r="L664" s="289"/>
      <c r="M664" s="15">
        <v>41244</v>
      </c>
      <c r="N664" s="24">
        <v>2</v>
      </c>
      <c r="O664" s="17">
        <v>54551.43</v>
      </c>
      <c r="P664" s="17">
        <v>54551.43</v>
      </c>
      <c r="Q664" s="17">
        <f t="shared" si="15"/>
        <v>0</v>
      </c>
      <c r="R664" s="285" t="s">
        <v>1914</v>
      </c>
      <c r="S664" s="14">
        <v>40470</v>
      </c>
      <c r="T664" s="285">
        <v>1585</v>
      </c>
    </row>
    <row r="665" spans="1:20" ht="54.75" customHeight="1" x14ac:dyDescent="0.2">
      <c r="A665" s="21">
        <v>676</v>
      </c>
      <c r="B665" s="289" t="s">
        <v>1507</v>
      </c>
      <c r="C665" s="285" t="s">
        <v>5274</v>
      </c>
      <c r="D665" s="9" t="s">
        <v>3907</v>
      </c>
      <c r="E665" s="14">
        <v>40543</v>
      </c>
      <c r="F665" s="9" t="s">
        <v>6771</v>
      </c>
      <c r="G665" s="285" t="s">
        <v>7967</v>
      </c>
      <c r="H665" s="285" t="s">
        <v>5127</v>
      </c>
      <c r="I665" s="289"/>
      <c r="J665" s="285"/>
      <c r="K665" s="289"/>
      <c r="L665" s="289"/>
      <c r="M665" s="15">
        <v>41244</v>
      </c>
      <c r="N665" s="24">
        <v>2</v>
      </c>
      <c r="O665" s="17">
        <v>54551.43</v>
      </c>
      <c r="P665" s="17">
        <v>54551.43</v>
      </c>
      <c r="Q665" s="17">
        <f t="shared" si="15"/>
        <v>0</v>
      </c>
      <c r="R665" s="285" t="s">
        <v>1914</v>
      </c>
      <c r="S665" s="14">
        <v>40470</v>
      </c>
      <c r="T665" s="285">
        <v>1585</v>
      </c>
    </row>
    <row r="666" spans="1:20" ht="54.75" customHeight="1" x14ac:dyDescent="0.2">
      <c r="A666" s="21">
        <v>677</v>
      </c>
      <c r="B666" s="289" t="s">
        <v>6139</v>
      </c>
      <c r="C666" s="285" t="s">
        <v>5274</v>
      </c>
      <c r="D666" s="9" t="s">
        <v>3907</v>
      </c>
      <c r="E666" s="14">
        <v>40543</v>
      </c>
      <c r="F666" s="9" t="s">
        <v>7089</v>
      </c>
      <c r="G666" s="285" t="s">
        <v>792</v>
      </c>
      <c r="H666" s="285" t="s">
        <v>5127</v>
      </c>
      <c r="I666" s="289"/>
      <c r="J666" s="285"/>
      <c r="K666" s="289"/>
      <c r="L666" s="289"/>
      <c r="M666" s="15">
        <v>41275</v>
      </c>
      <c r="N666" s="24">
        <v>2</v>
      </c>
      <c r="O666" s="17">
        <v>54551.43</v>
      </c>
      <c r="P666" s="17">
        <v>54551.43</v>
      </c>
      <c r="Q666" s="17">
        <f t="shared" si="15"/>
        <v>0</v>
      </c>
      <c r="R666" s="285" t="s">
        <v>1914</v>
      </c>
      <c r="S666" s="14">
        <v>40470</v>
      </c>
      <c r="T666" s="285">
        <v>1585</v>
      </c>
    </row>
    <row r="667" spans="1:20" ht="33" customHeight="1" x14ac:dyDescent="0.2">
      <c r="A667" s="21">
        <v>678</v>
      </c>
      <c r="B667" s="289" t="s">
        <v>6140</v>
      </c>
      <c r="C667" s="284" t="s">
        <v>5274</v>
      </c>
      <c r="D667" s="9" t="s">
        <v>1731</v>
      </c>
      <c r="E667" s="14">
        <v>40543</v>
      </c>
      <c r="F667" s="13" t="s">
        <v>6840</v>
      </c>
      <c r="G667" s="285" t="s">
        <v>7917</v>
      </c>
      <c r="H667" s="285" t="s">
        <v>5127</v>
      </c>
      <c r="I667" s="289"/>
      <c r="J667" s="285"/>
      <c r="K667" s="289"/>
      <c r="L667" s="289"/>
      <c r="M667" s="15">
        <v>40544</v>
      </c>
      <c r="N667" s="24">
        <v>1</v>
      </c>
      <c r="O667" s="17">
        <v>11828</v>
      </c>
      <c r="P667" s="17">
        <v>11828</v>
      </c>
      <c r="Q667" s="17">
        <f t="shared" si="15"/>
        <v>0</v>
      </c>
      <c r="R667" s="285" t="s">
        <v>1914</v>
      </c>
      <c r="S667" s="14">
        <v>40529</v>
      </c>
      <c r="T667" s="285" t="s">
        <v>2772</v>
      </c>
    </row>
    <row r="668" spans="1:20" ht="63.75" customHeight="1" x14ac:dyDescent="0.2">
      <c r="A668" s="21">
        <v>679</v>
      </c>
      <c r="B668" s="289" t="s">
        <v>6141</v>
      </c>
      <c r="C668" s="285" t="s">
        <v>5274</v>
      </c>
      <c r="D668" s="9" t="s">
        <v>4715</v>
      </c>
      <c r="E668" s="14">
        <v>40543</v>
      </c>
      <c r="F668" s="13" t="s">
        <v>6654</v>
      </c>
      <c r="G668" s="285" t="s">
        <v>6266</v>
      </c>
      <c r="H668" s="285" t="s">
        <v>5127</v>
      </c>
      <c r="I668" s="289"/>
      <c r="J668" s="285"/>
      <c r="K668" s="289"/>
      <c r="L668" s="289"/>
      <c r="M668" s="15">
        <v>40544</v>
      </c>
      <c r="N668" s="24">
        <v>1</v>
      </c>
      <c r="O668" s="17">
        <v>18650</v>
      </c>
      <c r="P668" s="17">
        <v>18650</v>
      </c>
      <c r="Q668" s="17">
        <f t="shared" si="15"/>
        <v>0</v>
      </c>
      <c r="R668" s="285" t="s">
        <v>4677</v>
      </c>
      <c r="S668" s="14">
        <v>40172</v>
      </c>
      <c r="T668" s="285">
        <v>1943</v>
      </c>
    </row>
    <row r="669" spans="1:20" ht="54.75" customHeight="1" x14ac:dyDescent="0.2">
      <c r="A669" s="21">
        <v>680</v>
      </c>
      <c r="B669" s="289" t="s">
        <v>4458</v>
      </c>
      <c r="C669" s="285" t="s">
        <v>5274</v>
      </c>
      <c r="D669" s="9" t="s">
        <v>4223</v>
      </c>
      <c r="E669" s="14">
        <v>40178</v>
      </c>
      <c r="F669" s="13" t="s">
        <v>6939</v>
      </c>
      <c r="G669" s="285" t="s">
        <v>7982</v>
      </c>
      <c r="H669" s="285" t="s">
        <v>5127</v>
      </c>
      <c r="I669" s="289"/>
      <c r="J669" s="22" t="s">
        <v>9411</v>
      </c>
      <c r="K669" s="15">
        <v>40544</v>
      </c>
      <c r="L669" s="289" t="s">
        <v>1029</v>
      </c>
      <c r="M669" s="15">
        <v>40116</v>
      </c>
      <c r="N669" s="24">
        <v>1</v>
      </c>
      <c r="O669" s="17">
        <v>13832</v>
      </c>
      <c r="P669" s="17">
        <v>13832</v>
      </c>
      <c r="Q669" s="17">
        <f t="shared" si="15"/>
        <v>0</v>
      </c>
      <c r="R669" s="285" t="s">
        <v>4677</v>
      </c>
      <c r="S669" s="14">
        <v>40086</v>
      </c>
      <c r="T669" s="285">
        <v>1213</v>
      </c>
    </row>
    <row r="670" spans="1:20" ht="72" customHeight="1" x14ac:dyDescent="0.2">
      <c r="A670" s="21">
        <v>681</v>
      </c>
      <c r="B670" s="289" t="s">
        <v>4459</v>
      </c>
      <c r="C670" s="285"/>
      <c r="D670" s="9" t="s">
        <v>4613</v>
      </c>
      <c r="E670" s="14"/>
      <c r="F670" s="9" t="s">
        <v>6723</v>
      </c>
      <c r="G670" s="285" t="s">
        <v>4946</v>
      </c>
      <c r="H670" s="285" t="s">
        <v>5127</v>
      </c>
      <c r="I670" s="289"/>
      <c r="J670" s="285" t="s">
        <v>3136</v>
      </c>
      <c r="K670" s="15">
        <v>42156</v>
      </c>
      <c r="L670" s="289">
        <v>449</v>
      </c>
      <c r="M670" s="15">
        <v>42156</v>
      </c>
      <c r="N670" s="24">
        <v>1</v>
      </c>
      <c r="O670" s="17">
        <v>19360</v>
      </c>
      <c r="P670" s="17">
        <v>19360</v>
      </c>
      <c r="Q670" s="17">
        <f t="shared" si="15"/>
        <v>0</v>
      </c>
      <c r="R670" s="285" t="s">
        <v>4677</v>
      </c>
      <c r="S670" s="15">
        <v>40394</v>
      </c>
      <c r="T670" s="285">
        <v>1459</v>
      </c>
    </row>
    <row r="671" spans="1:20" ht="72" customHeight="1" x14ac:dyDescent="0.2">
      <c r="A671" s="21">
        <v>682</v>
      </c>
      <c r="B671" s="289" t="s">
        <v>4460</v>
      </c>
      <c r="C671" s="289"/>
      <c r="D671" s="9" t="s">
        <v>24</v>
      </c>
      <c r="E671" s="22"/>
      <c r="F671" s="13" t="s">
        <v>6562</v>
      </c>
      <c r="G671" s="285" t="s">
        <v>7464</v>
      </c>
      <c r="H671" s="285" t="s">
        <v>5127</v>
      </c>
      <c r="I671" s="289"/>
      <c r="J671" s="22"/>
      <c r="K671" s="289"/>
      <c r="L671" s="289"/>
      <c r="M671" s="15">
        <v>42156</v>
      </c>
      <c r="N671" s="24">
        <v>1</v>
      </c>
      <c r="O671" s="17">
        <v>10939</v>
      </c>
      <c r="P671" s="17">
        <v>10939</v>
      </c>
      <c r="Q671" s="17">
        <f t="shared" si="15"/>
        <v>0</v>
      </c>
      <c r="R671" s="285" t="s">
        <v>4677</v>
      </c>
      <c r="S671" s="15">
        <v>40380</v>
      </c>
      <c r="T671" s="284">
        <v>563</v>
      </c>
    </row>
    <row r="672" spans="1:20" ht="72" customHeight="1" x14ac:dyDescent="0.2">
      <c r="A672" s="21">
        <v>683</v>
      </c>
      <c r="B672" s="289" t="s">
        <v>4461</v>
      </c>
      <c r="C672" s="289"/>
      <c r="D672" s="9" t="s">
        <v>4710</v>
      </c>
      <c r="E672" s="22"/>
      <c r="F672" s="13" t="s">
        <v>6563</v>
      </c>
      <c r="G672" s="285" t="s">
        <v>7464</v>
      </c>
      <c r="H672" s="285" t="s">
        <v>5127</v>
      </c>
      <c r="I672" s="289"/>
      <c r="J672" s="22" t="s">
        <v>3136</v>
      </c>
      <c r="K672" s="15">
        <v>41561</v>
      </c>
      <c r="L672" s="289">
        <v>988</v>
      </c>
      <c r="M672" s="15">
        <v>42156</v>
      </c>
      <c r="N672" s="24">
        <v>1</v>
      </c>
      <c r="O672" s="17">
        <v>15376</v>
      </c>
      <c r="P672" s="17">
        <v>15376</v>
      </c>
      <c r="Q672" s="17">
        <f t="shared" si="15"/>
        <v>0</v>
      </c>
      <c r="R672" s="285" t="s">
        <v>4677</v>
      </c>
      <c r="S672" s="15">
        <v>40389</v>
      </c>
      <c r="T672" s="285">
        <v>598</v>
      </c>
    </row>
    <row r="673" spans="1:20" ht="72" customHeight="1" x14ac:dyDescent="0.2">
      <c r="A673" s="21">
        <v>684</v>
      </c>
      <c r="B673" s="289" t="s">
        <v>4462</v>
      </c>
      <c r="C673" s="289"/>
      <c r="D673" s="9" t="s">
        <v>313</v>
      </c>
      <c r="E673" s="14"/>
      <c r="F673" s="9" t="s">
        <v>1030</v>
      </c>
      <c r="G673" s="285" t="s">
        <v>6266</v>
      </c>
      <c r="H673" s="285" t="s">
        <v>5127</v>
      </c>
      <c r="I673" s="289"/>
      <c r="J673" s="22"/>
      <c r="K673" s="289"/>
      <c r="L673" s="289"/>
      <c r="M673" s="15">
        <v>40544</v>
      </c>
      <c r="N673" s="24">
        <v>1</v>
      </c>
      <c r="O673" s="17">
        <v>19789</v>
      </c>
      <c r="P673" s="17">
        <v>19789</v>
      </c>
      <c r="Q673" s="17">
        <f t="shared" si="15"/>
        <v>0</v>
      </c>
      <c r="R673" s="285" t="s">
        <v>4677</v>
      </c>
      <c r="S673" s="15">
        <v>39489</v>
      </c>
      <c r="T673" s="285">
        <v>8003</v>
      </c>
    </row>
    <row r="674" spans="1:20" ht="72" customHeight="1" x14ac:dyDescent="0.2">
      <c r="A674" s="21">
        <v>685</v>
      </c>
      <c r="B674" s="289" t="s">
        <v>4463</v>
      </c>
      <c r="C674" s="289"/>
      <c r="D674" s="9" t="s">
        <v>19</v>
      </c>
      <c r="E674" s="15">
        <v>37559</v>
      </c>
      <c r="F674" s="13" t="s">
        <v>6940</v>
      </c>
      <c r="G674" s="285" t="s">
        <v>7982</v>
      </c>
      <c r="H674" s="285" t="s">
        <v>5127</v>
      </c>
      <c r="I674" s="289"/>
      <c r="J674" s="22" t="s">
        <v>9411</v>
      </c>
      <c r="K674" s="15">
        <v>40544</v>
      </c>
      <c r="L674" s="289" t="s">
        <v>1029</v>
      </c>
      <c r="M674" s="15">
        <v>37559</v>
      </c>
      <c r="N674" s="24">
        <v>3</v>
      </c>
      <c r="O674" s="17">
        <v>50619.76</v>
      </c>
      <c r="P674" s="17">
        <v>50619.76</v>
      </c>
      <c r="Q674" s="17">
        <f t="shared" si="15"/>
        <v>0</v>
      </c>
      <c r="R674" s="285" t="s">
        <v>1017</v>
      </c>
      <c r="S674" s="15"/>
      <c r="T674" s="285"/>
    </row>
    <row r="675" spans="1:20" ht="72" customHeight="1" x14ac:dyDescent="0.2">
      <c r="A675" s="21">
        <v>686</v>
      </c>
      <c r="B675" s="289" t="s">
        <v>6014</v>
      </c>
      <c r="C675" s="289"/>
      <c r="D675" s="9" t="s">
        <v>3085</v>
      </c>
      <c r="E675" s="15">
        <v>40768</v>
      </c>
      <c r="F675" s="13"/>
      <c r="G675" s="285" t="s">
        <v>7983</v>
      </c>
      <c r="H675" s="285" t="s">
        <v>5127</v>
      </c>
      <c r="I675" s="289"/>
      <c r="J675" s="285" t="s">
        <v>9408</v>
      </c>
      <c r="K675" s="15">
        <v>43831</v>
      </c>
      <c r="L675" s="289" t="s">
        <v>1029</v>
      </c>
      <c r="M675" s="15">
        <v>40243</v>
      </c>
      <c r="N675" s="24">
        <v>1</v>
      </c>
      <c r="O675" s="17">
        <v>31150</v>
      </c>
      <c r="P675" s="17">
        <v>31150</v>
      </c>
      <c r="Q675" s="17">
        <f t="shared" si="15"/>
        <v>0</v>
      </c>
      <c r="R675" s="285" t="s">
        <v>3405</v>
      </c>
      <c r="S675" s="15">
        <v>40243</v>
      </c>
      <c r="T675" s="285">
        <v>63</v>
      </c>
    </row>
    <row r="676" spans="1:20" ht="72" customHeight="1" x14ac:dyDescent="0.2">
      <c r="A676" s="21">
        <v>687</v>
      </c>
      <c r="B676" s="289" t="s">
        <v>3363</v>
      </c>
      <c r="C676" s="289"/>
      <c r="D676" s="9" t="s">
        <v>2820</v>
      </c>
      <c r="E676" s="15">
        <v>40583</v>
      </c>
      <c r="F676" s="13"/>
      <c r="G676" s="285" t="s">
        <v>7983</v>
      </c>
      <c r="H676" s="285" t="s">
        <v>5127</v>
      </c>
      <c r="I676" s="289"/>
      <c r="J676" s="285" t="s">
        <v>9408</v>
      </c>
      <c r="K676" s="15">
        <v>43831</v>
      </c>
      <c r="L676" s="289" t="s">
        <v>1029</v>
      </c>
      <c r="M676" s="15">
        <v>40243</v>
      </c>
      <c r="N676" s="24">
        <v>1</v>
      </c>
      <c r="O676" s="17">
        <v>11354</v>
      </c>
      <c r="P676" s="17">
        <v>11354</v>
      </c>
      <c r="Q676" s="17">
        <f t="shared" si="15"/>
        <v>0</v>
      </c>
      <c r="R676" s="285" t="s">
        <v>3405</v>
      </c>
      <c r="S676" s="15">
        <v>40243</v>
      </c>
      <c r="T676" s="285">
        <v>63</v>
      </c>
    </row>
    <row r="677" spans="1:20" ht="67.5" customHeight="1" x14ac:dyDescent="0.2">
      <c r="A677" s="21">
        <v>688</v>
      </c>
      <c r="B677" s="289" t="s">
        <v>3364</v>
      </c>
      <c r="C677" s="289"/>
      <c r="D677" s="9" t="s">
        <v>3887</v>
      </c>
      <c r="E677" s="15">
        <v>40817</v>
      </c>
      <c r="F677" s="13"/>
      <c r="G677" s="285" t="s">
        <v>7983</v>
      </c>
      <c r="H677" s="285" t="s">
        <v>5127</v>
      </c>
      <c r="I677" s="289"/>
      <c r="J677" s="285" t="s">
        <v>9408</v>
      </c>
      <c r="K677" s="15">
        <v>43831</v>
      </c>
      <c r="L677" s="289" t="s">
        <v>1029</v>
      </c>
      <c r="M677" s="15">
        <v>40318</v>
      </c>
      <c r="N677" s="24">
        <v>1</v>
      </c>
      <c r="O677" s="17">
        <v>15697</v>
      </c>
      <c r="P677" s="17">
        <v>15697</v>
      </c>
      <c r="Q677" s="17">
        <f t="shared" si="15"/>
        <v>0</v>
      </c>
      <c r="R677" s="285" t="s">
        <v>3405</v>
      </c>
      <c r="S677" s="15">
        <v>40318</v>
      </c>
      <c r="T677" s="285">
        <v>111</v>
      </c>
    </row>
    <row r="678" spans="1:20" ht="67.5" customHeight="1" x14ac:dyDescent="0.2">
      <c r="A678" s="21">
        <v>689</v>
      </c>
      <c r="B678" s="289" t="s">
        <v>5788</v>
      </c>
      <c r="C678" s="289"/>
      <c r="D678" s="9" t="s">
        <v>5870</v>
      </c>
      <c r="E678" s="15">
        <v>41234</v>
      </c>
      <c r="F678" s="13"/>
      <c r="G678" s="285" t="s">
        <v>7983</v>
      </c>
      <c r="H678" s="285" t="s">
        <v>5127</v>
      </c>
      <c r="I678" s="289"/>
      <c r="J678" s="285" t="s">
        <v>9408</v>
      </c>
      <c r="K678" s="15">
        <v>43831</v>
      </c>
      <c r="L678" s="289" t="s">
        <v>1029</v>
      </c>
      <c r="M678" s="15">
        <v>40493</v>
      </c>
      <c r="N678" s="24">
        <v>3</v>
      </c>
      <c r="O678" s="17">
        <v>37116</v>
      </c>
      <c r="P678" s="17">
        <v>37116</v>
      </c>
      <c r="Q678" s="17">
        <f t="shared" ref="Q678:Q709" si="16">O678-P678</f>
        <v>0</v>
      </c>
      <c r="R678" s="285" t="s">
        <v>5791</v>
      </c>
      <c r="S678" s="15">
        <v>40493</v>
      </c>
      <c r="T678" s="285">
        <v>406</v>
      </c>
    </row>
    <row r="679" spans="1:20" ht="47.25" customHeight="1" x14ac:dyDescent="0.2">
      <c r="A679" s="21">
        <v>690</v>
      </c>
      <c r="B679" s="289" t="s">
        <v>5789</v>
      </c>
      <c r="C679" s="289"/>
      <c r="D679" s="9" t="s">
        <v>1953</v>
      </c>
      <c r="E679" s="15">
        <v>40926</v>
      </c>
      <c r="F679" s="9" t="s">
        <v>9133</v>
      </c>
      <c r="G679" s="56" t="s">
        <v>101</v>
      </c>
      <c r="H679" s="285" t="s">
        <v>5127</v>
      </c>
      <c r="I679" s="289"/>
      <c r="J679" s="22" t="s">
        <v>3136</v>
      </c>
      <c r="K679" s="15">
        <v>40603</v>
      </c>
      <c r="L679" s="289">
        <v>136</v>
      </c>
      <c r="M679" s="15">
        <v>41198</v>
      </c>
      <c r="N679" s="24">
        <v>1</v>
      </c>
      <c r="O679" s="17">
        <v>47840</v>
      </c>
      <c r="P679" s="17">
        <v>47840</v>
      </c>
      <c r="Q679" s="17">
        <f t="shared" si="16"/>
        <v>0</v>
      </c>
      <c r="R679" s="285"/>
      <c r="S679" s="15"/>
      <c r="T679" s="285"/>
    </row>
    <row r="680" spans="1:20" ht="67.5" customHeight="1" x14ac:dyDescent="0.2">
      <c r="A680" s="21">
        <v>691</v>
      </c>
      <c r="B680" s="289" t="s">
        <v>2171</v>
      </c>
      <c r="C680" s="289"/>
      <c r="D680" s="9" t="s">
        <v>272</v>
      </c>
      <c r="E680" s="15">
        <v>40925</v>
      </c>
      <c r="F680" s="9" t="s">
        <v>10322</v>
      </c>
      <c r="G680" s="285" t="s">
        <v>4720</v>
      </c>
      <c r="H680" s="285" t="s">
        <v>5127</v>
      </c>
      <c r="I680" s="289"/>
      <c r="J680" s="22" t="s">
        <v>3136</v>
      </c>
      <c r="K680" s="15">
        <v>40660</v>
      </c>
      <c r="L680" s="289">
        <v>496</v>
      </c>
      <c r="M680" s="15">
        <v>40544</v>
      </c>
      <c r="N680" s="24">
        <v>1</v>
      </c>
      <c r="O680" s="17">
        <v>318160</v>
      </c>
      <c r="P680" s="17">
        <v>318160</v>
      </c>
      <c r="Q680" s="17">
        <f t="shared" si="16"/>
        <v>0</v>
      </c>
      <c r="R680" s="285" t="s">
        <v>309</v>
      </c>
      <c r="S680" s="15">
        <v>40564</v>
      </c>
      <c r="T680" s="285">
        <v>62</v>
      </c>
    </row>
    <row r="681" spans="1:20" ht="67.5" customHeight="1" x14ac:dyDescent="0.2">
      <c r="A681" s="21">
        <v>692</v>
      </c>
      <c r="B681" s="289" t="s">
        <v>2172</v>
      </c>
      <c r="C681" s="289"/>
      <c r="D681" s="9" t="s">
        <v>4975</v>
      </c>
      <c r="E681" s="15">
        <v>41244</v>
      </c>
      <c r="F681" s="9" t="s">
        <v>2247</v>
      </c>
      <c r="G681" s="285" t="s">
        <v>4296</v>
      </c>
      <c r="H681" s="285" t="s">
        <v>3793</v>
      </c>
      <c r="I681" s="289"/>
      <c r="J681" s="285" t="s">
        <v>3136</v>
      </c>
      <c r="K681" s="14">
        <v>43032</v>
      </c>
      <c r="L681" s="289">
        <v>951</v>
      </c>
      <c r="M681" s="15">
        <v>40909</v>
      </c>
      <c r="N681" s="24">
        <v>1</v>
      </c>
      <c r="O681" s="17">
        <v>22215</v>
      </c>
      <c r="P681" s="17">
        <v>22215</v>
      </c>
      <c r="Q681" s="17">
        <f t="shared" si="16"/>
        <v>0</v>
      </c>
      <c r="R681" s="285" t="s">
        <v>5071</v>
      </c>
      <c r="S681" s="15">
        <v>40666</v>
      </c>
      <c r="T681" s="285">
        <v>470</v>
      </c>
    </row>
    <row r="682" spans="1:20" ht="66.75" customHeight="1" x14ac:dyDescent="0.2">
      <c r="A682" s="21">
        <v>693</v>
      </c>
      <c r="B682" s="289" t="s">
        <v>6127</v>
      </c>
      <c r="C682" s="289"/>
      <c r="D682" s="9" t="s">
        <v>2007</v>
      </c>
      <c r="E682" s="14"/>
      <c r="F682" s="9" t="s">
        <v>2247</v>
      </c>
      <c r="G682" s="285" t="s">
        <v>4296</v>
      </c>
      <c r="H682" s="285" t="s">
        <v>3793</v>
      </c>
      <c r="I682" s="289"/>
      <c r="J682" s="285" t="s">
        <v>3136</v>
      </c>
      <c r="K682" s="14">
        <v>43032</v>
      </c>
      <c r="L682" s="289">
        <v>951</v>
      </c>
      <c r="M682" s="15">
        <v>40909</v>
      </c>
      <c r="N682" s="24">
        <v>1</v>
      </c>
      <c r="O682" s="17">
        <v>20209</v>
      </c>
      <c r="P682" s="17">
        <v>20209</v>
      </c>
      <c r="Q682" s="17">
        <f t="shared" si="16"/>
        <v>0</v>
      </c>
      <c r="R682" s="285" t="s">
        <v>5071</v>
      </c>
      <c r="S682" s="15">
        <v>40666</v>
      </c>
      <c r="T682" s="285">
        <v>470</v>
      </c>
    </row>
    <row r="683" spans="1:20" ht="66.75" customHeight="1" x14ac:dyDescent="0.2">
      <c r="A683" s="21">
        <v>694</v>
      </c>
      <c r="B683" s="289" t="s">
        <v>4053</v>
      </c>
      <c r="C683" s="285" t="s">
        <v>5274</v>
      </c>
      <c r="D683" s="9" t="s">
        <v>313</v>
      </c>
      <c r="E683" s="14"/>
      <c r="F683" s="9" t="s">
        <v>824</v>
      </c>
      <c r="G683" s="285" t="s">
        <v>515</v>
      </c>
      <c r="H683" s="285" t="s">
        <v>5127</v>
      </c>
      <c r="I683" s="289"/>
      <c r="J683" s="285"/>
      <c r="K683" s="289"/>
      <c r="L683" s="289"/>
      <c r="M683" s="15">
        <v>41000</v>
      </c>
      <c r="N683" s="24">
        <v>1</v>
      </c>
      <c r="O683" s="17">
        <v>13931</v>
      </c>
      <c r="P683" s="17">
        <v>13931</v>
      </c>
      <c r="Q683" s="17">
        <f t="shared" si="16"/>
        <v>0</v>
      </c>
      <c r="R683" s="285" t="s">
        <v>5071</v>
      </c>
      <c r="S683" s="14">
        <v>40711</v>
      </c>
      <c r="T683" s="285">
        <v>3348</v>
      </c>
    </row>
    <row r="684" spans="1:20" ht="33" customHeight="1" x14ac:dyDescent="0.2">
      <c r="A684" s="21">
        <v>695</v>
      </c>
      <c r="B684" s="289" t="s">
        <v>4367</v>
      </c>
      <c r="C684" s="285" t="s">
        <v>5274</v>
      </c>
      <c r="D684" s="9" t="s">
        <v>875</v>
      </c>
      <c r="E684" s="14"/>
      <c r="F684" s="9" t="s">
        <v>6841</v>
      </c>
      <c r="G684" s="285" t="s">
        <v>7917</v>
      </c>
      <c r="H684" s="285" t="s">
        <v>5127</v>
      </c>
      <c r="I684" s="289"/>
      <c r="J684" s="22"/>
      <c r="K684" s="289"/>
      <c r="L684" s="289"/>
      <c r="M684" s="15">
        <v>41000</v>
      </c>
      <c r="N684" s="24">
        <v>1</v>
      </c>
      <c r="O684" s="17">
        <v>20200</v>
      </c>
      <c r="P684" s="17">
        <v>20200</v>
      </c>
      <c r="Q684" s="17">
        <f t="shared" si="16"/>
        <v>0</v>
      </c>
      <c r="R684" s="285" t="s">
        <v>5071</v>
      </c>
      <c r="S684" s="15">
        <v>40611</v>
      </c>
      <c r="T684" s="285">
        <v>41</v>
      </c>
    </row>
    <row r="685" spans="1:20" ht="45" customHeight="1" x14ac:dyDescent="0.2">
      <c r="A685" s="21">
        <v>696</v>
      </c>
      <c r="B685" s="289" t="s">
        <v>2259</v>
      </c>
      <c r="C685" s="285" t="s">
        <v>5274</v>
      </c>
      <c r="D685" s="9" t="s">
        <v>313</v>
      </c>
      <c r="E685" s="14"/>
      <c r="F685" s="9" t="s">
        <v>6842</v>
      </c>
      <c r="G685" s="285" t="s">
        <v>7917</v>
      </c>
      <c r="H685" s="285" t="s">
        <v>5127</v>
      </c>
      <c r="I685" s="289"/>
      <c r="J685" s="285"/>
      <c r="K685" s="289"/>
      <c r="L685" s="289"/>
      <c r="M685" s="15">
        <v>41000</v>
      </c>
      <c r="N685" s="24">
        <v>1</v>
      </c>
      <c r="O685" s="17">
        <v>18810</v>
      </c>
      <c r="P685" s="17">
        <v>18810</v>
      </c>
      <c r="Q685" s="17">
        <f t="shared" si="16"/>
        <v>0</v>
      </c>
      <c r="R685" s="285" t="s">
        <v>5071</v>
      </c>
      <c r="S685" s="14">
        <v>40701</v>
      </c>
      <c r="T685" s="285">
        <v>998</v>
      </c>
    </row>
    <row r="686" spans="1:20" ht="45" customHeight="1" x14ac:dyDescent="0.2">
      <c r="A686" s="21">
        <v>697</v>
      </c>
      <c r="B686" s="289" t="s">
        <v>2260</v>
      </c>
      <c r="C686" s="285" t="s">
        <v>5274</v>
      </c>
      <c r="D686" s="9" t="s">
        <v>313</v>
      </c>
      <c r="E686" s="14"/>
      <c r="F686" s="9" t="s">
        <v>6843</v>
      </c>
      <c r="G686" s="285" t="s">
        <v>7917</v>
      </c>
      <c r="H686" s="285" t="s">
        <v>5127</v>
      </c>
      <c r="I686" s="289"/>
      <c r="J686" s="285"/>
      <c r="K686" s="289"/>
      <c r="L686" s="289"/>
      <c r="M686" s="15">
        <v>41000</v>
      </c>
      <c r="N686" s="24">
        <v>1</v>
      </c>
      <c r="O686" s="17">
        <v>21655.88</v>
      </c>
      <c r="P686" s="17">
        <v>21655.88</v>
      </c>
      <c r="Q686" s="17">
        <f t="shared" si="16"/>
        <v>0</v>
      </c>
      <c r="R686" s="285" t="s">
        <v>1914</v>
      </c>
      <c r="S686" s="14">
        <v>40646</v>
      </c>
      <c r="T686" s="285">
        <v>332</v>
      </c>
    </row>
    <row r="687" spans="1:20" ht="75.75" customHeight="1" x14ac:dyDescent="0.2">
      <c r="A687" s="21">
        <v>698</v>
      </c>
      <c r="B687" s="289" t="s">
        <v>6047</v>
      </c>
      <c r="C687" s="289"/>
      <c r="D687" s="9" t="s">
        <v>5226</v>
      </c>
      <c r="E687" s="22"/>
      <c r="F687" s="13" t="s">
        <v>6564</v>
      </c>
      <c r="G687" s="285" t="s">
        <v>7464</v>
      </c>
      <c r="H687" s="285" t="s">
        <v>5127</v>
      </c>
      <c r="I687" s="289"/>
      <c r="J687" s="22" t="s">
        <v>3136</v>
      </c>
      <c r="K687" s="15">
        <v>41876</v>
      </c>
      <c r="L687" s="289">
        <v>742</v>
      </c>
      <c r="M687" s="15">
        <v>40725</v>
      </c>
      <c r="N687" s="24">
        <v>1</v>
      </c>
      <c r="O687" s="17">
        <v>17090</v>
      </c>
      <c r="P687" s="17">
        <v>17090</v>
      </c>
      <c r="Q687" s="17">
        <f t="shared" si="16"/>
        <v>0</v>
      </c>
      <c r="R687" s="285" t="s">
        <v>5071</v>
      </c>
      <c r="S687" s="15">
        <v>40708</v>
      </c>
      <c r="T687" s="285">
        <v>479</v>
      </c>
    </row>
    <row r="688" spans="1:20" ht="75.75" customHeight="1" x14ac:dyDescent="0.2">
      <c r="A688" s="21">
        <v>699</v>
      </c>
      <c r="B688" s="289" t="s">
        <v>5346</v>
      </c>
      <c r="C688" s="285" t="s">
        <v>5274</v>
      </c>
      <c r="D688" s="9" t="s">
        <v>4018</v>
      </c>
      <c r="E688" s="15"/>
      <c r="F688" s="13" t="s">
        <v>5563</v>
      </c>
      <c r="G688" s="285" t="s">
        <v>792</v>
      </c>
      <c r="H688" s="285" t="s">
        <v>5127</v>
      </c>
      <c r="I688" s="289"/>
      <c r="J688" s="22" t="s">
        <v>3136</v>
      </c>
      <c r="K688" s="15">
        <v>40750</v>
      </c>
      <c r="L688" s="289">
        <v>836</v>
      </c>
      <c r="M688" s="15">
        <v>40709</v>
      </c>
      <c r="N688" s="24">
        <v>1</v>
      </c>
      <c r="O688" s="17">
        <v>22387.5</v>
      </c>
      <c r="P688" s="17">
        <v>22387.5</v>
      </c>
      <c r="Q688" s="17">
        <f t="shared" si="16"/>
        <v>0</v>
      </c>
      <c r="R688" s="285" t="s">
        <v>66</v>
      </c>
      <c r="S688" s="22" t="s">
        <v>68</v>
      </c>
      <c r="T688" s="22" t="s">
        <v>67</v>
      </c>
    </row>
    <row r="689" spans="1:20" ht="75.75" customHeight="1" x14ac:dyDescent="0.2">
      <c r="A689" s="21">
        <v>700</v>
      </c>
      <c r="B689" s="289" t="s">
        <v>3176</v>
      </c>
      <c r="C689" s="289"/>
      <c r="D689" s="9" t="s">
        <v>5870</v>
      </c>
      <c r="E689" s="12"/>
      <c r="F689" s="13" t="s">
        <v>6565</v>
      </c>
      <c r="G689" s="285" t="s">
        <v>7464</v>
      </c>
      <c r="H689" s="285" t="s">
        <v>5127</v>
      </c>
      <c r="I689" s="289"/>
      <c r="J689" s="285" t="s">
        <v>9408</v>
      </c>
      <c r="K689" s="289">
        <v>2011</v>
      </c>
      <c r="L689" s="289" t="s">
        <v>1029</v>
      </c>
      <c r="M689" s="15">
        <v>40732</v>
      </c>
      <c r="N689" s="24">
        <v>1</v>
      </c>
      <c r="O689" s="17">
        <v>13151</v>
      </c>
      <c r="P689" s="17">
        <v>13151</v>
      </c>
      <c r="Q689" s="17">
        <f t="shared" si="16"/>
        <v>0</v>
      </c>
      <c r="R689" s="285" t="s">
        <v>5071</v>
      </c>
      <c r="S689" s="22" t="s">
        <v>1034</v>
      </c>
      <c r="T689" s="22" t="s">
        <v>1033</v>
      </c>
    </row>
    <row r="690" spans="1:20" ht="38.450000000000003" customHeight="1" x14ac:dyDescent="0.2">
      <c r="A690" s="21">
        <v>701</v>
      </c>
      <c r="B690" s="289" t="s">
        <v>2763</v>
      </c>
      <c r="C690" s="285" t="s">
        <v>5274</v>
      </c>
      <c r="D690" s="9" t="s">
        <v>1657</v>
      </c>
      <c r="E690" s="14"/>
      <c r="F690" s="9" t="s">
        <v>1658</v>
      </c>
      <c r="G690" s="285" t="s">
        <v>515</v>
      </c>
      <c r="H690" s="285" t="s">
        <v>5127</v>
      </c>
      <c r="I690" s="289"/>
      <c r="J690" s="285"/>
      <c r="K690" s="289"/>
      <c r="L690" s="289"/>
      <c r="M690" s="15">
        <v>40634</v>
      </c>
      <c r="N690" s="24">
        <v>1</v>
      </c>
      <c r="O690" s="17">
        <v>17245.25</v>
      </c>
      <c r="P690" s="17">
        <v>17245.25</v>
      </c>
      <c r="Q690" s="17">
        <f t="shared" si="16"/>
        <v>0</v>
      </c>
      <c r="R690" s="285" t="s">
        <v>6052</v>
      </c>
      <c r="S690" s="22" t="s">
        <v>4928</v>
      </c>
      <c r="T690" s="22"/>
    </row>
    <row r="691" spans="1:20" ht="60" customHeight="1" x14ac:dyDescent="0.2">
      <c r="A691" s="21">
        <v>702</v>
      </c>
      <c r="B691" s="289" t="s">
        <v>6124</v>
      </c>
      <c r="C691" s="285" t="s">
        <v>5274</v>
      </c>
      <c r="D691" s="9" t="s">
        <v>6889</v>
      </c>
      <c r="E691" s="14"/>
      <c r="F691" s="9" t="s">
        <v>1478</v>
      </c>
      <c r="G691" s="285" t="s">
        <v>515</v>
      </c>
      <c r="H691" s="285" t="s">
        <v>5127</v>
      </c>
      <c r="I691" s="289"/>
      <c r="J691" s="285"/>
      <c r="K691" s="289"/>
      <c r="L691" s="289"/>
      <c r="M691" s="15">
        <v>40634</v>
      </c>
      <c r="N691" s="24">
        <v>1</v>
      </c>
      <c r="O691" s="17">
        <v>31933.439999999999</v>
      </c>
      <c r="P691" s="17">
        <v>31933.439999999999</v>
      </c>
      <c r="Q691" s="17">
        <f t="shared" si="16"/>
        <v>0</v>
      </c>
      <c r="R691" s="285" t="s">
        <v>6052</v>
      </c>
      <c r="S691" s="22" t="s">
        <v>4928</v>
      </c>
      <c r="T691" s="22"/>
    </row>
    <row r="692" spans="1:20" ht="43.9" customHeight="1" x14ac:dyDescent="0.2">
      <c r="A692" s="21">
        <v>703</v>
      </c>
      <c r="B692" s="289" t="s">
        <v>4578</v>
      </c>
      <c r="C692" s="285" t="s">
        <v>5274</v>
      </c>
      <c r="D692" s="9" t="s">
        <v>1395</v>
      </c>
      <c r="E692" s="14"/>
      <c r="F692" s="9" t="s">
        <v>2415</v>
      </c>
      <c r="G692" s="285" t="s">
        <v>7967</v>
      </c>
      <c r="H692" s="285" t="s">
        <v>5127</v>
      </c>
      <c r="I692" s="289"/>
      <c r="J692" s="285"/>
      <c r="K692" s="289"/>
      <c r="L692" s="289"/>
      <c r="M692" s="15">
        <v>40634</v>
      </c>
      <c r="N692" s="24">
        <v>1</v>
      </c>
      <c r="O692" s="17">
        <v>25750</v>
      </c>
      <c r="P692" s="17">
        <v>25750</v>
      </c>
      <c r="Q692" s="17">
        <f t="shared" si="16"/>
        <v>0</v>
      </c>
      <c r="R692" s="285" t="s">
        <v>6052</v>
      </c>
      <c r="S692" s="22" t="s">
        <v>4928</v>
      </c>
      <c r="T692" s="22"/>
    </row>
    <row r="693" spans="1:20" ht="60" customHeight="1" x14ac:dyDescent="0.2">
      <c r="A693" s="21">
        <v>704</v>
      </c>
      <c r="B693" s="289" t="s">
        <v>4579</v>
      </c>
      <c r="C693" s="285"/>
      <c r="D693" s="9" t="s">
        <v>2202</v>
      </c>
      <c r="E693" s="22"/>
      <c r="F693" s="9" t="s">
        <v>6535</v>
      </c>
      <c r="G693" s="285" t="s">
        <v>3090</v>
      </c>
      <c r="H693" s="285" t="s">
        <v>5127</v>
      </c>
      <c r="I693" s="289"/>
      <c r="J693" s="285" t="s">
        <v>3136</v>
      </c>
      <c r="K693" s="15">
        <v>41287</v>
      </c>
      <c r="L693" s="289">
        <v>11</v>
      </c>
      <c r="M693" s="15">
        <v>40858</v>
      </c>
      <c r="N693" s="24">
        <v>1</v>
      </c>
      <c r="O693" s="17">
        <v>39300</v>
      </c>
      <c r="P693" s="17">
        <v>39300</v>
      </c>
      <c r="Q693" s="17">
        <f t="shared" si="16"/>
        <v>0</v>
      </c>
      <c r="R693" s="285" t="s">
        <v>5729</v>
      </c>
      <c r="S693" s="14" t="s">
        <v>5730</v>
      </c>
      <c r="T693" s="285">
        <v>431</v>
      </c>
    </row>
    <row r="694" spans="1:20" ht="60" customHeight="1" x14ac:dyDescent="0.2">
      <c r="A694" s="21">
        <v>705</v>
      </c>
      <c r="B694" s="289" t="s">
        <v>4580</v>
      </c>
      <c r="C694" s="285"/>
      <c r="D694" s="9" t="s">
        <v>2143</v>
      </c>
      <c r="E694" s="22"/>
      <c r="F694" s="13" t="s">
        <v>6536</v>
      </c>
      <c r="G694" s="285" t="s">
        <v>3090</v>
      </c>
      <c r="H694" s="285" t="s">
        <v>5127</v>
      </c>
      <c r="I694" s="289"/>
      <c r="J694" s="285" t="s">
        <v>3136</v>
      </c>
      <c r="K694" s="15">
        <v>41287</v>
      </c>
      <c r="L694" s="289">
        <v>11</v>
      </c>
      <c r="M694" s="15">
        <v>40858</v>
      </c>
      <c r="N694" s="24">
        <v>1</v>
      </c>
      <c r="O694" s="17">
        <v>7100</v>
      </c>
      <c r="P694" s="17">
        <v>7100</v>
      </c>
      <c r="Q694" s="17">
        <f t="shared" si="16"/>
        <v>0</v>
      </c>
      <c r="R694" s="285" t="s">
        <v>5729</v>
      </c>
      <c r="S694" s="14" t="s">
        <v>5730</v>
      </c>
      <c r="T694" s="285">
        <v>431</v>
      </c>
    </row>
    <row r="695" spans="1:20" ht="42.6" customHeight="1" x14ac:dyDescent="0.2">
      <c r="A695" s="21">
        <v>706</v>
      </c>
      <c r="B695" s="289" t="s">
        <v>4581</v>
      </c>
      <c r="C695" s="285" t="s">
        <v>5274</v>
      </c>
      <c r="D695" s="9" t="s">
        <v>313</v>
      </c>
      <c r="E695" s="14"/>
      <c r="F695" s="9" t="s">
        <v>1487</v>
      </c>
      <c r="G695" s="285" t="s">
        <v>515</v>
      </c>
      <c r="H695" s="285" t="s">
        <v>5127</v>
      </c>
      <c r="I695" s="289"/>
      <c r="J695" s="285"/>
      <c r="K695" s="289"/>
      <c r="L695" s="289"/>
      <c r="M695" s="15">
        <v>40909</v>
      </c>
      <c r="N695" s="24">
        <v>1</v>
      </c>
      <c r="O695" s="17">
        <v>12347</v>
      </c>
      <c r="P695" s="17">
        <v>12347</v>
      </c>
      <c r="Q695" s="17">
        <f t="shared" si="16"/>
        <v>0</v>
      </c>
      <c r="R695" s="285"/>
      <c r="S695" s="22"/>
      <c r="T695" s="22"/>
    </row>
    <row r="696" spans="1:20" ht="60" customHeight="1" x14ac:dyDescent="0.2">
      <c r="A696" s="21">
        <v>707</v>
      </c>
      <c r="B696" s="289" t="s">
        <v>2978</v>
      </c>
      <c r="C696" s="285" t="s">
        <v>5274</v>
      </c>
      <c r="D696" s="9" t="s">
        <v>313</v>
      </c>
      <c r="E696" s="14"/>
      <c r="F696" s="9" t="s">
        <v>449</v>
      </c>
      <c r="G696" s="285" t="s">
        <v>7977</v>
      </c>
      <c r="H696" s="285" t="s">
        <v>5127</v>
      </c>
      <c r="I696" s="289"/>
      <c r="J696" s="285" t="s">
        <v>9405</v>
      </c>
      <c r="K696" s="289">
        <v>2009</v>
      </c>
      <c r="L696" s="289" t="s">
        <v>1029</v>
      </c>
      <c r="M696" s="15">
        <v>40909</v>
      </c>
      <c r="N696" s="24">
        <v>1</v>
      </c>
      <c r="O696" s="17">
        <v>20313</v>
      </c>
      <c r="P696" s="17">
        <v>20313</v>
      </c>
      <c r="Q696" s="17">
        <f t="shared" si="16"/>
        <v>0</v>
      </c>
      <c r="R696" s="285"/>
      <c r="S696" s="22"/>
      <c r="T696" s="22"/>
    </row>
    <row r="697" spans="1:20" ht="48.75" customHeight="1" x14ac:dyDescent="0.2">
      <c r="A697" s="21">
        <v>708</v>
      </c>
      <c r="B697" s="289" t="s">
        <v>2979</v>
      </c>
      <c r="C697" s="285" t="s">
        <v>5274</v>
      </c>
      <c r="D697" s="9" t="s">
        <v>5981</v>
      </c>
      <c r="E697" s="14"/>
      <c r="F697" s="13" t="s">
        <v>2224</v>
      </c>
      <c r="G697" s="285" t="s">
        <v>7967</v>
      </c>
      <c r="H697" s="285" t="s">
        <v>5127</v>
      </c>
      <c r="I697" s="289"/>
      <c r="J697" s="285"/>
      <c r="K697" s="289"/>
      <c r="L697" s="289"/>
      <c r="M697" s="15">
        <v>40909</v>
      </c>
      <c r="N697" s="24">
        <v>1</v>
      </c>
      <c r="O697" s="17">
        <v>19155</v>
      </c>
      <c r="P697" s="17">
        <v>19155</v>
      </c>
      <c r="Q697" s="17">
        <f t="shared" si="16"/>
        <v>0</v>
      </c>
      <c r="R697" s="285"/>
      <c r="S697" s="22"/>
      <c r="T697" s="22"/>
    </row>
    <row r="698" spans="1:20" ht="48.75" customHeight="1" x14ac:dyDescent="0.2">
      <c r="A698" s="21">
        <v>709</v>
      </c>
      <c r="B698" s="289" t="s">
        <v>5963</v>
      </c>
      <c r="C698" s="285" t="s">
        <v>5274</v>
      </c>
      <c r="D698" s="9" t="s">
        <v>3600</v>
      </c>
      <c r="E698" s="14"/>
      <c r="F698" s="13" t="s">
        <v>449</v>
      </c>
      <c r="G698" s="285" t="s">
        <v>7967</v>
      </c>
      <c r="H698" s="285" t="s">
        <v>5127</v>
      </c>
      <c r="I698" s="289"/>
      <c r="J698" s="285"/>
      <c r="K698" s="289"/>
      <c r="L698" s="289"/>
      <c r="M698" s="15">
        <v>40909</v>
      </c>
      <c r="N698" s="24">
        <v>1</v>
      </c>
      <c r="O698" s="17">
        <v>19791</v>
      </c>
      <c r="P698" s="17">
        <v>19791</v>
      </c>
      <c r="Q698" s="17">
        <f t="shared" si="16"/>
        <v>0</v>
      </c>
      <c r="R698" s="285"/>
      <c r="S698" s="22"/>
      <c r="T698" s="22"/>
    </row>
    <row r="699" spans="1:20" ht="83.25" customHeight="1" x14ac:dyDescent="0.2">
      <c r="A699" s="21">
        <v>710</v>
      </c>
      <c r="B699" s="289" t="s">
        <v>5964</v>
      </c>
      <c r="C699" s="285" t="s">
        <v>5274</v>
      </c>
      <c r="D699" s="9" t="s">
        <v>3601</v>
      </c>
      <c r="E699" s="14"/>
      <c r="F699" s="9" t="s">
        <v>7095</v>
      </c>
      <c r="G699" s="285" t="s">
        <v>7934</v>
      </c>
      <c r="H699" s="285" t="s">
        <v>5127</v>
      </c>
      <c r="I699" s="289"/>
      <c r="J699" s="285"/>
      <c r="K699" s="289"/>
      <c r="L699" s="289"/>
      <c r="M699" s="15">
        <v>40909</v>
      </c>
      <c r="N699" s="24">
        <v>1</v>
      </c>
      <c r="O699" s="17">
        <v>20313</v>
      </c>
      <c r="P699" s="17">
        <v>20313</v>
      </c>
      <c r="Q699" s="17">
        <f t="shared" si="16"/>
        <v>0</v>
      </c>
      <c r="R699" s="285"/>
      <c r="S699" s="22"/>
      <c r="T699" s="22"/>
    </row>
    <row r="700" spans="1:20" ht="99.75" customHeight="1" x14ac:dyDescent="0.2">
      <c r="A700" s="21">
        <v>711</v>
      </c>
      <c r="B700" s="289" t="s">
        <v>5965</v>
      </c>
      <c r="C700" s="285" t="s">
        <v>5274</v>
      </c>
      <c r="D700" s="9" t="s">
        <v>5714</v>
      </c>
      <c r="E700" s="15">
        <v>40896</v>
      </c>
      <c r="F700" s="13" t="s">
        <v>6899</v>
      </c>
      <c r="G700" s="285" t="s">
        <v>7981</v>
      </c>
      <c r="H700" s="285" t="s">
        <v>5127</v>
      </c>
      <c r="I700" s="289"/>
      <c r="J700" s="285" t="s">
        <v>9490</v>
      </c>
      <c r="K700" s="15">
        <v>40908</v>
      </c>
      <c r="L700" s="12" t="s">
        <v>1029</v>
      </c>
      <c r="M700" s="15">
        <v>40896</v>
      </c>
      <c r="N700" s="24">
        <v>1</v>
      </c>
      <c r="O700" s="17">
        <v>25720</v>
      </c>
      <c r="P700" s="17">
        <v>25720</v>
      </c>
      <c r="Q700" s="17">
        <f t="shared" si="16"/>
        <v>0</v>
      </c>
      <c r="R700" s="285" t="s">
        <v>5071</v>
      </c>
      <c r="S700" s="22" t="s">
        <v>5731</v>
      </c>
      <c r="T700" s="22" t="s">
        <v>3316</v>
      </c>
    </row>
    <row r="701" spans="1:20" ht="45" customHeight="1" x14ac:dyDescent="0.2">
      <c r="A701" s="21">
        <v>712</v>
      </c>
      <c r="B701" s="289" t="s">
        <v>1435</v>
      </c>
      <c r="C701" s="285"/>
      <c r="D701" s="9" t="s">
        <v>5091</v>
      </c>
      <c r="E701" s="14"/>
      <c r="F701" s="9" t="s">
        <v>1528</v>
      </c>
      <c r="G701" s="285" t="s">
        <v>7917</v>
      </c>
      <c r="H701" s="285" t="s">
        <v>5127</v>
      </c>
      <c r="I701" s="289"/>
      <c r="J701" s="285"/>
      <c r="K701" s="289"/>
      <c r="L701" s="289"/>
      <c r="M701" s="15">
        <v>40909</v>
      </c>
      <c r="N701" s="24">
        <v>1</v>
      </c>
      <c r="O701" s="17">
        <v>19000</v>
      </c>
      <c r="P701" s="17">
        <v>19000</v>
      </c>
      <c r="Q701" s="17">
        <f t="shared" si="16"/>
        <v>0</v>
      </c>
      <c r="R701" s="285" t="s">
        <v>5071</v>
      </c>
      <c r="S701" s="22" t="s">
        <v>3317</v>
      </c>
      <c r="T701" s="22" t="s">
        <v>3209</v>
      </c>
    </row>
    <row r="702" spans="1:20" ht="100.5" customHeight="1" x14ac:dyDescent="0.2">
      <c r="A702" s="21">
        <v>713</v>
      </c>
      <c r="B702" s="289" t="s">
        <v>61</v>
      </c>
      <c r="C702" s="285" t="s">
        <v>5274</v>
      </c>
      <c r="D702" s="9" t="s">
        <v>5870</v>
      </c>
      <c r="E702" s="15">
        <v>40768</v>
      </c>
      <c r="F702" s="13" t="s">
        <v>335</v>
      </c>
      <c r="G702" s="285" t="s">
        <v>7982</v>
      </c>
      <c r="H702" s="285" t="s">
        <v>5127</v>
      </c>
      <c r="I702" s="289"/>
      <c r="J702" s="285" t="s">
        <v>9437</v>
      </c>
      <c r="K702" s="15">
        <v>40908</v>
      </c>
      <c r="L702" s="289" t="s">
        <v>1029</v>
      </c>
      <c r="M702" s="15">
        <v>40768</v>
      </c>
      <c r="N702" s="24">
        <v>5</v>
      </c>
      <c r="O702" s="17">
        <v>45702</v>
      </c>
      <c r="P702" s="17">
        <v>45702</v>
      </c>
      <c r="Q702" s="17">
        <f t="shared" si="16"/>
        <v>0</v>
      </c>
      <c r="R702" s="285" t="s">
        <v>5071</v>
      </c>
      <c r="S702" s="22" t="s">
        <v>3319</v>
      </c>
      <c r="T702" s="22" t="s">
        <v>3318</v>
      </c>
    </row>
    <row r="703" spans="1:20" ht="100.5" customHeight="1" x14ac:dyDescent="0.2">
      <c r="A703" s="21">
        <v>714</v>
      </c>
      <c r="B703" s="289" t="s">
        <v>45</v>
      </c>
      <c r="C703" s="285" t="s">
        <v>5274</v>
      </c>
      <c r="D703" s="9" t="s">
        <v>6941</v>
      </c>
      <c r="E703" s="15">
        <v>40583</v>
      </c>
      <c r="F703" s="13" t="s">
        <v>6942</v>
      </c>
      <c r="G703" s="285" t="s">
        <v>7982</v>
      </c>
      <c r="H703" s="285" t="s">
        <v>5127</v>
      </c>
      <c r="I703" s="289"/>
      <c r="J703" s="285" t="s">
        <v>9437</v>
      </c>
      <c r="K703" s="15">
        <v>40908</v>
      </c>
      <c r="L703" s="289" t="s">
        <v>1029</v>
      </c>
      <c r="M703" s="15">
        <v>40583</v>
      </c>
      <c r="N703" s="24">
        <v>2</v>
      </c>
      <c r="O703" s="17">
        <f>10870+10785</f>
        <v>21655</v>
      </c>
      <c r="P703" s="17">
        <v>21655</v>
      </c>
      <c r="Q703" s="17">
        <f t="shared" si="16"/>
        <v>0</v>
      </c>
      <c r="R703" s="285" t="s">
        <v>5071</v>
      </c>
      <c r="S703" s="22" t="s">
        <v>5986</v>
      </c>
      <c r="T703" s="22" t="s">
        <v>3320</v>
      </c>
    </row>
    <row r="704" spans="1:20" ht="100.5" customHeight="1" x14ac:dyDescent="0.2">
      <c r="A704" s="21">
        <v>715</v>
      </c>
      <c r="B704" s="289" t="s">
        <v>46</v>
      </c>
      <c r="C704" s="285" t="s">
        <v>5274</v>
      </c>
      <c r="D704" s="9" t="s">
        <v>6943</v>
      </c>
      <c r="E704" s="15">
        <v>40817</v>
      </c>
      <c r="F704" s="13" t="s">
        <v>6944</v>
      </c>
      <c r="G704" s="285" t="s">
        <v>7982</v>
      </c>
      <c r="H704" s="285" t="s">
        <v>5127</v>
      </c>
      <c r="I704" s="289"/>
      <c r="J704" s="285" t="s">
        <v>9437</v>
      </c>
      <c r="K704" s="15">
        <v>40908</v>
      </c>
      <c r="L704" s="289" t="s">
        <v>1029</v>
      </c>
      <c r="M704" s="15">
        <v>40817</v>
      </c>
      <c r="N704" s="24">
        <v>10</v>
      </c>
      <c r="O704" s="17">
        <v>58700</v>
      </c>
      <c r="P704" s="17">
        <v>58700</v>
      </c>
      <c r="Q704" s="17">
        <f t="shared" si="16"/>
        <v>0</v>
      </c>
      <c r="R704" s="285" t="s">
        <v>5071</v>
      </c>
      <c r="S704" s="22" t="s">
        <v>99</v>
      </c>
      <c r="T704" s="22" t="s">
        <v>5987</v>
      </c>
    </row>
    <row r="705" spans="1:20" ht="45.75" customHeight="1" x14ac:dyDescent="0.2">
      <c r="A705" s="21">
        <v>716</v>
      </c>
      <c r="B705" s="289" t="s">
        <v>47</v>
      </c>
      <c r="C705" s="285" t="s">
        <v>5274</v>
      </c>
      <c r="D705" s="9" t="s">
        <v>2205</v>
      </c>
      <c r="E705" s="15">
        <v>41234</v>
      </c>
      <c r="F705" s="13" t="s">
        <v>5675</v>
      </c>
      <c r="G705" s="285" t="s">
        <v>7982</v>
      </c>
      <c r="H705" s="285" t="s">
        <v>5127</v>
      </c>
      <c r="I705" s="289"/>
      <c r="J705" s="285" t="s">
        <v>9437</v>
      </c>
      <c r="K705" s="15">
        <v>40908</v>
      </c>
      <c r="L705" s="289" t="s">
        <v>1029</v>
      </c>
      <c r="M705" s="15">
        <v>41234</v>
      </c>
      <c r="N705" s="24">
        <v>1</v>
      </c>
      <c r="O705" s="17">
        <v>16950</v>
      </c>
      <c r="P705" s="17">
        <v>16950</v>
      </c>
      <c r="Q705" s="17">
        <f t="shared" si="16"/>
        <v>0</v>
      </c>
      <c r="R705" s="285" t="s">
        <v>5071</v>
      </c>
      <c r="S705" s="22" t="s">
        <v>3874</v>
      </c>
      <c r="T705" s="22" t="s">
        <v>1029</v>
      </c>
    </row>
    <row r="706" spans="1:20" ht="75.75" customHeight="1" x14ac:dyDescent="0.2">
      <c r="A706" s="21">
        <v>717</v>
      </c>
      <c r="B706" s="289" t="s">
        <v>48</v>
      </c>
      <c r="C706" s="285"/>
      <c r="D706" s="9" t="s">
        <v>313</v>
      </c>
      <c r="E706" s="15">
        <v>40926</v>
      </c>
      <c r="F706" s="9" t="s">
        <v>6654</v>
      </c>
      <c r="G706" s="285" t="s">
        <v>6266</v>
      </c>
      <c r="H706" s="285" t="s">
        <v>5127</v>
      </c>
      <c r="I706" s="285"/>
      <c r="J706" s="285" t="s">
        <v>9437</v>
      </c>
      <c r="K706" s="14">
        <v>40908</v>
      </c>
      <c r="L706" s="22" t="s">
        <v>1029</v>
      </c>
      <c r="M706" s="22" t="s">
        <v>4516</v>
      </c>
      <c r="N706" s="24">
        <v>1</v>
      </c>
      <c r="O706" s="17">
        <v>16788</v>
      </c>
      <c r="P706" s="17">
        <v>16788</v>
      </c>
      <c r="Q706" s="17">
        <f t="shared" si="16"/>
        <v>0</v>
      </c>
      <c r="R706" s="285" t="s">
        <v>5071</v>
      </c>
      <c r="S706" s="22" t="s">
        <v>4516</v>
      </c>
      <c r="T706" s="22" t="s">
        <v>1235</v>
      </c>
    </row>
    <row r="707" spans="1:20" ht="32.25" customHeight="1" x14ac:dyDescent="0.2">
      <c r="A707" s="21">
        <v>718</v>
      </c>
      <c r="B707" s="289" t="s">
        <v>49</v>
      </c>
      <c r="C707" s="285" t="s">
        <v>5274</v>
      </c>
      <c r="D707" s="9" t="s">
        <v>5981</v>
      </c>
      <c r="E707" s="14"/>
      <c r="F707" s="13" t="s">
        <v>5283</v>
      </c>
      <c r="G707" s="285" t="s">
        <v>7917</v>
      </c>
      <c r="H707" s="285" t="s">
        <v>5127</v>
      </c>
      <c r="I707" s="289"/>
      <c r="J707" s="285"/>
      <c r="K707" s="289"/>
      <c r="L707" s="289"/>
      <c r="M707" s="15">
        <v>41000</v>
      </c>
      <c r="N707" s="24">
        <v>1</v>
      </c>
      <c r="O707" s="17">
        <v>22376</v>
      </c>
      <c r="P707" s="17">
        <v>22376</v>
      </c>
      <c r="Q707" s="17">
        <f t="shared" si="16"/>
        <v>0</v>
      </c>
      <c r="R707" s="285" t="s">
        <v>5071</v>
      </c>
      <c r="S707" s="22" t="s">
        <v>4517</v>
      </c>
      <c r="T707" s="22" t="s">
        <v>5988</v>
      </c>
    </row>
    <row r="708" spans="1:20" ht="32.25" customHeight="1" x14ac:dyDescent="0.2">
      <c r="A708" s="21">
        <v>719</v>
      </c>
      <c r="B708" s="289" t="s">
        <v>50</v>
      </c>
      <c r="C708" s="285" t="s">
        <v>5274</v>
      </c>
      <c r="D708" s="9" t="s">
        <v>5775</v>
      </c>
      <c r="E708" s="14"/>
      <c r="F708" s="13" t="s">
        <v>5639</v>
      </c>
      <c r="G708" s="285" t="s">
        <v>7917</v>
      </c>
      <c r="H708" s="285" t="s">
        <v>5127</v>
      </c>
      <c r="I708" s="289"/>
      <c r="J708" s="285"/>
      <c r="K708" s="289"/>
      <c r="L708" s="289"/>
      <c r="M708" s="15">
        <v>41000</v>
      </c>
      <c r="N708" s="24">
        <v>1</v>
      </c>
      <c r="O708" s="17">
        <v>22376</v>
      </c>
      <c r="P708" s="17">
        <v>22376</v>
      </c>
      <c r="Q708" s="17">
        <f t="shared" si="16"/>
        <v>0</v>
      </c>
      <c r="R708" s="285" t="s">
        <v>5071</v>
      </c>
      <c r="S708" s="22" t="s">
        <v>4518</v>
      </c>
      <c r="T708" s="22" t="s">
        <v>2714</v>
      </c>
    </row>
    <row r="709" spans="1:20" ht="66.75" customHeight="1" x14ac:dyDescent="0.2">
      <c r="A709" s="21">
        <v>720</v>
      </c>
      <c r="B709" s="289" t="s">
        <v>51</v>
      </c>
      <c r="C709" s="285" t="s">
        <v>5274</v>
      </c>
      <c r="D709" s="9" t="s">
        <v>3894</v>
      </c>
      <c r="E709" s="15">
        <v>40926</v>
      </c>
      <c r="F709" s="13" t="s">
        <v>6945</v>
      </c>
      <c r="G709" s="285" t="s">
        <v>7982</v>
      </c>
      <c r="H709" s="285" t="s">
        <v>5127</v>
      </c>
      <c r="I709" s="289"/>
      <c r="J709" s="285" t="s">
        <v>9411</v>
      </c>
      <c r="K709" s="15">
        <v>40999</v>
      </c>
      <c r="L709" s="289" t="s">
        <v>1029</v>
      </c>
      <c r="M709" s="15">
        <v>40926</v>
      </c>
      <c r="N709" s="24">
        <v>1</v>
      </c>
      <c r="O709" s="17">
        <v>4180</v>
      </c>
      <c r="P709" s="17">
        <v>4180</v>
      </c>
      <c r="Q709" s="17">
        <f t="shared" si="16"/>
        <v>0</v>
      </c>
      <c r="R709" s="285" t="s">
        <v>5071</v>
      </c>
      <c r="S709" s="22" t="s">
        <v>4519</v>
      </c>
      <c r="T709" s="22" t="s">
        <v>5989</v>
      </c>
    </row>
    <row r="710" spans="1:20" ht="99" customHeight="1" x14ac:dyDescent="0.2">
      <c r="A710" s="21">
        <v>721</v>
      </c>
      <c r="B710" s="289" t="s">
        <v>52</v>
      </c>
      <c r="C710" s="285" t="s">
        <v>5274</v>
      </c>
      <c r="D710" s="9" t="s">
        <v>5774</v>
      </c>
      <c r="E710" s="15">
        <v>40925</v>
      </c>
      <c r="F710" s="13" t="s">
        <v>6946</v>
      </c>
      <c r="G710" s="285" t="s">
        <v>7982</v>
      </c>
      <c r="H710" s="285" t="s">
        <v>5127</v>
      </c>
      <c r="I710" s="289"/>
      <c r="J710" s="285" t="s">
        <v>9411</v>
      </c>
      <c r="K710" s="15">
        <v>40999</v>
      </c>
      <c r="L710" s="289" t="s">
        <v>1029</v>
      </c>
      <c r="M710" s="15">
        <v>40925</v>
      </c>
      <c r="N710" s="24">
        <v>3</v>
      </c>
      <c r="O710" s="17">
        <v>45992.639999999999</v>
      </c>
      <c r="P710" s="17">
        <v>45992.639999999999</v>
      </c>
      <c r="Q710" s="17">
        <f t="shared" ref="Q710:Q740" si="17">O710-P710</f>
        <v>0</v>
      </c>
      <c r="R710" s="285" t="s">
        <v>5071</v>
      </c>
      <c r="S710" s="22" t="s">
        <v>3803</v>
      </c>
      <c r="T710" s="22" t="s">
        <v>3873</v>
      </c>
    </row>
    <row r="711" spans="1:20" ht="72" customHeight="1" x14ac:dyDescent="0.2">
      <c r="A711" s="21">
        <v>722</v>
      </c>
      <c r="B711" s="289" t="s">
        <v>53</v>
      </c>
      <c r="C711" s="289"/>
      <c r="D711" s="9" t="s">
        <v>5507</v>
      </c>
      <c r="E711" s="15">
        <v>41244</v>
      </c>
      <c r="F711" s="13" t="s">
        <v>6566</v>
      </c>
      <c r="G711" s="285" t="s">
        <v>7464</v>
      </c>
      <c r="H711" s="285" t="s">
        <v>5127</v>
      </c>
      <c r="I711" s="289"/>
      <c r="J711" s="22" t="s">
        <v>3253</v>
      </c>
      <c r="K711" s="15">
        <v>40612</v>
      </c>
      <c r="L711" s="289">
        <v>3</v>
      </c>
      <c r="M711" s="15">
        <v>41198</v>
      </c>
      <c r="N711" s="24">
        <v>1</v>
      </c>
      <c r="O711" s="17">
        <v>23850.3</v>
      </c>
      <c r="P711" s="17">
        <v>23850.3</v>
      </c>
      <c r="Q711" s="17">
        <f t="shared" si="17"/>
        <v>0</v>
      </c>
      <c r="R711" s="285" t="s">
        <v>3804</v>
      </c>
      <c r="S711" s="15">
        <v>40612</v>
      </c>
      <c r="T711" s="285">
        <v>3</v>
      </c>
    </row>
    <row r="712" spans="1:20" ht="66.75" customHeight="1" x14ac:dyDescent="0.2">
      <c r="A712" s="21">
        <v>723</v>
      </c>
      <c r="B712" s="289" t="s">
        <v>54</v>
      </c>
      <c r="C712" s="289"/>
      <c r="D712" s="9" t="s">
        <v>313</v>
      </c>
      <c r="E712" s="15">
        <v>41244</v>
      </c>
      <c r="F712" s="9" t="s">
        <v>6180</v>
      </c>
      <c r="G712" s="285" t="s">
        <v>7934</v>
      </c>
      <c r="H712" s="285" t="s">
        <v>5127</v>
      </c>
      <c r="I712" s="289"/>
      <c r="J712" s="22"/>
      <c r="K712" s="289"/>
      <c r="L712" s="289"/>
      <c r="M712" s="15">
        <v>41000</v>
      </c>
      <c r="N712" s="24">
        <v>1</v>
      </c>
      <c r="O712" s="17">
        <v>15000</v>
      </c>
      <c r="P712" s="17">
        <v>15000</v>
      </c>
      <c r="Q712" s="17">
        <f t="shared" si="17"/>
        <v>0</v>
      </c>
      <c r="R712" s="285"/>
      <c r="S712" s="15"/>
      <c r="T712" s="14"/>
    </row>
    <row r="713" spans="1:20" ht="66.75" customHeight="1" x14ac:dyDescent="0.2">
      <c r="A713" s="21">
        <v>725</v>
      </c>
      <c r="B713" s="289" t="s">
        <v>55</v>
      </c>
      <c r="C713" s="285"/>
      <c r="D713" s="9" t="s">
        <v>201</v>
      </c>
      <c r="E713" s="14"/>
      <c r="F713" s="9" t="s">
        <v>10307</v>
      </c>
      <c r="G713" s="285" t="s">
        <v>792</v>
      </c>
      <c r="H713" s="285" t="s">
        <v>5127</v>
      </c>
      <c r="I713" s="289"/>
      <c r="J713" s="285"/>
      <c r="K713" s="289"/>
      <c r="L713" s="289"/>
      <c r="M713" s="15">
        <v>41000</v>
      </c>
      <c r="N713" s="24">
        <v>1</v>
      </c>
      <c r="O713" s="17">
        <v>15000</v>
      </c>
      <c r="P713" s="17">
        <v>15000</v>
      </c>
      <c r="Q713" s="17">
        <f t="shared" si="17"/>
        <v>0</v>
      </c>
      <c r="R713" s="285"/>
      <c r="S713" s="14"/>
      <c r="T713" s="14"/>
    </row>
    <row r="714" spans="1:20" ht="66.75" customHeight="1" x14ac:dyDescent="0.2">
      <c r="A714" s="21">
        <v>726</v>
      </c>
      <c r="B714" s="289" t="s">
        <v>56</v>
      </c>
      <c r="C714" s="289"/>
      <c r="D714" s="9" t="s">
        <v>98</v>
      </c>
      <c r="E714" s="14"/>
      <c r="F714" s="13"/>
      <c r="G714" s="285" t="s">
        <v>7983</v>
      </c>
      <c r="H714" s="285" t="s">
        <v>5127</v>
      </c>
      <c r="I714" s="289"/>
      <c r="J714" s="22" t="s">
        <v>3136</v>
      </c>
      <c r="K714" s="15">
        <v>41065</v>
      </c>
      <c r="L714" s="289">
        <v>532</v>
      </c>
      <c r="M714" s="15">
        <v>41061</v>
      </c>
      <c r="N714" s="24">
        <v>1</v>
      </c>
      <c r="O714" s="17">
        <v>39532.300000000003</v>
      </c>
      <c r="P714" s="17">
        <v>39532.300000000003</v>
      </c>
      <c r="Q714" s="17">
        <f t="shared" si="17"/>
        <v>0</v>
      </c>
      <c r="R714" s="285" t="s">
        <v>3136</v>
      </c>
      <c r="S714" s="15">
        <v>41065</v>
      </c>
      <c r="T714" s="285">
        <v>532</v>
      </c>
    </row>
    <row r="715" spans="1:20" ht="66.75" customHeight="1" x14ac:dyDescent="0.2">
      <c r="A715" s="21">
        <v>727</v>
      </c>
      <c r="B715" s="289" t="s">
        <v>5428</v>
      </c>
      <c r="C715" s="289"/>
      <c r="D715" s="9" t="s">
        <v>5128</v>
      </c>
      <c r="E715" s="14"/>
      <c r="F715" s="13" t="s">
        <v>10323</v>
      </c>
      <c r="G715" s="285" t="s">
        <v>4720</v>
      </c>
      <c r="H715" s="285" t="s">
        <v>5127</v>
      </c>
      <c r="I715" s="289"/>
      <c r="J715" s="22" t="s">
        <v>3136</v>
      </c>
      <c r="K715" s="15">
        <v>41129</v>
      </c>
      <c r="L715" s="289">
        <v>733</v>
      </c>
      <c r="M715" s="15">
        <v>41061</v>
      </c>
      <c r="N715" s="24">
        <v>1</v>
      </c>
      <c r="O715" s="17">
        <v>184939.43</v>
      </c>
      <c r="P715" s="17">
        <v>184939.43</v>
      </c>
      <c r="Q715" s="17">
        <f t="shared" si="17"/>
        <v>0</v>
      </c>
      <c r="R715" s="285" t="s">
        <v>3136</v>
      </c>
      <c r="S715" s="15">
        <v>41129</v>
      </c>
      <c r="T715" s="285">
        <v>733</v>
      </c>
    </row>
    <row r="716" spans="1:20" ht="66.75" customHeight="1" x14ac:dyDescent="0.2">
      <c r="A716" s="21">
        <v>728</v>
      </c>
      <c r="B716" s="289" t="s">
        <v>5429</v>
      </c>
      <c r="C716" s="289"/>
      <c r="D716" s="9" t="s">
        <v>4601</v>
      </c>
      <c r="E716" s="14"/>
      <c r="F716" s="13" t="s">
        <v>10324</v>
      </c>
      <c r="G716" s="285" t="s">
        <v>4720</v>
      </c>
      <c r="H716" s="285" t="s">
        <v>5127</v>
      </c>
      <c r="I716" s="289"/>
      <c r="J716" s="22" t="s">
        <v>3136</v>
      </c>
      <c r="K716" s="15">
        <v>41129</v>
      </c>
      <c r="L716" s="289">
        <v>733</v>
      </c>
      <c r="M716" s="15">
        <v>41061</v>
      </c>
      <c r="N716" s="24">
        <v>1</v>
      </c>
      <c r="O716" s="17">
        <v>29375.68</v>
      </c>
      <c r="P716" s="17">
        <v>29375.68</v>
      </c>
      <c r="Q716" s="17">
        <f t="shared" si="17"/>
        <v>0</v>
      </c>
      <c r="R716" s="285" t="s">
        <v>3136</v>
      </c>
      <c r="S716" s="15">
        <v>41129</v>
      </c>
      <c r="T716" s="285">
        <v>733</v>
      </c>
    </row>
    <row r="717" spans="1:20" ht="126.75" customHeight="1" x14ac:dyDescent="0.2">
      <c r="A717" s="21">
        <v>729</v>
      </c>
      <c r="B717" s="289" t="s">
        <v>5430</v>
      </c>
      <c r="C717" s="289"/>
      <c r="D717" s="9" t="s">
        <v>4601</v>
      </c>
      <c r="E717" s="14"/>
      <c r="F717" s="13" t="s">
        <v>10325</v>
      </c>
      <c r="G717" s="285" t="s">
        <v>4720</v>
      </c>
      <c r="H717" s="285" t="s">
        <v>5127</v>
      </c>
      <c r="I717" s="289"/>
      <c r="J717" s="22" t="s">
        <v>3136</v>
      </c>
      <c r="K717" s="15">
        <v>41129</v>
      </c>
      <c r="L717" s="289">
        <v>733</v>
      </c>
      <c r="M717" s="15">
        <v>41061</v>
      </c>
      <c r="N717" s="24">
        <v>1</v>
      </c>
      <c r="O717" s="17">
        <v>29375.68</v>
      </c>
      <c r="P717" s="17">
        <v>29375.68</v>
      </c>
      <c r="Q717" s="17">
        <f t="shared" si="17"/>
        <v>0</v>
      </c>
      <c r="R717" s="285" t="s">
        <v>3136</v>
      </c>
      <c r="S717" s="15">
        <v>41129</v>
      </c>
      <c r="T717" s="285">
        <v>733</v>
      </c>
    </row>
    <row r="718" spans="1:20" ht="54.75" customHeight="1" x14ac:dyDescent="0.2">
      <c r="A718" s="21">
        <v>730</v>
      </c>
      <c r="B718" s="289" t="s">
        <v>5431</v>
      </c>
      <c r="C718" s="289"/>
      <c r="D718" s="9" t="s">
        <v>6655</v>
      </c>
      <c r="E718" s="14"/>
      <c r="F718" s="13" t="s">
        <v>6656</v>
      </c>
      <c r="G718" s="285" t="s">
        <v>6266</v>
      </c>
      <c r="H718" s="285" t="s">
        <v>5127</v>
      </c>
      <c r="I718" s="289"/>
      <c r="J718" s="22" t="s">
        <v>3132</v>
      </c>
      <c r="K718" s="15">
        <v>41086</v>
      </c>
      <c r="L718" s="289" t="s">
        <v>1129</v>
      </c>
      <c r="M718" s="15">
        <v>41061</v>
      </c>
      <c r="N718" s="24">
        <v>1</v>
      </c>
      <c r="O718" s="17">
        <v>11372</v>
      </c>
      <c r="P718" s="17">
        <v>11372</v>
      </c>
      <c r="Q718" s="17">
        <f t="shared" si="17"/>
        <v>0</v>
      </c>
      <c r="R718" s="285"/>
      <c r="S718" s="15"/>
      <c r="T718" s="285"/>
    </row>
    <row r="719" spans="1:20" ht="32.25" customHeight="1" x14ac:dyDescent="0.2">
      <c r="A719" s="21">
        <v>731</v>
      </c>
      <c r="B719" s="289" t="s">
        <v>5432</v>
      </c>
      <c r="C719" s="285" t="s">
        <v>5274</v>
      </c>
      <c r="D719" s="9" t="s">
        <v>5775</v>
      </c>
      <c r="E719" s="14"/>
      <c r="F719" s="13" t="s">
        <v>6844</v>
      </c>
      <c r="G719" s="285" t="s">
        <v>7917</v>
      </c>
      <c r="H719" s="285" t="s">
        <v>5127</v>
      </c>
      <c r="I719" s="289"/>
      <c r="J719" s="285"/>
      <c r="K719" s="289"/>
      <c r="L719" s="289"/>
      <c r="M719" s="15">
        <v>41091</v>
      </c>
      <c r="N719" s="24">
        <v>1</v>
      </c>
      <c r="O719" s="17">
        <v>22870</v>
      </c>
      <c r="P719" s="17">
        <v>22870</v>
      </c>
      <c r="Q719" s="17">
        <f t="shared" si="17"/>
        <v>0</v>
      </c>
      <c r="R719" s="285" t="s">
        <v>5071</v>
      </c>
      <c r="S719" s="22" t="s">
        <v>3664</v>
      </c>
      <c r="T719" s="285">
        <v>622</v>
      </c>
    </row>
    <row r="720" spans="1:20" ht="54.75" customHeight="1" x14ac:dyDescent="0.2">
      <c r="A720" s="21">
        <v>732</v>
      </c>
      <c r="B720" s="289" t="s">
        <v>5433</v>
      </c>
      <c r="C720" s="285" t="s">
        <v>5274</v>
      </c>
      <c r="D720" s="9" t="s">
        <v>6114</v>
      </c>
      <c r="E720" s="15">
        <v>41244</v>
      </c>
      <c r="F720" s="13" t="s">
        <v>6947</v>
      </c>
      <c r="G720" s="285" t="s">
        <v>7982</v>
      </c>
      <c r="H720" s="285" t="s">
        <v>5127</v>
      </c>
      <c r="I720" s="289"/>
      <c r="J720" s="285" t="s">
        <v>9437</v>
      </c>
      <c r="K720" s="15">
        <v>41090</v>
      </c>
      <c r="L720" s="289" t="s">
        <v>1029</v>
      </c>
      <c r="M720" s="15">
        <v>41244</v>
      </c>
      <c r="N720" s="24">
        <v>1</v>
      </c>
      <c r="O720" s="17">
        <v>89989</v>
      </c>
      <c r="P720" s="17">
        <v>89989</v>
      </c>
      <c r="Q720" s="17">
        <f t="shared" si="17"/>
        <v>0</v>
      </c>
      <c r="R720" s="285" t="s">
        <v>5071</v>
      </c>
      <c r="S720" s="22" t="s">
        <v>4439</v>
      </c>
      <c r="T720" s="285">
        <v>16</v>
      </c>
    </row>
    <row r="721" spans="1:20" ht="72" customHeight="1" x14ac:dyDescent="0.2">
      <c r="A721" s="21">
        <v>733</v>
      </c>
      <c r="B721" s="289" t="s">
        <v>4699</v>
      </c>
      <c r="C721" s="285"/>
      <c r="D721" s="9" t="s">
        <v>5775</v>
      </c>
      <c r="E721" s="15">
        <v>41244</v>
      </c>
      <c r="F721" s="13" t="s">
        <v>6657</v>
      </c>
      <c r="G721" s="285" t="s">
        <v>6266</v>
      </c>
      <c r="H721" s="285" t="s">
        <v>5127</v>
      </c>
      <c r="I721" s="289"/>
      <c r="J721" s="285" t="s">
        <v>9408</v>
      </c>
      <c r="K721" s="15">
        <v>41090</v>
      </c>
      <c r="L721" s="289" t="s">
        <v>1029</v>
      </c>
      <c r="M721" s="15">
        <v>41091</v>
      </c>
      <c r="N721" s="24">
        <v>1</v>
      </c>
      <c r="O721" s="17">
        <v>19155</v>
      </c>
      <c r="P721" s="17">
        <v>19155</v>
      </c>
      <c r="Q721" s="17">
        <f t="shared" si="17"/>
        <v>0</v>
      </c>
      <c r="R721" s="285" t="s">
        <v>5071</v>
      </c>
      <c r="S721" s="22" t="s">
        <v>399</v>
      </c>
      <c r="T721" s="285">
        <v>100</v>
      </c>
    </row>
    <row r="722" spans="1:20" ht="54.75" customHeight="1" x14ac:dyDescent="0.2">
      <c r="A722" s="21">
        <v>734</v>
      </c>
      <c r="B722" s="289" t="s">
        <v>4700</v>
      </c>
      <c r="C722" s="285"/>
      <c r="D722" s="9" t="s">
        <v>3419</v>
      </c>
      <c r="E722" s="15">
        <v>41275</v>
      </c>
      <c r="F722" s="9" t="s">
        <v>10989</v>
      </c>
      <c r="G722" s="285" t="s">
        <v>7983</v>
      </c>
      <c r="H722" s="285" t="s">
        <v>5127</v>
      </c>
      <c r="I722" s="289"/>
      <c r="J722" s="22" t="s">
        <v>3136</v>
      </c>
      <c r="K722" s="15">
        <v>41156</v>
      </c>
      <c r="L722" s="289">
        <v>828</v>
      </c>
      <c r="M722" s="15">
        <v>41156</v>
      </c>
      <c r="N722" s="24">
        <v>1</v>
      </c>
      <c r="O722" s="17">
        <v>1</v>
      </c>
      <c r="P722" s="17">
        <v>1</v>
      </c>
      <c r="Q722" s="17">
        <f t="shared" si="17"/>
        <v>0</v>
      </c>
      <c r="R722" s="285" t="s">
        <v>3136</v>
      </c>
      <c r="S722" s="22" t="s">
        <v>4300</v>
      </c>
      <c r="T722" s="285">
        <v>828</v>
      </c>
    </row>
    <row r="723" spans="1:20" ht="47.25" customHeight="1" x14ac:dyDescent="0.2">
      <c r="A723" s="21">
        <v>735</v>
      </c>
      <c r="B723" s="289" t="s">
        <v>6059</v>
      </c>
      <c r="C723" s="285"/>
      <c r="D723" s="9" t="s">
        <v>5775</v>
      </c>
      <c r="E723" s="14"/>
      <c r="F723" s="13"/>
      <c r="G723" s="285" t="s">
        <v>7983</v>
      </c>
      <c r="H723" s="285" t="s">
        <v>5127</v>
      </c>
      <c r="I723" s="289"/>
      <c r="J723" s="22" t="s">
        <v>3136</v>
      </c>
      <c r="K723" s="15">
        <v>41156</v>
      </c>
      <c r="L723" s="289">
        <v>828</v>
      </c>
      <c r="M723" s="15">
        <v>41156</v>
      </c>
      <c r="N723" s="24">
        <v>1</v>
      </c>
      <c r="O723" s="17">
        <v>13333</v>
      </c>
      <c r="P723" s="17">
        <v>13333</v>
      </c>
      <c r="Q723" s="17">
        <f t="shared" si="17"/>
        <v>0</v>
      </c>
      <c r="R723" s="285" t="s">
        <v>3136</v>
      </c>
      <c r="S723" s="22" t="s">
        <v>4300</v>
      </c>
      <c r="T723" s="285">
        <v>828</v>
      </c>
    </row>
    <row r="724" spans="1:20" ht="108.75" customHeight="1" x14ac:dyDescent="0.2">
      <c r="A724" s="21">
        <v>736</v>
      </c>
      <c r="B724" s="289" t="s">
        <v>6060</v>
      </c>
      <c r="C724" s="285"/>
      <c r="D724" s="9" t="s">
        <v>62</v>
      </c>
      <c r="E724" s="14"/>
      <c r="F724" s="13" t="s">
        <v>63</v>
      </c>
      <c r="G724" s="285" t="s">
        <v>7983</v>
      </c>
      <c r="H724" s="285" t="s">
        <v>5127</v>
      </c>
      <c r="I724" s="289"/>
      <c r="J724" s="22" t="s">
        <v>3136</v>
      </c>
      <c r="K724" s="15">
        <v>41179</v>
      </c>
      <c r="L724" s="289">
        <v>904</v>
      </c>
      <c r="M724" s="15">
        <v>41179</v>
      </c>
      <c r="N724" s="24">
        <v>2</v>
      </c>
      <c r="O724" s="17">
        <v>21842</v>
      </c>
      <c r="P724" s="17">
        <v>21842</v>
      </c>
      <c r="Q724" s="17">
        <f t="shared" si="17"/>
        <v>0</v>
      </c>
      <c r="R724" s="285"/>
      <c r="S724" s="22"/>
      <c r="T724" s="285"/>
    </row>
    <row r="725" spans="1:20" ht="32.25" customHeight="1" x14ac:dyDescent="0.2">
      <c r="A725" s="21">
        <v>737</v>
      </c>
      <c r="B725" s="289" t="s">
        <v>6061</v>
      </c>
      <c r="C725" s="285" t="s">
        <v>5274</v>
      </c>
      <c r="D725" s="9" t="s">
        <v>5981</v>
      </c>
      <c r="E725" s="14"/>
      <c r="F725" s="13" t="s">
        <v>6845</v>
      </c>
      <c r="G725" s="285" t="s">
        <v>7917</v>
      </c>
      <c r="H725" s="285" t="s">
        <v>5127</v>
      </c>
      <c r="I725" s="289"/>
      <c r="J725" s="285"/>
      <c r="K725" s="289"/>
      <c r="L725" s="289"/>
      <c r="M725" s="15">
        <v>41244</v>
      </c>
      <c r="N725" s="24">
        <v>1</v>
      </c>
      <c r="O725" s="17">
        <v>21320</v>
      </c>
      <c r="P725" s="17">
        <v>21320</v>
      </c>
      <c r="Q725" s="17">
        <f t="shared" si="17"/>
        <v>0</v>
      </c>
      <c r="R725" s="285" t="s">
        <v>5071</v>
      </c>
      <c r="S725" s="22" t="s">
        <v>3104</v>
      </c>
      <c r="T725" s="285">
        <v>1247</v>
      </c>
    </row>
    <row r="726" spans="1:20" ht="108.75" customHeight="1" x14ac:dyDescent="0.2">
      <c r="A726" s="21">
        <v>738</v>
      </c>
      <c r="B726" s="289" t="s">
        <v>6062</v>
      </c>
      <c r="C726" s="285"/>
      <c r="D726" s="9" t="s">
        <v>5870</v>
      </c>
      <c r="E726" s="22">
        <v>2012</v>
      </c>
      <c r="F726" s="13" t="s">
        <v>6948</v>
      </c>
      <c r="G726" s="285" t="s">
        <v>7982</v>
      </c>
      <c r="H726" s="285" t="s">
        <v>5127</v>
      </c>
      <c r="I726" s="289"/>
      <c r="J726" s="285" t="s">
        <v>9437</v>
      </c>
      <c r="K726" s="15">
        <v>41182</v>
      </c>
      <c r="L726" s="289" t="s">
        <v>1029</v>
      </c>
      <c r="M726" s="15">
        <v>41244</v>
      </c>
      <c r="N726" s="24">
        <v>3</v>
      </c>
      <c r="O726" s="17">
        <v>30999</v>
      </c>
      <c r="P726" s="17">
        <v>30999</v>
      </c>
      <c r="Q726" s="17">
        <f t="shared" si="17"/>
        <v>0</v>
      </c>
      <c r="R726" s="285" t="s">
        <v>2779</v>
      </c>
      <c r="S726" s="22" t="s">
        <v>3178</v>
      </c>
      <c r="T726" s="285">
        <v>1</v>
      </c>
    </row>
    <row r="727" spans="1:20" ht="62.25" customHeight="1" x14ac:dyDescent="0.2">
      <c r="A727" s="21">
        <v>739</v>
      </c>
      <c r="B727" s="289" t="s">
        <v>6063</v>
      </c>
      <c r="C727" s="285"/>
      <c r="D727" s="9" t="s">
        <v>1902</v>
      </c>
      <c r="E727" s="22" t="s">
        <v>2263</v>
      </c>
      <c r="F727" s="13" t="s">
        <v>6516</v>
      </c>
      <c r="G727" s="285" t="s">
        <v>7464</v>
      </c>
      <c r="H727" s="285" t="s">
        <v>5127</v>
      </c>
      <c r="I727" s="289"/>
      <c r="J727" s="285" t="s">
        <v>3136</v>
      </c>
      <c r="K727" s="15">
        <v>41578</v>
      </c>
      <c r="L727" s="289">
        <v>1024</v>
      </c>
      <c r="M727" s="15">
        <v>41214</v>
      </c>
      <c r="N727" s="24">
        <v>1</v>
      </c>
      <c r="O727" s="17">
        <v>6633</v>
      </c>
      <c r="P727" s="17">
        <v>6633</v>
      </c>
      <c r="Q727" s="17">
        <f t="shared" si="17"/>
        <v>0</v>
      </c>
      <c r="R727" s="285"/>
      <c r="S727" s="22"/>
      <c r="T727" s="285"/>
    </row>
    <row r="728" spans="1:20" ht="62.25" customHeight="1" x14ac:dyDescent="0.2">
      <c r="A728" s="21">
        <v>740</v>
      </c>
      <c r="B728" s="289" t="s">
        <v>6064</v>
      </c>
      <c r="C728" s="285"/>
      <c r="D728" s="9" t="s">
        <v>1903</v>
      </c>
      <c r="E728" s="22" t="s">
        <v>1409</v>
      </c>
      <c r="F728" s="13" t="s">
        <v>6517</v>
      </c>
      <c r="G728" s="285" t="s">
        <v>7464</v>
      </c>
      <c r="H728" s="285" t="s">
        <v>5127</v>
      </c>
      <c r="I728" s="289"/>
      <c r="J728" s="285" t="s">
        <v>3136</v>
      </c>
      <c r="K728" s="15">
        <v>41578</v>
      </c>
      <c r="L728" s="289">
        <v>1024</v>
      </c>
      <c r="M728" s="15">
        <v>41214</v>
      </c>
      <c r="N728" s="24">
        <v>1</v>
      </c>
      <c r="O728" s="17">
        <v>23825.16</v>
      </c>
      <c r="P728" s="17">
        <v>23825.16</v>
      </c>
      <c r="Q728" s="17">
        <f t="shared" si="17"/>
        <v>0</v>
      </c>
      <c r="R728" s="285"/>
      <c r="S728" s="22"/>
      <c r="T728" s="285"/>
    </row>
    <row r="729" spans="1:20" ht="62.25" customHeight="1" x14ac:dyDescent="0.2">
      <c r="A729" s="21">
        <v>741</v>
      </c>
      <c r="B729" s="289" t="s">
        <v>1924</v>
      </c>
      <c r="C729" s="285"/>
      <c r="D729" s="9" t="s">
        <v>6724</v>
      </c>
      <c r="E729" s="22">
        <v>2012</v>
      </c>
      <c r="F729" s="9" t="s">
        <v>6725</v>
      </c>
      <c r="G729" s="285" t="s">
        <v>4946</v>
      </c>
      <c r="H729" s="285" t="s">
        <v>5127</v>
      </c>
      <c r="I729" s="289"/>
      <c r="J729" s="285" t="s">
        <v>3136</v>
      </c>
      <c r="K729" s="15">
        <v>42156</v>
      </c>
      <c r="L729" s="289">
        <v>449</v>
      </c>
      <c r="M729" s="15">
        <v>42156</v>
      </c>
      <c r="N729" s="24">
        <v>1</v>
      </c>
      <c r="O729" s="17">
        <v>34689</v>
      </c>
      <c r="P729" s="17">
        <v>34689</v>
      </c>
      <c r="Q729" s="17">
        <f t="shared" si="17"/>
        <v>0</v>
      </c>
      <c r="R729" s="249" t="s">
        <v>897</v>
      </c>
      <c r="S729" s="22" t="s">
        <v>896</v>
      </c>
      <c r="T729" s="285" t="s">
        <v>895</v>
      </c>
    </row>
    <row r="730" spans="1:20" ht="62.25" customHeight="1" x14ac:dyDescent="0.2">
      <c r="A730" s="21">
        <v>742</v>
      </c>
      <c r="B730" s="289" t="s">
        <v>1925</v>
      </c>
      <c r="C730" s="285"/>
      <c r="D730" s="9" t="s">
        <v>2976</v>
      </c>
      <c r="E730" s="14" t="s">
        <v>1031</v>
      </c>
      <c r="F730" s="9" t="s">
        <v>6726</v>
      </c>
      <c r="G730" s="285" t="s">
        <v>4946</v>
      </c>
      <c r="H730" s="285" t="s">
        <v>5127</v>
      </c>
      <c r="I730" s="289"/>
      <c r="J730" s="285" t="s">
        <v>3136</v>
      </c>
      <c r="K730" s="15">
        <v>42156</v>
      </c>
      <c r="L730" s="289">
        <v>449</v>
      </c>
      <c r="M730" s="15">
        <v>42156</v>
      </c>
      <c r="N730" s="24">
        <v>1</v>
      </c>
      <c r="O730" s="17">
        <v>28931.33</v>
      </c>
      <c r="P730" s="17">
        <v>28931.33</v>
      </c>
      <c r="Q730" s="17">
        <f t="shared" si="17"/>
        <v>0</v>
      </c>
      <c r="R730" s="249" t="s">
        <v>897</v>
      </c>
      <c r="S730" s="22" t="s">
        <v>896</v>
      </c>
      <c r="T730" s="285" t="s">
        <v>895</v>
      </c>
    </row>
    <row r="731" spans="1:20" ht="71.25" customHeight="1" x14ac:dyDescent="0.2">
      <c r="A731" s="21">
        <v>743</v>
      </c>
      <c r="B731" s="289" t="s">
        <v>1926</v>
      </c>
      <c r="C731" s="285"/>
      <c r="D731" s="9" t="s">
        <v>5870</v>
      </c>
      <c r="E731" s="14" t="s">
        <v>1031</v>
      </c>
      <c r="F731" s="13" t="s">
        <v>6518</v>
      </c>
      <c r="G731" s="285" t="s">
        <v>7464</v>
      </c>
      <c r="H731" s="285" t="s">
        <v>5127</v>
      </c>
      <c r="I731" s="289"/>
      <c r="J731" s="285" t="s">
        <v>15</v>
      </c>
      <c r="K731" s="14">
        <v>41087</v>
      </c>
      <c r="L731" s="289">
        <v>83</v>
      </c>
      <c r="M731" s="12" t="s">
        <v>1031</v>
      </c>
      <c r="N731" s="24">
        <v>1</v>
      </c>
      <c r="O731" s="17">
        <v>13930</v>
      </c>
      <c r="P731" s="17">
        <v>13930</v>
      </c>
      <c r="Q731" s="17">
        <f t="shared" si="17"/>
        <v>0</v>
      </c>
      <c r="R731" s="285" t="s">
        <v>5583</v>
      </c>
      <c r="S731" s="22" t="s">
        <v>4712</v>
      </c>
      <c r="T731" s="285">
        <v>83</v>
      </c>
    </row>
    <row r="732" spans="1:20" ht="71.25" customHeight="1" x14ac:dyDescent="0.2">
      <c r="A732" s="21">
        <v>744</v>
      </c>
      <c r="B732" s="289" t="s">
        <v>1927</v>
      </c>
      <c r="C732" s="285"/>
      <c r="D732" s="9" t="s">
        <v>5981</v>
      </c>
      <c r="E732" s="22" t="s">
        <v>1031</v>
      </c>
      <c r="F732" s="13" t="s">
        <v>6528</v>
      </c>
      <c r="G732" s="285" t="s">
        <v>8293</v>
      </c>
      <c r="H732" s="285" t="s">
        <v>5127</v>
      </c>
      <c r="I732" s="289"/>
      <c r="J732" s="285"/>
      <c r="K732" s="289"/>
      <c r="L732" s="289"/>
      <c r="M732" s="15">
        <v>41268</v>
      </c>
      <c r="N732" s="24">
        <v>1</v>
      </c>
      <c r="O732" s="17">
        <v>13090</v>
      </c>
      <c r="P732" s="17">
        <v>13090</v>
      </c>
      <c r="Q732" s="17">
        <f t="shared" si="17"/>
        <v>0</v>
      </c>
      <c r="R732" s="285" t="s">
        <v>15</v>
      </c>
      <c r="S732" s="15">
        <v>41269</v>
      </c>
      <c r="T732" s="285">
        <v>201</v>
      </c>
    </row>
    <row r="733" spans="1:20" ht="86.25" customHeight="1" x14ac:dyDescent="0.2">
      <c r="A733" s="21">
        <v>745</v>
      </c>
      <c r="B733" s="289" t="s">
        <v>1928</v>
      </c>
      <c r="C733" s="289"/>
      <c r="D733" s="9" t="s">
        <v>2624</v>
      </c>
      <c r="E733" s="15"/>
      <c r="F733" s="13"/>
      <c r="G733" s="285" t="s">
        <v>4296</v>
      </c>
      <c r="H733" s="285" t="s">
        <v>3793</v>
      </c>
      <c r="I733" s="289"/>
      <c r="J733" s="285" t="s">
        <v>3136</v>
      </c>
      <c r="K733" s="14">
        <v>43032</v>
      </c>
      <c r="L733" s="289">
        <v>951</v>
      </c>
      <c r="M733" s="15">
        <v>41275</v>
      </c>
      <c r="N733" s="24">
        <v>1</v>
      </c>
      <c r="O733" s="17">
        <v>3333</v>
      </c>
      <c r="P733" s="17">
        <v>3333</v>
      </c>
      <c r="Q733" s="17">
        <f t="shared" si="17"/>
        <v>0</v>
      </c>
      <c r="R733" s="289"/>
      <c r="S733" s="289"/>
      <c r="T733" s="285"/>
    </row>
    <row r="734" spans="1:20" ht="71.25" customHeight="1" x14ac:dyDescent="0.2">
      <c r="A734" s="21">
        <v>746</v>
      </c>
      <c r="B734" s="289" t="s">
        <v>1929</v>
      </c>
      <c r="C734" s="285"/>
      <c r="D734" s="9" t="s">
        <v>7090</v>
      </c>
      <c r="E734" s="14"/>
      <c r="F734" s="9" t="s">
        <v>10304</v>
      </c>
      <c r="G734" s="285" t="s">
        <v>792</v>
      </c>
      <c r="H734" s="285" t="s">
        <v>5127</v>
      </c>
      <c r="I734" s="289"/>
      <c r="J734" s="285"/>
      <c r="K734" s="289"/>
      <c r="L734" s="289"/>
      <c r="M734" s="15">
        <v>41275</v>
      </c>
      <c r="N734" s="24">
        <v>1</v>
      </c>
      <c r="O734" s="17">
        <v>7261</v>
      </c>
      <c r="P734" s="17">
        <v>7261</v>
      </c>
      <c r="Q734" s="17">
        <f t="shared" si="17"/>
        <v>0</v>
      </c>
      <c r="R734" s="285" t="s">
        <v>2779</v>
      </c>
      <c r="S734" s="14">
        <v>41187</v>
      </c>
      <c r="T734" s="285">
        <v>571</v>
      </c>
    </row>
    <row r="735" spans="1:20" ht="71.25" customHeight="1" x14ac:dyDescent="0.2">
      <c r="A735" s="21">
        <v>747</v>
      </c>
      <c r="B735" s="289" t="s">
        <v>1930</v>
      </c>
      <c r="C735" s="285" t="s">
        <v>5274</v>
      </c>
      <c r="D735" s="9" t="s">
        <v>5981</v>
      </c>
      <c r="E735" s="15">
        <v>41275</v>
      </c>
      <c r="F735" s="13" t="s">
        <v>6949</v>
      </c>
      <c r="G735" s="285" t="s">
        <v>7982</v>
      </c>
      <c r="H735" s="285" t="s">
        <v>5127</v>
      </c>
      <c r="I735" s="289"/>
      <c r="J735" s="285" t="s">
        <v>9437</v>
      </c>
      <c r="K735" s="15">
        <v>41274</v>
      </c>
      <c r="L735" s="289" t="s">
        <v>1029</v>
      </c>
      <c r="M735" s="15">
        <v>41275</v>
      </c>
      <c r="N735" s="24">
        <v>1</v>
      </c>
      <c r="O735" s="17">
        <v>21107</v>
      </c>
      <c r="P735" s="17">
        <v>21107</v>
      </c>
      <c r="Q735" s="17">
        <f t="shared" si="17"/>
        <v>0</v>
      </c>
      <c r="R735" s="285" t="s">
        <v>2779</v>
      </c>
      <c r="S735" s="15">
        <v>41193</v>
      </c>
      <c r="T735" s="285">
        <v>213</v>
      </c>
    </row>
    <row r="736" spans="1:20" ht="71.25" customHeight="1" x14ac:dyDescent="0.2">
      <c r="A736" s="21">
        <v>748</v>
      </c>
      <c r="B736" s="289" t="s">
        <v>1931</v>
      </c>
      <c r="C736" s="285"/>
      <c r="D736" s="9" t="s">
        <v>5870</v>
      </c>
      <c r="E736" s="15">
        <v>41333</v>
      </c>
      <c r="F736" s="13" t="s">
        <v>6603</v>
      </c>
      <c r="G736" s="285" t="s">
        <v>2074</v>
      </c>
      <c r="H736" s="285" t="s">
        <v>5127</v>
      </c>
      <c r="I736" s="289"/>
      <c r="J736" s="285" t="s">
        <v>2278</v>
      </c>
      <c r="K736" s="15">
        <v>41320</v>
      </c>
      <c r="L736" s="289">
        <v>26</v>
      </c>
      <c r="M736" s="15">
        <v>41306</v>
      </c>
      <c r="N736" s="24">
        <v>1</v>
      </c>
      <c r="O736" s="17">
        <v>17910.91</v>
      </c>
      <c r="P736" s="17">
        <v>17910.91</v>
      </c>
      <c r="Q736" s="17">
        <f t="shared" si="17"/>
        <v>0</v>
      </c>
      <c r="R736" s="285" t="s">
        <v>2278</v>
      </c>
      <c r="S736" s="15">
        <v>41320</v>
      </c>
      <c r="T736" s="285">
        <v>26</v>
      </c>
    </row>
    <row r="737" spans="1:20" ht="71.25" customHeight="1" x14ac:dyDescent="0.2">
      <c r="A737" s="21">
        <v>749</v>
      </c>
      <c r="B737" s="289" t="s">
        <v>1932</v>
      </c>
      <c r="C737" s="285"/>
      <c r="D737" s="9" t="s">
        <v>1684</v>
      </c>
      <c r="E737" s="15">
        <v>41365</v>
      </c>
      <c r="F737" s="13" t="s">
        <v>6604</v>
      </c>
      <c r="G737" s="285" t="s">
        <v>2074</v>
      </c>
      <c r="H737" s="285" t="s">
        <v>5127</v>
      </c>
      <c r="I737" s="289"/>
      <c r="J737" s="285" t="s">
        <v>2278</v>
      </c>
      <c r="K737" s="15">
        <v>41320</v>
      </c>
      <c r="L737" s="289">
        <v>26</v>
      </c>
      <c r="M737" s="15">
        <v>41306</v>
      </c>
      <c r="N737" s="24">
        <v>1</v>
      </c>
      <c r="O737" s="17">
        <v>28437</v>
      </c>
      <c r="P737" s="17">
        <v>28437</v>
      </c>
      <c r="Q737" s="17">
        <f t="shared" si="17"/>
        <v>0</v>
      </c>
      <c r="R737" s="285" t="s">
        <v>2278</v>
      </c>
      <c r="S737" s="15">
        <v>41320</v>
      </c>
      <c r="T737" s="285">
        <v>26</v>
      </c>
    </row>
    <row r="738" spans="1:20" ht="71.25" customHeight="1" x14ac:dyDescent="0.2">
      <c r="A738" s="21">
        <v>750</v>
      </c>
      <c r="B738" s="289" t="s">
        <v>1933</v>
      </c>
      <c r="C738" s="285"/>
      <c r="D738" s="9" t="s">
        <v>5870</v>
      </c>
      <c r="E738" s="15">
        <v>41347</v>
      </c>
      <c r="F738" s="13" t="s">
        <v>6605</v>
      </c>
      <c r="G738" s="285" t="s">
        <v>2074</v>
      </c>
      <c r="H738" s="285" t="s">
        <v>5127</v>
      </c>
      <c r="I738" s="289"/>
      <c r="J738" s="285" t="s">
        <v>2278</v>
      </c>
      <c r="K738" s="15">
        <v>41320</v>
      </c>
      <c r="L738" s="289">
        <v>26</v>
      </c>
      <c r="M738" s="15">
        <v>41306</v>
      </c>
      <c r="N738" s="24">
        <v>1</v>
      </c>
      <c r="O738" s="17">
        <v>10152</v>
      </c>
      <c r="P738" s="17">
        <v>10152</v>
      </c>
      <c r="Q738" s="17">
        <f t="shared" si="17"/>
        <v>0</v>
      </c>
      <c r="R738" s="285" t="s">
        <v>2278</v>
      </c>
      <c r="S738" s="15">
        <v>41320</v>
      </c>
      <c r="T738" s="285">
        <v>26</v>
      </c>
    </row>
    <row r="739" spans="1:20" ht="69.75" customHeight="1" x14ac:dyDescent="0.2">
      <c r="A739" s="21">
        <v>751</v>
      </c>
      <c r="B739" s="289" t="s">
        <v>1934</v>
      </c>
      <c r="C739" s="285"/>
      <c r="D739" s="9" t="s">
        <v>6950</v>
      </c>
      <c r="E739" s="15">
        <v>41365</v>
      </c>
      <c r="F739" s="9" t="s">
        <v>7055</v>
      </c>
      <c r="G739" s="285" t="s">
        <v>7981</v>
      </c>
      <c r="H739" s="285" t="s">
        <v>5127</v>
      </c>
      <c r="I739" s="289"/>
      <c r="J739" s="285" t="s">
        <v>3136</v>
      </c>
      <c r="K739" s="15">
        <v>41408</v>
      </c>
      <c r="L739" s="289">
        <v>440</v>
      </c>
      <c r="M739" s="15">
        <v>41333</v>
      </c>
      <c r="N739" s="24">
        <v>5</v>
      </c>
      <c r="O739" s="17">
        <v>58827.75</v>
      </c>
      <c r="P739" s="17">
        <v>58827.75</v>
      </c>
      <c r="Q739" s="17">
        <f t="shared" si="17"/>
        <v>0</v>
      </c>
      <c r="R739" s="285" t="s">
        <v>900</v>
      </c>
      <c r="S739" s="14" t="s">
        <v>901</v>
      </c>
      <c r="T739" s="285" t="s">
        <v>899</v>
      </c>
    </row>
    <row r="740" spans="1:20" ht="33" customHeight="1" x14ac:dyDescent="0.2">
      <c r="A740" s="21">
        <v>752</v>
      </c>
      <c r="B740" s="289" t="s">
        <v>1935</v>
      </c>
      <c r="C740" s="285"/>
      <c r="D740" s="9" t="s">
        <v>6846</v>
      </c>
      <c r="E740" s="15">
        <v>41347</v>
      </c>
      <c r="F740" s="9" t="s">
        <v>6847</v>
      </c>
      <c r="G740" s="285" t="s">
        <v>7917</v>
      </c>
      <c r="H740" s="285" t="s">
        <v>5127</v>
      </c>
      <c r="I740" s="289"/>
      <c r="J740" s="285" t="s">
        <v>3136</v>
      </c>
      <c r="K740" s="15">
        <v>41408</v>
      </c>
      <c r="L740" s="289">
        <v>441</v>
      </c>
      <c r="M740" s="15">
        <v>41333</v>
      </c>
      <c r="N740" s="24">
        <v>5</v>
      </c>
      <c r="O740" s="17">
        <v>58827.75</v>
      </c>
      <c r="P740" s="17">
        <v>58827.75</v>
      </c>
      <c r="Q740" s="17">
        <f t="shared" si="17"/>
        <v>0</v>
      </c>
      <c r="R740" s="285" t="s">
        <v>900</v>
      </c>
      <c r="S740" s="14" t="s">
        <v>901</v>
      </c>
      <c r="T740" s="285" t="s">
        <v>899</v>
      </c>
    </row>
    <row r="741" spans="1:20" ht="33" customHeight="1" x14ac:dyDescent="0.2">
      <c r="A741" s="21">
        <v>753</v>
      </c>
      <c r="B741" s="289" t="s">
        <v>2642</v>
      </c>
      <c r="C741" s="285" t="s">
        <v>5274</v>
      </c>
      <c r="D741" s="9" t="s">
        <v>5981</v>
      </c>
      <c r="E741" s="15">
        <v>41809</v>
      </c>
      <c r="F741" s="13" t="s">
        <v>4464</v>
      </c>
      <c r="G741" s="285" t="s">
        <v>7917</v>
      </c>
      <c r="H741" s="285" t="s">
        <v>5127</v>
      </c>
      <c r="I741" s="289"/>
      <c r="J741" s="285"/>
      <c r="K741" s="289"/>
      <c r="L741" s="289"/>
      <c r="M741" s="15">
        <v>41365</v>
      </c>
      <c r="N741" s="24">
        <v>1</v>
      </c>
      <c r="O741" s="17">
        <v>21320</v>
      </c>
      <c r="P741" s="17">
        <v>21320</v>
      </c>
      <c r="Q741" s="17">
        <f t="shared" ref="Q741:Q804" si="18">O741-P741</f>
        <v>0</v>
      </c>
      <c r="R741" s="285" t="s">
        <v>3405</v>
      </c>
      <c r="S741" s="15">
        <v>41331</v>
      </c>
      <c r="T741" s="285">
        <v>275</v>
      </c>
    </row>
    <row r="742" spans="1:20" ht="69.75" customHeight="1" x14ac:dyDescent="0.2">
      <c r="A742" s="21">
        <v>754</v>
      </c>
      <c r="B742" s="289" t="s">
        <v>3998</v>
      </c>
      <c r="C742" s="285"/>
      <c r="D742" s="9" t="s">
        <v>5981</v>
      </c>
      <c r="E742" s="14"/>
      <c r="F742" s="13" t="s">
        <v>6658</v>
      </c>
      <c r="G742" s="285" t="s">
        <v>6266</v>
      </c>
      <c r="H742" s="285" t="s">
        <v>5127</v>
      </c>
      <c r="I742" s="289"/>
      <c r="J742" s="285" t="s">
        <v>9408</v>
      </c>
      <c r="K742" s="15">
        <v>41364</v>
      </c>
      <c r="L742" s="289" t="s">
        <v>1029</v>
      </c>
      <c r="M742" s="15">
        <v>41351</v>
      </c>
      <c r="N742" s="24">
        <v>1</v>
      </c>
      <c r="O742" s="17">
        <v>32726.93</v>
      </c>
      <c r="P742" s="17">
        <v>32726.93</v>
      </c>
      <c r="Q742" s="17">
        <f t="shared" si="18"/>
        <v>0</v>
      </c>
      <c r="R742" s="285" t="s">
        <v>582</v>
      </c>
      <c r="S742" s="14" t="s">
        <v>902</v>
      </c>
      <c r="T742" s="285" t="s">
        <v>903</v>
      </c>
    </row>
    <row r="743" spans="1:20" ht="33" customHeight="1" x14ac:dyDescent="0.2">
      <c r="A743" s="21">
        <v>755</v>
      </c>
      <c r="B743" s="289" t="s">
        <v>3999</v>
      </c>
      <c r="C743" s="285" t="s">
        <v>5274</v>
      </c>
      <c r="D743" s="9" t="s">
        <v>6848</v>
      </c>
      <c r="E743" s="14"/>
      <c r="F743" s="13" t="s">
        <v>6849</v>
      </c>
      <c r="G743" s="285" t="s">
        <v>7917</v>
      </c>
      <c r="H743" s="285" t="s">
        <v>5127</v>
      </c>
      <c r="I743" s="289"/>
      <c r="J743" s="285" t="s">
        <v>3136</v>
      </c>
      <c r="K743" s="15">
        <v>41424</v>
      </c>
      <c r="L743" s="289">
        <v>511</v>
      </c>
      <c r="M743" s="15">
        <v>41365</v>
      </c>
      <c r="N743" s="24">
        <v>5</v>
      </c>
      <c r="O743" s="17">
        <v>108340</v>
      </c>
      <c r="P743" s="17">
        <v>108340</v>
      </c>
      <c r="Q743" s="17">
        <f t="shared" si="18"/>
        <v>0</v>
      </c>
      <c r="R743" s="285" t="s">
        <v>585</v>
      </c>
      <c r="S743" s="14" t="s">
        <v>583</v>
      </c>
      <c r="T743" s="285" t="s">
        <v>584</v>
      </c>
    </row>
    <row r="744" spans="1:20" ht="34.5" customHeight="1" x14ac:dyDescent="0.2">
      <c r="A744" s="21">
        <v>756</v>
      </c>
      <c r="B744" s="289" t="s">
        <v>2093</v>
      </c>
      <c r="C744" s="285" t="s">
        <v>5274</v>
      </c>
      <c r="D744" s="9" t="s">
        <v>6850</v>
      </c>
      <c r="E744" s="14"/>
      <c r="F744" s="13" t="s">
        <v>6851</v>
      </c>
      <c r="G744" s="285" t="s">
        <v>7917</v>
      </c>
      <c r="H744" s="285" t="s">
        <v>5127</v>
      </c>
      <c r="I744" s="289"/>
      <c r="J744" s="285" t="s">
        <v>3136</v>
      </c>
      <c r="K744" s="15">
        <v>41401</v>
      </c>
      <c r="L744" s="289">
        <v>421</v>
      </c>
      <c r="M744" s="15">
        <v>41365</v>
      </c>
      <c r="N744" s="24">
        <v>2</v>
      </c>
      <c r="O744" s="17">
        <v>42640</v>
      </c>
      <c r="P744" s="17">
        <v>42640</v>
      </c>
      <c r="Q744" s="17">
        <f t="shared" si="18"/>
        <v>0</v>
      </c>
      <c r="R744" s="285" t="s">
        <v>3405</v>
      </c>
      <c r="S744" s="14" t="s">
        <v>3891</v>
      </c>
      <c r="T744" s="285" t="s">
        <v>455</v>
      </c>
    </row>
    <row r="745" spans="1:20" ht="34.5" customHeight="1" x14ac:dyDescent="0.2">
      <c r="A745" s="21">
        <v>757</v>
      </c>
      <c r="B745" s="289" t="s">
        <v>2939</v>
      </c>
      <c r="C745" s="285"/>
      <c r="D745" s="9" t="s">
        <v>5981</v>
      </c>
      <c r="E745" s="14"/>
      <c r="F745" s="13" t="s">
        <v>6852</v>
      </c>
      <c r="G745" s="285" t="s">
        <v>7917</v>
      </c>
      <c r="H745" s="285" t="s">
        <v>5127</v>
      </c>
      <c r="I745" s="289"/>
      <c r="J745" s="285" t="s">
        <v>3136</v>
      </c>
      <c r="K745" s="15">
        <v>41401</v>
      </c>
      <c r="L745" s="289">
        <v>421</v>
      </c>
      <c r="M745" s="15">
        <v>41365</v>
      </c>
      <c r="N745" s="24">
        <v>1</v>
      </c>
      <c r="O745" s="17">
        <v>32726.93</v>
      </c>
      <c r="P745" s="17">
        <v>32726.93</v>
      </c>
      <c r="Q745" s="17">
        <f t="shared" si="18"/>
        <v>0</v>
      </c>
      <c r="R745" s="285" t="s">
        <v>582</v>
      </c>
      <c r="S745" s="14" t="s">
        <v>902</v>
      </c>
      <c r="T745" s="285" t="s">
        <v>903</v>
      </c>
    </row>
    <row r="746" spans="1:20" ht="48.75" customHeight="1" x14ac:dyDescent="0.2">
      <c r="A746" s="21">
        <v>758</v>
      </c>
      <c r="B746" s="289" t="s">
        <v>2940</v>
      </c>
      <c r="C746" s="285"/>
      <c r="D746" s="9" t="s">
        <v>5981</v>
      </c>
      <c r="E746" s="14"/>
      <c r="F746" s="13" t="s">
        <v>7056</v>
      </c>
      <c r="G746" s="285" t="s">
        <v>7981</v>
      </c>
      <c r="H746" s="285" t="s">
        <v>5127</v>
      </c>
      <c r="I746" s="289"/>
      <c r="J746" s="285" t="s">
        <v>3136</v>
      </c>
      <c r="K746" s="15">
        <v>41401</v>
      </c>
      <c r="L746" s="289">
        <v>420</v>
      </c>
      <c r="M746" s="15">
        <v>41365</v>
      </c>
      <c r="N746" s="24">
        <v>1</v>
      </c>
      <c r="O746" s="17">
        <v>32726.93</v>
      </c>
      <c r="P746" s="17">
        <v>32726.93</v>
      </c>
      <c r="Q746" s="17">
        <f t="shared" si="18"/>
        <v>0</v>
      </c>
      <c r="R746" s="285" t="s">
        <v>582</v>
      </c>
      <c r="S746" s="14" t="s">
        <v>902</v>
      </c>
      <c r="T746" s="285" t="s">
        <v>903</v>
      </c>
    </row>
    <row r="747" spans="1:20" ht="99" customHeight="1" x14ac:dyDescent="0.2">
      <c r="A747" s="21">
        <v>759</v>
      </c>
      <c r="B747" s="289" t="s">
        <v>2941</v>
      </c>
      <c r="C747" s="285"/>
      <c r="D747" s="9" t="s">
        <v>6951</v>
      </c>
      <c r="E747" s="15">
        <v>41365</v>
      </c>
      <c r="F747" s="9" t="s">
        <v>6952</v>
      </c>
      <c r="G747" s="285" t="s">
        <v>7982</v>
      </c>
      <c r="H747" s="285" t="s">
        <v>5127</v>
      </c>
      <c r="I747" s="289"/>
      <c r="J747" s="285" t="s">
        <v>3136</v>
      </c>
      <c r="K747" s="15">
        <v>41424</v>
      </c>
      <c r="L747" s="289">
        <v>513</v>
      </c>
      <c r="M747" s="15">
        <v>41365</v>
      </c>
      <c r="N747" s="24">
        <v>1</v>
      </c>
      <c r="O747" s="17">
        <v>32726.93</v>
      </c>
      <c r="P747" s="17">
        <v>32726.93</v>
      </c>
      <c r="Q747" s="17">
        <f t="shared" si="18"/>
        <v>0</v>
      </c>
      <c r="R747" s="285" t="s">
        <v>582</v>
      </c>
      <c r="S747" s="14" t="s">
        <v>902</v>
      </c>
      <c r="T747" s="285" t="s">
        <v>903</v>
      </c>
    </row>
    <row r="748" spans="1:20" ht="51.75" customHeight="1" x14ac:dyDescent="0.2">
      <c r="A748" s="21">
        <v>760</v>
      </c>
      <c r="B748" s="289" t="s">
        <v>2942</v>
      </c>
      <c r="C748" s="285"/>
      <c r="D748" s="9" t="s">
        <v>5981</v>
      </c>
      <c r="E748" s="15">
        <v>41347</v>
      </c>
      <c r="F748" s="13" t="s">
        <v>7057</v>
      </c>
      <c r="G748" s="285" t="s">
        <v>7981</v>
      </c>
      <c r="H748" s="285" t="s">
        <v>5127</v>
      </c>
      <c r="I748" s="289"/>
      <c r="J748" s="285" t="s">
        <v>3136</v>
      </c>
      <c r="K748" s="15">
        <v>41452</v>
      </c>
      <c r="L748" s="289">
        <v>636</v>
      </c>
      <c r="M748" s="15">
        <v>41375</v>
      </c>
      <c r="N748" s="24">
        <v>14</v>
      </c>
      <c r="O748" s="17">
        <v>238000</v>
      </c>
      <c r="P748" s="17">
        <v>238000</v>
      </c>
      <c r="Q748" s="17">
        <f t="shared" si="18"/>
        <v>0</v>
      </c>
      <c r="R748" s="285" t="s">
        <v>73</v>
      </c>
      <c r="S748" s="14">
        <v>41345</v>
      </c>
      <c r="T748" s="285">
        <v>1054</v>
      </c>
    </row>
    <row r="749" spans="1:20" ht="44.25" customHeight="1" x14ac:dyDescent="0.2">
      <c r="A749" s="21">
        <v>761</v>
      </c>
      <c r="B749" s="289" t="s">
        <v>4907</v>
      </c>
      <c r="C749" s="285"/>
      <c r="D749" s="9" t="s">
        <v>1737</v>
      </c>
      <c r="E749" s="15">
        <v>41375</v>
      </c>
      <c r="F749" s="13" t="s">
        <v>1738</v>
      </c>
      <c r="G749" s="285" t="s">
        <v>7981</v>
      </c>
      <c r="H749" s="285" t="s">
        <v>5127</v>
      </c>
      <c r="I749" s="289"/>
      <c r="J749" s="285" t="s">
        <v>3136</v>
      </c>
      <c r="K749" s="15">
        <v>41452</v>
      </c>
      <c r="L749" s="289">
        <v>636</v>
      </c>
      <c r="M749" s="15">
        <v>41375</v>
      </c>
      <c r="N749" s="24">
        <v>1</v>
      </c>
      <c r="O749" s="17">
        <v>18000</v>
      </c>
      <c r="P749" s="17">
        <v>18000</v>
      </c>
      <c r="Q749" s="17">
        <f t="shared" si="18"/>
        <v>0</v>
      </c>
      <c r="R749" s="285" t="s">
        <v>73</v>
      </c>
      <c r="S749" s="14">
        <v>41345</v>
      </c>
      <c r="T749" s="285">
        <v>1054</v>
      </c>
    </row>
    <row r="750" spans="1:20" ht="44.25" customHeight="1" x14ac:dyDescent="0.2">
      <c r="A750" s="21">
        <v>762</v>
      </c>
      <c r="B750" s="289" t="s">
        <v>6011</v>
      </c>
      <c r="C750" s="285"/>
      <c r="D750" s="250" t="s">
        <v>5560</v>
      </c>
      <c r="E750" s="22"/>
      <c r="F750" s="9" t="s">
        <v>9219</v>
      </c>
      <c r="G750" s="285" t="s">
        <v>7464</v>
      </c>
      <c r="H750" s="285" t="s">
        <v>5127</v>
      </c>
      <c r="I750" s="289"/>
      <c r="J750" s="285" t="s">
        <v>3136</v>
      </c>
      <c r="K750" s="15">
        <v>41607</v>
      </c>
      <c r="L750" s="289">
        <v>1148</v>
      </c>
      <c r="M750" s="15">
        <v>41607</v>
      </c>
      <c r="N750" s="24">
        <v>1</v>
      </c>
      <c r="O750" s="17">
        <f>32070-3600</f>
        <v>28470</v>
      </c>
      <c r="P750" s="17">
        <f>32070-3600</f>
        <v>28470</v>
      </c>
      <c r="Q750" s="17">
        <f t="shared" si="18"/>
        <v>0</v>
      </c>
      <c r="R750" s="285" t="s">
        <v>73</v>
      </c>
      <c r="S750" s="14">
        <v>41501</v>
      </c>
      <c r="T750" s="285">
        <v>428</v>
      </c>
    </row>
    <row r="751" spans="1:20" ht="44.25" customHeight="1" x14ac:dyDescent="0.2">
      <c r="A751" s="21">
        <v>763</v>
      </c>
      <c r="B751" s="289" t="s">
        <v>6012</v>
      </c>
      <c r="C751" s="285"/>
      <c r="D751" s="9" t="s">
        <v>1651</v>
      </c>
      <c r="E751" s="22"/>
      <c r="F751" s="13" t="s">
        <v>6567</v>
      </c>
      <c r="G751" s="285" t="s">
        <v>7464</v>
      </c>
      <c r="H751" s="285" t="s">
        <v>5127</v>
      </c>
      <c r="I751" s="289"/>
      <c r="J751" s="285" t="s">
        <v>3136</v>
      </c>
      <c r="K751" s="15">
        <v>41607</v>
      </c>
      <c r="L751" s="289">
        <v>1148</v>
      </c>
      <c r="M751" s="15">
        <v>41607</v>
      </c>
      <c r="N751" s="24">
        <v>1</v>
      </c>
      <c r="O751" s="17">
        <v>6536</v>
      </c>
      <c r="P751" s="17">
        <v>6536</v>
      </c>
      <c r="Q751" s="17">
        <f t="shared" si="18"/>
        <v>0</v>
      </c>
      <c r="R751" s="285" t="s">
        <v>5149</v>
      </c>
      <c r="S751" s="14">
        <v>41501</v>
      </c>
      <c r="T751" s="14"/>
    </row>
    <row r="752" spans="1:20" ht="97.5" customHeight="1" x14ac:dyDescent="0.2">
      <c r="A752" s="21">
        <v>764</v>
      </c>
      <c r="B752" s="289" t="s">
        <v>3750</v>
      </c>
      <c r="C752" s="12" t="s">
        <v>5274</v>
      </c>
      <c r="D752" s="9" t="s">
        <v>2448</v>
      </c>
      <c r="E752" s="15">
        <v>41347</v>
      </c>
      <c r="F752" s="9" t="s">
        <v>6953</v>
      </c>
      <c r="G752" s="285" t="s">
        <v>7982</v>
      </c>
      <c r="H752" s="285" t="s">
        <v>5127</v>
      </c>
      <c r="I752" s="289"/>
      <c r="J752" s="285" t="s">
        <v>9437</v>
      </c>
      <c r="K752" s="15">
        <v>41639</v>
      </c>
      <c r="L752" s="289" t="s">
        <v>1029</v>
      </c>
      <c r="M752" s="15">
        <v>41347</v>
      </c>
      <c r="N752" s="24">
        <v>1</v>
      </c>
      <c r="O752" s="17">
        <v>15091</v>
      </c>
      <c r="P752" s="17">
        <v>15091</v>
      </c>
      <c r="Q752" s="17">
        <f t="shared" si="18"/>
        <v>0</v>
      </c>
      <c r="R752" s="285" t="s">
        <v>3405</v>
      </c>
      <c r="S752" s="14">
        <v>41347</v>
      </c>
      <c r="T752" s="14" t="s">
        <v>5361</v>
      </c>
    </row>
    <row r="753" spans="1:20" ht="162.6" customHeight="1" x14ac:dyDescent="0.2">
      <c r="A753" s="21">
        <v>765</v>
      </c>
      <c r="B753" s="289" t="s">
        <v>3751</v>
      </c>
      <c r="C753" s="12"/>
      <c r="D753" s="9" t="s">
        <v>313</v>
      </c>
      <c r="E753" s="14"/>
      <c r="F753" s="9" t="s">
        <v>7091</v>
      </c>
      <c r="G753" s="285" t="s">
        <v>792</v>
      </c>
      <c r="H753" s="285" t="s">
        <v>5127</v>
      </c>
      <c r="I753" s="289"/>
      <c r="J753" s="285" t="s">
        <v>3136</v>
      </c>
      <c r="K753" s="15">
        <v>41683</v>
      </c>
      <c r="L753" s="289">
        <v>134</v>
      </c>
      <c r="M753" s="15">
        <v>41618</v>
      </c>
      <c r="N753" s="24">
        <v>1</v>
      </c>
      <c r="O753" s="17">
        <v>28872</v>
      </c>
      <c r="P753" s="17">
        <v>28872</v>
      </c>
      <c r="Q753" s="17">
        <f t="shared" si="18"/>
        <v>0</v>
      </c>
      <c r="R753" s="285" t="s">
        <v>11</v>
      </c>
      <c r="S753" s="14">
        <v>41614</v>
      </c>
      <c r="T753" s="285">
        <v>5535</v>
      </c>
    </row>
    <row r="754" spans="1:20" ht="97.5" customHeight="1" x14ac:dyDescent="0.2">
      <c r="A754" s="21">
        <v>766</v>
      </c>
      <c r="B754" s="289" t="s">
        <v>3752</v>
      </c>
      <c r="C754" s="12"/>
      <c r="D754" s="9" t="s">
        <v>313</v>
      </c>
      <c r="E754" s="14"/>
      <c r="F754" s="9" t="s">
        <v>7092</v>
      </c>
      <c r="G754" s="285" t="s">
        <v>792</v>
      </c>
      <c r="H754" s="285" t="s">
        <v>5127</v>
      </c>
      <c r="I754" s="289"/>
      <c r="J754" s="285" t="s">
        <v>3136</v>
      </c>
      <c r="K754" s="15">
        <v>41683</v>
      </c>
      <c r="L754" s="289">
        <v>134</v>
      </c>
      <c r="M754" s="15">
        <v>41618</v>
      </c>
      <c r="N754" s="24">
        <v>1</v>
      </c>
      <c r="O754" s="17">
        <v>28872</v>
      </c>
      <c r="P754" s="17">
        <v>28872</v>
      </c>
      <c r="Q754" s="17">
        <f t="shared" si="18"/>
        <v>0</v>
      </c>
      <c r="R754" s="285" t="s">
        <v>11</v>
      </c>
      <c r="S754" s="14">
        <v>41614</v>
      </c>
      <c r="T754" s="285">
        <v>5535</v>
      </c>
    </row>
    <row r="755" spans="1:20" ht="34.5" customHeight="1" x14ac:dyDescent="0.2">
      <c r="A755" s="21">
        <v>767</v>
      </c>
      <c r="B755" s="289" t="s">
        <v>3753</v>
      </c>
      <c r="C755" s="12"/>
      <c r="D755" s="9" t="s">
        <v>6853</v>
      </c>
      <c r="E755" s="14"/>
      <c r="F755" s="13" t="s">
        <v>6854</v>
      </c>
      <c r="G755" s="285" t="s">
        <v>7917</v>
      </c>
      <c r="H755" s="285" t="s">
        <v>5127</v>
      </c>
      <c r="I755" s="289"/>
      <c r="J755" s="285" t="s">
        <v>3136</v>
      </c>
      <c r="K755" s="15">
        <v>41928</v>
      </c>
      <c r="L755" s="289">
        <v>943</v>
      </c>
      <c r="M755" s="15">
        <v>41632</v>
      </c>
      <c r="N755" s="24">
        <v>1</v>
      </c>
      <c r="O755" s="17">
        <v>22232</v>
      </c>
      <c r="P755" s="17">
        <v>22232</v>
      </c>
      <c r="Q755" s="17">
        <f t="shared" si="18"/>
        <v>0</v>
      </c>
      <c r="R755" s="285" t="s">
        <v>5345</v>
      </c>
      <c r="S755" s="14">
        <v>41632</v>
      </c>
      <c r="T755" s="14" t="s">
        <v>3917</v>
      </c>
    </row>
    <row r="756" spans="1:20" ht="34.5" customHeight="1" x14ac:dyDescent="0.2">
      <c r="A756" s="21">
        <v>768</v>
      </c>
      <c r="B756" s="289" t="s">
        <v>3754</v>
      </c>
      <c r="C756" s="12"/>
      <c r="D756" s="9" t="s">
        <v>313</v>
      </c>
      <c r="E756" s="14"/>
      <c r="F756" s="9" t="s">
        <v>6855</v>
      </c>
      <c r="G756" s="285" t="s">
        <v>7917</v>
      </c>
      <c r="H756" s="285" t="s">
        <v>5127</v>
      </c>
      <c r="I756" s="289"/>
      <c r="J756" s="285" t="s">
        <v>3136</v>
      </c>
      <c r="K756" s="15">
        <v>41928</v>
      </c>
      <c r="L756" s="289">
        <v>943</v>
      </c>
      <c r="M756" s="15">
        <v>41632</v>
      </c>
      <c r="N756" s="24">
        <v>1</v>
      </c>
      <c r="O756" s="17">
        <v>22603</v>
      </c>
      <c r="P756" s="17">
        <v>22603</v>
      </c>
      <c r="Q756" s="17">
        <f t="shared" si="18"/>
        <v>0</v>
      </c>
      <c r="R756" s="285" t="s">
        <v>5345</v>
      </c>
      <c r="S756" s="14">
        <v>41632</v>
      </c>
      <c r="T756" s="14" t="s">
        <v>3917</v>
      </c>
    </row>
    <row r="757" spans="1:20" ht="34.5" customHeight="1" x14ac:dyDescent="0.2">
      <c r="A757" s="21">
        <v>769</v>
      </c>
      <c r="B757" s="289" t="s">
        <v>3755</v>
      </c>
      <c r="C757" s="12"/>
      <c r="D757" s="9" t="s">
        <v>6083</v>
      </c>
      <c r="E757" s="14"/>
      <c r="F757" s="13" t="s">
        <v>6856</v>
      </c>
      <c r="G757" s="285" t="s">
        <v>7917</v>
      </c>
      <c r="H757" s="285" t="s">
        <v>5127</v>
      </c>
      <c r="I757" s="289"/>
      <c r="J757" s="285" t="s">
        <v>3136</v>
      </c>
      <c r="K757" s="15">
        <v>41928</v>
      </c>
      <c r="L757" s="289">
        <v>943</v>
      </c>
      <c r="M757" s="15">
        <v>41605</v>
      </c>
      <c r="N757" s="24">
        <v>1</v>
      </c>
      <c r="O757" s="17">
        <v>22720</v>
      </c>
      <c r="P757" s="17">
        <v>22720</v>
      </c>
      <c r="Q757" s="17">
        <f t="shared" si="18"/>
        <v>0</v>
      </c>
      <c r="R757" s="285" t="s">
        <v>5345</v>
      </c>
      <c r="S757" s="14">
        <v>41604</v>
      </c>
      <c r="T757" s="14" t="s">
        <v>4602</v>
      </c>
    </row>
    <row r="758" spans="1:20" ht="34.5" customHeight="1" x14ac:dyDescent="0.2">
      <c r="A758" s="21">
        <v>770</v>
      </c>
      <c r="B758" s="289" t="s">
        <v>3409</v>
      </c>
      <c r="C758" s="12" t="s">
        <v>5274</v>
      </c>
      <c r="D758" s="9" t="s">
        <v>5307</v>
      </c>
      <c r="E758" s="14"/>
      <c r="F758" s="13" t="s">
        <v>6814</v>
      </c>
      <c r="G758" s="285" t="s">
        <v>7917</v>
      </c>
      <c r="H758" s="285" t="s">
        <v>5127</v>
      </c>
      <c r="I758" s="289"/>
      <c r="J758" s="285" t="s">
        <v>3136</v>
      </c>
      <c r="K758" s="15">
        <v>41928</v>
      </c>
      <c r="L758" s="289">
        <v>943</v>
      </c>
      <c r="M758" s="15">
        <v>41446</v>
      </c>
      <c r="N758" s="24">
        <v>1</v>
      </c>
      <c r="O758" s="17">
        <v>22447</v>
      </c>
      <c r="P758" s="17">
        <v>22447</v>
      </c>
      <c r="Q758" s="17">
        <f t="shared" si="18"/>
        <v>0</v>
      </c>
      <c r="R758" s="285" t="s">
        <v>5345</v>
      </c>
      <c r="S758" s="14">
        <v>41423</v>
      </c>
      <c r="T758" s="14" t="s">
        <v>2590</v>
      </c>
    </row>
    <row r="759" spans="1:20" ht="34.5" customHeight="1" x14ac:dyDescent="0.2">
      <c r="A759" s="21">
        <v>771</v>
      </c>
      <c r="B759" s="289" t="s">
        <v>6276</v>
      </c>
      <c r="C759" s="12"/>
      <c r="D759" s="9" t="s">
        <v>5307</v>
      </c>
      <c r="E759" s="14"/>
      <c r="F759" s="13" t="s">
        <v>6489</v>
      </c>
      <c r="G759" s="285" t="s">
        <v>7917</v>
      </c>
      <c r="H759" s="285" t="s">
        <v>5127</v>
      </c>
      <c r="I759" s="289"/>
      <c r="J759" s="285" t="s">
        <v>3136</v>
      </c>
      <c r="K759" s="15">
        <v>41928</v>
      </c>
      <c r="L759" s="289">
        <v>943</v>
      </c>
      <c r="M759" s="15">
        <v>41446</v>
      </c>
      <c r="N759" s="24">
        <v>1</v>
      </c>
      <c r="O759" s="17">
        <v>22447</v>
      </c>
      <c r="P759" s="17">
        <v>22447</v>
      </c>
      <c r="Q759" s="17">
        <f t="shared" si="18"/>
        <v>0</v>
      </c>
      <c r="R759" s="285" t="s">
        <v>5345</v>
      </c>
      <c r="S759" s="14">
        <v>41423</v>
      </c>
      <c r="T759" s="14" t="s">
        <v>2590</v>
      </c>
    </row>
    <row r="760" spans="1:20" ht="42" customHeight="1" x14ac:dyDescent="0.2">
      <c r="A760" s="21">
        <v>772</v>
      </c>
      <c r="B760" s="289" t="s">
        <v>6277</v>
      </c>
      <c r="C760" s="12"/>
      <c r="D760" s="9" t="s">
        <v>5091</v>
      </c>
      <c r="E760" s="14"/>
      <c r="F760" s="9" t="s">
        <v>2492</v>
      </c>
      <c r="G760" s="285" t="s">
        <v>7977</v>
      </c>
      <c r="H760" s="285" t="s">
        <v>5127</v>
      </c>
      <c r="I760" s="289"/>
      <c r="J760" s="285" t="s">
        <v>3136</v>
      </c>
      <c r="K760" s="15">
        <v>41922</v>
      </c>
      <c r="L760" s="289">
        <v>903</v>
      </c>
      <c r="M760" s="15">
        <v>41625</v>
      </c>
      <c r="N760" s="24">
        <v>1</v>
      </c>
      <c r="O760" s="17">
        <v>15560</v>
      </c>
      <c r="P760" s="17">
        <v>15560</v>
      </c>
      <c r="Q760" s="17">
        <f t="shared" si="18"/>
        <v>0</v>
      </c>
      <c r="R760" s="285" t="s">
        <v>5110</v>
      </c>
      <c r="S760" s="14">
        <v>41625</v>
      </c>
      <c r="T760" s="22">
        <v>2720130167</v>
      </c>
    </row>
    <row r="761" spans="1:20" ht="216" customHeight="1" x14ac:dyDescent="0.2">
      <c r="A761" s="21">
        <v>773</v>
      </c>
      <c r="B761" s="289" t="s">
        <v>6278</v>
      </c>
      <c r="C761" s="12"/>
      <c r="D761" s="9" t="s">
        <v>4160</v>
      </c>
      <c r="E761" s="14"/>
      <c r="F761" s="9" t="s">
        <v>6857</v>
      </c>
      <c r="G761" s="285" t="s">
        <v>7917</v>
      </c>
      <c r="H761" s="285" t="s">
        <v>5127</v>
      </c>
      <c r="I761" s="289"/>
      <c r="J761" s="285" t="s">
        <v>3136</v>
      </c>
      <c r="K761" s="15">
        <v>41911</v>
      </c>
      <c r="L761" s="289">
        <v>870</v>
      </c>
      <c r="M761" s="15">
        <v>41638</v>
      </c>
      <c r="N761" s="24">
        <v>1</v>
      </c>
      <c r="O761" s="17">
        <v>52406</v>
      </c>
      <c r="P761" s="17">
        <v>52406</v>
      </c>
      <c r="Q761" s="17">
        <f t="shared" si="18"/>
        <v>0</v>
      </c>
      <c r="R761" s="285" t="s">
        <v>2781</v>
      </c>
      <c r="S761" s="14">
        <v>41638</v>
      </c>
      <c r="T761" s="14">
        <v>6135</v>
      </c>
    </row>
    <row r="762" spans="1:20" ht="42" customHeight="1" x14ac:dyDescent="0.2">
      <c r="A762" s="21">
        <v>774</v>
      </c>
      <c r="B762" s="289" t="s">
        <v>6279</v>
      </c>
      <c r="C762" s="12"/>
      <c r="D762" s="9" t="s">
        <v>4160</v>
      </c>
      <c r="E762" s="15">
        <v>41809</v>
      </c>
      <c r="F762" s="9" t="s">
        <v>7058</v>
      </c>
      <c r="G762" s="285" t="s">
        <v>7981</v>
      </c>
      <c r="H762" s="285" t="s">
        <v>5127</v>
      </c>
      <c r="I762" s="289"/>
      <c r="J762" s="285" t="s">
        <v>3136</v>
      </c>
      <c r="K762" s="15">
        <v>41809</v>
      </c>
      <c r="L762" s="289">
        <v>563</v>
      </c>
      <c r="M762" s="15">
        <v>41809</v>
      </c>
      <c r="N762" s="24">
        <v>1</v>
      </c>
      <c r="O762" s="17">
        <v>52406</v>
      </c>
      <c r="P762" s="17">
        <v>52406</v>
      </c>
      <c r="Q762" s="17">
        <f t="shared" si="18"/>
        <v>0</v>
      </c>
      <c r="R762" s="285" t="s">
        <v>2781</v>
      </c>
      <c r="S762" s="14">
        <v>41638</v>
      </c>
      <c r="T762" s="285">
        <v>6135</v>
      </c>
    </row>
    <row r="763" spans="1:20" ht="68.25" customHeight="1" x14ac:dyDescent="0.2">
      <c r="A763" s="21">
        <v>775</v>
      </c>
      <c r="B763" s="289" t="s">
        <v>6280</v>
      </c>
      <c r="C763" s="12"/>
      <c r="D763" s="9" t="s">
        <v>4160</v>
      </c>
      <c r="E763" s="15">
        <v>41809</v>
      </c>
      <c r="F763" s="9" t="s">
        <v>6954</v>
      </c>
      <c r="G763" s="285" t="s">
        <v>7982</v>
      </c>
      <c r="H763" s="285" t="s">
        <v>5127</v>
      </c>
      <c r="I763" s="289"/>
      <c r="J763" s="285" t="s">
        <v>3136</v>
      </c>
      <c r="K763" s="15">
        <v>41809</v>
      </c>
      <c r="L763" s="289">
        <v>563</v>
      </c>
      <c r="M763" s="15">
        <v>41809</v>
      </c>
      <c r="N763" s="24">
        <v>1</v>
      </c>
      <c r="O763" s="17">
        <v>52406</v>
      </c>
      <c r="P763" s="17">
        <v>52406</v>
      </c>
      <c r="Q763" s="17">
        <f t="shared" si="18"/>
        <v>0</v>
      </c>
      <c r="R763" s="285" t="s">
        <v>2781</v>
      </c>
      <c r="S763" s="14">
        <v>41638</v>
      </c>
      <c r="T763" s="285">
        <v>6135</v>
      </c>
    </row>
    <row r="764" spans="1:20" ht="69.75" customHeight="1" x14ac:dyDescent="0.2">
      <c r="A764" s="21">
        <v>776</v>
      </c>
      <c r="B764" s="289" t="s">
        <v>3022</v>
      </c>
      <c r="C764" s="12"/>
      <c r="D764" s="9" t="s">
        <v>2313</v>
      </c>
      <c r="E764" s="14"/>
      <c r="F764" s="13" t="s">
        <v>6858</v>
      </c>
      <c r="G764" s="285" t="s">
        <v>7917</v>
      </c>
      <c r="H764" s="285" t="s">
        <v>5127</v>
      </c>
      <c r="I764" s="289"/>
      <c r="J764" s="285" t="s">
        <v>3136</v>
      </c>
      <c r="K764" s="15">
        <v>41772</v>
      </c>
      <c r="L764" s="289">
        <v>404</v>
      </c>
      <c r="M764" s="15">
        <v>41638</v>
      </c>
      <c r="N764" s="24">
        <v>10</v>
      </c>
      <c r="O764" s="17">
        <v>187200</v>
      </c>
      <c r="P764" s="17">
        <v>187200</v>
      </c>
      <c r="Q764" s="17">
        <f t="shared" si="18"/>
        <v>0</v>
      </c>
      <c r="R764" s="285" t="s">
        <v>11</v>
      </c>
      <c r="S764" s="14">
        <v>41638</v>
      </c>
      <c r="T764" s="285">
        <v>6188</v>
      </c>
    </row>
    <row r="765" spans="1:20" ht="99.75" customHeight="1" x14ac:dyDescent="0.2">
      <c r="A765" s="21">
        <v>777</v>
      </c>
      <c r="B765" s="289" t="s">
        <v>3023</v>
      </c>
      <c r="C765" s="12"/>
      <c r="D765" s="9" t="s">
        <v>2141</v>
      </c>
      <c r="E765" s="15">
        <v>41638</v>
      </c>
      <c r="F765" s="9" t="s">
        <v>6955</v>
      </c>
      <c r="G765" s="285" t="s">
        <v>7982</v>
      </c>
      <c r="H765" s="285" t="s">
        <v>5127</v>
      </c>
      <c r="I765" s="289"/>
      <c r="J765" s="285" t="s">
        <v>3136</v>
      </c>
      <c r="K765" s="15">
        <v>41772</v>
      </c>
      <c r="L765" s="289">
        <v>404</v>
      </c>
      <c r="M765" s="15">
        <v>41638</v>
      </c>
      <c r="N765" s="24">
        <v>5</v>
      </c>
      <c r="O765" s="17">
        <v>274170</v>
      </c>
      <c r="P765" s="17">
        <v>274170</v>
      </c>
      <c r="Q765" s="17">
        <f t="shared" si="18"/>
        <v>0</v>
      </c>
      <c r="R765" s="285" t="s">
        <v>11</v>
      </c>
      <c r="S765" s="14">
        <v>41638</v>
      </c>
      <c r="T765" s="285">
        <v>6188</v>
      </c>
    </row>
    <row r="766" spans="1:20" ht="66.75" customHeight="1" x14ac:dyDescent="0.2">
      <c r="A766" s="21">
        <v>778</v>
      </c>
      <c r="B766" s="289" t="s">
        <v>3024</v>
      </c>
      <c r="C766" s="12"/>
      <c r="D766" s="9" t="s">
        <v>6957</v>
      </c>
      <c r="E766" s="15">
        <v>41631</v>
      </c>
      <c r="F766" s="28" t="s">
        <v>6956</v>
      </c>
      <c r="G766" s="285" t="s">
        <v>7982</v>
      </c>
      <c r="H766" s="285" t="s">
        <v>5127</v>
      </c>
      <c r="I766" s="289"/>
      <c r="J766" s="285" t="s">
        <v>9437</v>
      </c>
      <c r="K766" s="15">
        <v>41639</v>
      </c>
      <c r="L766" s="289" t="s">
        <v>1029</v>
      </c>
      <c r="M766" s="15">
        <v>41631</v>
      </c>
      <c r="N766" s="24">
        <v>1</v>
      </c>
      <c r="O766" s="17">
        <v>5037</v>
      </c>
      <c r="P766" s="17">
        <v>5037</v>
      </c>
      <c r="Q766" s="17">
        <f t="shared" si="18"/>
        <v>0</v>
      </c>
      <c r="R766" s="285" t="s">
        <v>4689</v>
      </c>
      <c r="S766" s="14">
        <v>41631</v>
      </c>
      <c r="T766" s="23" t="s">
        <v>4006</v>
      </c>
    </row>
    <row r="767" spans="1:20" ht="90" customHeight="1" x14ac:dyDescent="0.2">
      <c r="A767" s="21">
        <v>779</v>
      </c>
      <c r="B767" s="289" t="s">
        <v>3025</v>
      </c>
      <c r="C767" s="12"/>
      <c r="D767" s="9" t="s">
        <v>927</v>
      </c>
      <c r="E767" s="15">
        <v>41900</v>
      </c>
      <c r="F767" s="13" t="s">
        <v>6772</v>
      </c>
      <c r="G767" s="285" t="s">
        <v>7967</v>
      </c>
      <c r="H767" s="285" t="s">
        <v>5127</v>
      </c>
      <c r="I767" s="289"/>
      <c r="J767" s="285" t="s">
        <v>3136</v>
      </c>
      <c r="K767" s="15">
        <v>41922</v>
      </c>
      <c r="L767" s="289">
        <v>902</v>
      </c>
      <c r="M767" s="15">
        <v>41623</v>
      </c>
      <c r="N767" s="24">
        <v>1</v>
      </c>
      <c r="O767" s="17">
        <v>11990</v>
      </c>
      <c r="P767" s="17">
        <v>11990</v>
      </c>
      <c r="Q767" s="17">
        <f t="shared" si="18"/>
        <v>0</v>
      </c>
      <c r="R767" s="285" t="s">
        <v>3418</v>
      </c>
      <c r="S767" s="14">
        <v>41623</v>
      </c>
      <c r="T767" s="14" t="s">
        <v>815</v>
      </c>
    </row>
    <row r="768" spans="1:20" ht="97.5" customHeight="1" x14ac:dyDescent="0.2">
      <c r="A768" s="21">
        <v>780</v>
      </c>
      <c r="B768" s="289" t="s">
        <v>3026</v>
      </c>
      <c r="C768" s="12"/>
      <c r="D768" s="9" t="s">
        <v>89</v>
      </c>
      <c r="E768" s="15">
        <v>41900</v>
      </c>
      <c r="F768" s="28" t="s">
        <v>6773</v>
      </c>
      <c r="G768" s="285" t="s">
        <v>7967</v>
      </c>
      <c r="H768" s="285" t="s">
        <v>5127</v>
      </c>
      <c r="I768" s="289"/>
      <c r="J768" s="285" t="s">
        <v>3136</v>
      </c>
      <c r="K768" s="15">
        <v>41922</v>
      </c>
      <c r="L768" s="289">
        <v>902</v>
      </c>
      <c r="M768" s="15">
        <v>41620</v>
      </c>
      <c r="N768" s="24">
        <v>1</v>
      </c>
      <c r="O768" s="17">
        <v>20250</v>
      </c>
      <c r="P768" s="17">
        <v>20250</v>
      </c>
      <c r="Q768" s="17">
        <f t="shared" si="18"/>
        <v>0</v>
      </c>
      <c r="R768" s="285" t="s">
        <v>5345</v>
      </c>
      <c r="S768" s="14">
        <v>41620</v>
      </c>
      <c r="T768" s="14" t="s">
        <v>816</v>
      </c>
    </row>
    <row r="769" spans="1:20" ht="60" customHeight="1" x14ac:dyDescent="0.2">
      <c r="A769" s="21">
        <v>781</v>
      </c>
      <c r="B769" s="289" t="s">
        <v>3027</v>
      </c>
      <c r="C769" s="12"/>
      <c r="D769" s="9" t="s">
        <v>313</v>
      </c>
      <c r="E769" s="14"/>
      <c r="F769" s="9" t="s">
        <v>6659</v>
      </c>
      <c r="G769" s="285" t="s">
        <v>6266</v>
      </c>
      <c r="H769" s="285" t="s">
        <v>5127</v>
      </c>
      <c r="I769" s="289"/>
      <c r="J769" s="285" t="s">
        <v>3136</v>
      </c>
      <c r="K769" s="15">
        <v>41928</v>
      </c>
      <c r="L769" s="289">
        <v>944</v>
      </c>
      <c r="M769" s="15">
        <v>41716</v>
      </c>
      <c r="N769" s="24">
        <v>1</v>
      </c>
      <c r="O769" s="17">
        <v>16570</v>
      </c>
      <c r="P769" s="17">
        <v>16570</v>
      </c>
      <c r="Q769" s="17">
        <f t="shared" si="18"/>
        <v>0</v>
      </c>
      <c r="R769" s="285" t="s">
        <v>5345</v>
      </c>
      <c r="S769" s="14">
        <v>41633</v>
      </c>
      <c r="T769" s="14" t="s">
        <v>69</v>
      </c>
    </row>
    <row r="770" spans="1:20" ht="60" customHeight="1" x14ac:dyDescent="0.2">
      <c r="A770" s="21">
        <v>782</v>
      </c>
      <c r="B770" s="289" t="s">
        <v>3028</v>
      </c>
      <c r="C770" s="12"/>
      <c r="D770" s="9" t="s">
        <v>442</v>
      </c>
      <c r="E770" s="15">
        <v>41562</v>
      </c>
      <c r="F770" s="13" t="s">
        <v>7059</v>
      </c>
      <c r="G770" s="285" t="s">
        <v>7981</v>
      </c>
      <c r="H770" s="285" t="s">
        <v>5127</v>
      </c>
      <c r="I770" s="289"/>
      <c r="J770" s="285" t="s">
        <v>3136</v>
      </c>
      <c r="K770" s="15">
        <v>42003</v>
      </c>
      <c r="L770" s="289">
        <v>1250</v>
      </c>
      <c r="M770" s="15">
        <v>41562</v>
      </c>
      <c r="N770" s="24">
        <v>1</v>
      </c>
      <c r="O770" s="17">
        <v>3060</v>
      </c>
      <c r="P770" s="17">
        <v>3060</v>
      </c>
      <c r="Q770" s="17">
        <f t="shared" si="18"/>
        <v>0</v>
      </c>
      <c r="R770" s="285" t="s">
        <v>5363</v>
      </c>
      <c r="S770" s="14">
        <v>41562</v>
      </c>
      <c r="T770" s="14" t="s">
        <v>5362</v>
      </c>
    </row>
    <row r="771" spans="1:20" ht="60" customHeight="1" x14ac:dyDescent="0.2">
      <c r="A771" s="21">
        <v>783</v>
      </c>
      <c r="B771" s="289" t="s">
        <v>4215</v>
      </c>
      <c r="C771" s="12"/>
      <c r="D771" s="9" t="s">
        <v>4240</v>
      </c>
      <c r="E771" s="22">
        <v>2013</v>
      </c>
      <c r="F771" s="13" t="s">
        <v>2732</v>
      </c>
      <c r="G771" s="285" t="s">
        <v>7983</v>
      </c>
      <c r="H771" s="285" t="s">
        <v>5127</v>
      </c>
      <c r="I771" s="289"/>
      <c r="J771" s="22" t="s">
        <v>3136</v>
      </c>
      <c r="K771" s="15">
        <v>41850</v>
      </c>
      <c r="L771" s="289">
        <v>663</v>
      </c>
      <c r="M771" s="15">
        <v>41774</v>
      </c>
      <c r="N771" s="24">
        <v>1</v>
      </c>
      <c r="O771" s="17">
        <v>7002</v>
      </c>
      <c r="P771" s="17">
        <v>7002</v>
      </c>
      <c r="Q771" s="17">
        <f t="shared" si="18"/>
        <v>0</v>
      </c>
      <c r="R771" s="285" t="s">
        <v>5364</v>
      </c>
      <c r="S771" s="14">
        <v>41821</v>
      </c>
      <c r="T771" s="285">
        <v>723</v>
      </c>
    </row>
    <row r="772" spans="1:20" ht="78" customHeight="1" x14ac:dyDescent="0.2">
      <c r="A772" s="21">
        <v>784</v>
      </c>
      <c r="B772" s="289" t="s">
        <v>4216</v>
      </c>
      <c r="C772" s="12"/>
      <c r="D772" s="9" t="s">
        <v>722</v>
      </c>
      <c r="E772" s="14"/>
      <c r="F772" s="13" t="s">
        <v>6660</v>
      </c>
      <c r="G772" s="285" t="s">
        <v>6266</v>
      </c>
      <c r="H772" s="285" t="s">
        <v>5127</v>
      </c>
      <c r="I772" s="289"/>
      <c r="J772" s="285" t="s">
        <v>3136</v>
      </c>
      <c r="K772" s="15">
        <v>41872</v>
      </c>
      <c r="L772" s="289">
        <v>732</v>
      </c>
      <c r="M772" s="15">
        <v>41821</v>
      </c>
      <c r="N772" s="24">
        <v>1</v>
      </c>
      <c r="O772" s="17">
        <v>5620</v>
      </c>
      <c r="P772" s="17">
        <v>5620</v>
      </c>
      <c r="Q772" s="17">
        <f t="shared" si="18"/>
        <v>0</v>
      </c>
      <c r="R772" s="285" t="s">
        <v>5071</v>
      </c>
      <c r="S772" s="14">
        <v>41821</v>
      </c>
      <c r="T772" s="285">
        <v>2087</v>
      </c>
    </row>
    <row r="773" spans="1:20" ht="78.75" customHeight="1" x14ac:dyDescent="0.2">
      <c r="A773" s="21">
        <v>785</v>
      </c>
      <c r="B773" s="289" t="s">
        <v>4217</v>
      </c>
      <c r="C773" s="12"/>
      <c r="D773" s="9" t="s">
        <v>3312</v>
      </c>
      <c r="E773" s="14"/>
      <c r="F773" s="13" t="s">
        <v>6890</v>
      </c>
      <c r="G773" s="285" t="s">
        <v>515</v>
      </c>
      <c r="H773" s="285" t="s">
        <v>5127</v>
      </c>
      <c r="I773" s="289"/>
      <c r="J773" s="285" t="s">
        <v>3136</v>
      </c>
      <c r="K773" s="15">
        <v>41872</v>
      </c>
      <c r="L773" s="289">
        <v>731</v>
      </c>
      <c r="M773" s="15">
        <v>41814</v>
      </c>
      <c r="N773" s="24">
        <v>1</v>
      </c>
      <c r="O773" s="17">
        <v>13088.76</v>
      </c>
      <c r="P773" s="17">
        <v>13088.76</v>
      </c>
      <c r="Q773" s="17">
        <f t="shared" si="18"/>
        <v>0</v>
      </c>
      <c r="R773" s="285" t="s">
        <v>2779</v>
      </c>
      <c r="S773" s="14">
        <v>41814</v>
      </c>
      <c r="T773" s="14" t="s">
        <v>5365</v>
      </c>
    </row>
    <row r="774" spans="1:20" ht="78.75" customHeight="1" x14ac:dyDescent="0.2">
      <c r="A774" s="21">
        <v>786</v>
      </c>
      <c r="B774" s="289" t="s">
        <v>4218</v>
      </c>
      <c r="C774" s="12"/>
      <c r="D774" s="9" t="s">
        <v>1814</v>
      </c>
      <c r="E774" s="14"/>
      <c r="F774" s="13" t="s">
        <v>4175</v>
      </c>
      <c r="G774" s="285" t="s">
        <v>515</v>
      </c>
      <c r="H774" s="285" t="s">
        <v>5127</v>
      </c>
      <c r="I774" s="289"/>
      <c r="J774" s="285" t="s">
        <v>3136</v>
      </c>
      <c r="K774" s="15">
        <v>41872</v>
      </c>
      <c r="L774" s="289">
        <v>731</v>
      </c>
      <c r="M774" s="15">
        <v>41814</v>
      </c>
      <c r="N774" s="24">
        <v>1</v>
      </c>
      <c r="O774" s="17">
        <v>15974.96</v>
      </c>
      <c r="P774" s="17">
        <v>15974.96</v>
      </c>
      <c r="Q774" s="17">
        <f t="shared" si="18"/>
        <v>0</v>
      </c>
      <c r="R774" s="285" t="s">
        <v>2779</v>
      </c>
      <c r="S774" s="14">
        <v>41814</v>
      </c>
      <c r="T774" s="14" t="s">
        <v>5365</v>
      </c>
    </row>
    <row r="775" spans="1:20" ht="65.25" customHeight="1" x14ac:dyDescent="0.2">
      <c r="A775" s="21">
        <v>787</v>
      </c>
      <c r="B775" s="289" t="s">
        <v>4219</v>
      </c>
      <c r="C775" s="12"/>
      <c r="D775" s="9" t="s">
        <v>3921</v>
      </c>
      <c r="E775" s="14"/>
      <c r="F775" s="13" t="s">
        <v>3823</v>
      </c>
      <c r="G775" s="285" t="s">
        <v>7934</v>
      </c>
      <c r="H775" s="285" t="s">
        <v>5127</v>
      </c>
      <c r="I775" s="289"/>
      <c r="J775" s="285" t="s">
        <v>3136</v>
      </c>
      <c r="K775" s="15">
        <v>41878</v>
      </c>
      <c r="L775" s="289">
        <v>748</v>
      </c>
      <c r="M775" s="15">
        <v>41869</v>
      </c>
      <c r="N775" s="24">
        <v>1</v>
      </c>
      <c r="O775" s="17">
        <v>24460</v>
      </c>
      <c r="P775" s="17">
        <v>24460</v>
      </c>
      <c r="Q775" s="17">
        <f t="shared" si="18"/>
        <v>0</v>
      </c>
      <c r="R775" s="285" t="s">
        <v>2296</v>
      </c>
      <c r="S775" s="14">
        <v>41633</v>
      </c>
      <c r="T775" s="14" t="s">
        <v>3668</v>
      </c>
    </row>
    <row r="776" spans="1:20" ht="45.75" customHeight="1" x14ac:dyDescent="0.2">
      <c r="A776" s="21">
        <v>788</v>
      </c>
      <c r="B776" s="289" t="s">
        <v>4220</v>
      </c>
      <c r="C776" s="12"/>
      <c r="D776" s="9" t="s">
        <v>5870</v>
      </c>
      <c r="E776" s="22"/>
      <c r="F776" s="13" t="s">
        <v>6549</v>
      </c>
      <c r="G776" s="56" t="s">
        <v>101</v>
      </c>
      <c r="H776" s="285" t="s">
        <v>5127</v>
      </c>
      <c r="I776" s="289"/>
      <c r="J776" s="285" t="s">
        <v>3136</v>
      </c>
      <c r="K776" s="15">
        <v>41885</v>
      </c>
      <c r="L776" s="289">
        <v>772</v>
      </c>
      <c r="M776" s="15">
        <v>41871</v>
      </c>
      <c r="N776" s="24">
        <v>1</v>
      </c>
      <c r="O776" s="17">
        <v>10132</v>
      </c>
      <c r="P776" s="17">
        <v>10132</v>
      </c>
      <c r="Q776" s="17">
        <f t="shared" si="18"/>
        <v>0</v>
      </c>
      <c r="R776" s="285" t="s">
        <v>5071</v>
      </c>
      <c r="S776" s="14">
        <v>41380</v>
      </c>
      <c r="T776" s="14" t="s">
        <v>3669</v>
      </c>
    </row>
    <row r="777" spans="1:20" ht="40.5" customHeight="1" x14ac:dyDescent="0.2">
      <c r="A777" s="21">
        <v>789</v>
      </c>
      <c r="B777" s="289" t="s">
        <v>4221</v>
      </c>
      <c r="C777" s="12"/>
      <c r="D777" s="9" t="s">
        <v>6083</v>
      </c>
      <c r="E777" s="22"/>
      <c r="F777" s="13" t="s">
        <v>6511</v>
      </c>
      <c r="G777" s="285" t="s">
        <v>7846</v>
      </c>
      <c r="H777" s="285" t="s">
        <v>5127</v>
      </c>
      <c r="I777" s="289"/>
      <c r="J777" s="285" t="s">
        <v>3136</v>
      </c>
      <c r="K777" s="15">
        <v>41885</v>
      </c>
      <c r="L777" s="289">
        <v>774</v>
      </c>
      <c r="M777" s="15">
        <v>41871</v>
      </c>
      <c r="N777" s="24">
        <v>1</v>
      </c>
      <c r="O777" s="17">
        <v>16688</v>
      </c>
      <c r="P777" s="17">
        <v>16688</v>
      </c>
      <c r="Q777" s="17">
        <f t="shared" si="18"/>
        <v>0</v>
      </c>
      <c r="R777" s="285" t="s">
        <v>5071</v>
      </c>
      <c r="S777" s="14">
        <v>41753</v>
      </c>
      <c r="T777" s="14" t="s">
        <v>898</v>
      </c>
    </row>
    <row r="778" spans="1:20" ht="45.75" customHeight="1" x14ac:dyDescent="0.2">
      <c r="A778" s="21">
        <v>790</v>
      </c>
      <c r="B778" s="289" t="s">
        <v>4222</v>
      </c>
      <c r="C778" s="12"/>
      <c r="D778" s="9" t="s">
        <v>10318</v>
      </c>
      <c r="E778" s="22"/>
      <c r="F778" s="13" t="s">
        <v>6512</v>
      </c>
      <c r="G778" s="285" t="s">
        <v>7846</v>
      </c>
      <c r="H778" s="285" t="s">
        <v>5127</v>
      </c>
      <c r="I778" s="289"/>
      <c r="J778" s="285" t="s">
        <v>3136</v>
      </c>
      <c r="K778" s="15">
        <v>41885</v>
      </c>
      <c r="L778" s="289">
        <v>774</v>
      </c>
      <c r="M778" s="15">
        <v>41871</v>
      </c>
      <c r="N778" s="24">
        <v>1</v>
      </c>
      <c r="O778" s="17">
        <v>13312</v>
      </c>
      <c r="P778" s="17">
        <v>13312</v>
      </c>
      <c r="Q778" s="17">
        <f t="shared" si="18"/>
        <v>0</v>
      </c>
      <c r="R778" s="285" t="s">
        <v>5071</v>
      </c>
      <c r="S778" s="14">
        <v>41753</v>
      </c>
      <c r="T778" s="14" t="s">
        <v>898</v>
      </c>
    </row>
    <row r="779" spans="1:20" ht="48" customHeight="1" x14ac:dyDescent="0.2">
      <c r="A779" s="21">
        <v>791</v>
      </c>
      <c r="B779" s="289" t="s">
        <v>3796</v>
      </c>
      <c r="C779" s="12"/>
      <c r="D779" s="9" t="s">
        <v>2303</v>
      </c>
      <c r="E779" s="14" t="s">
        <v>2304</v>
      </c>
      <c r="F779" s="13"/>
      <c r="G779" s="285" t="s">
        <v>4296</v>
      </c>
      <c r="H779" s="285" t="s">
        <v>3793</v>
      </c>
      <c r="I779" s="289"/>
      <c r="J779" s="285" t="s">
        <v>3136</v>
      </c>
      <c r="K779" s="14">
        <v>41894</v>
      </c>
      <c r="L779" s="289">
        <v>812</v>
      </c>
      <c r="M779" s="15">
        <v>41821</v>
      </c>
      <c r="N779" s="24">
        <v>1</v>
      </c>
      <c r="O779" s="17">
        <v>168711.86</v>
      </c>
      <c r="P779" s="17">
        <v>168711.86</v>
      </c>
      <c r="Q779" s="17">
        <f t="shared" si="18"/>
        <v>0</v>
      </c>
      <c r="R779" s="285" t="s">
        <v>5071</v>
      </c>
      <c r="S779" s="14">
        <v>41325</v>
      </c>
      <c r="T779" s="14" t="s">
        <v>5228</v>
      </c>
    </row>
    <row r="780" spans="1:20" ht="65.25" customHeight="1" x14ac:dyDescent="0.2">
      <c r="A780" s="21">
        <v>792</v>
      </c>
      <c r="B780" s="289" t="s">
        <v>3797</v>
      </c>
      <c r="C780" s="12"/>
      <c r="D780" s="9" t="s">
        <v>695</v>
      </c>
      <c r="E780" s="22"/>
      <c r="F780" s="9" t="s">
        <v>6550</v>
      </c>
      <c r="G780" s="56" t="s">
        <v>101</v>
      </c>
      <c r="H780" s="285" t="s">
        <v>5127</v>
      </c>
      <c r="I780" s="289"/>
      <c r="J780" s="285" t="s">
        <v>3136</v>
      </c>
      <c r="K780" s="15">
        <v>41894</v>
      </c>
      <c r="L780" s="289">
        <v>813</v>
      </c>
      <c r="M780" s="15">
        <v>41849</v>
      </c>
      <c r="N780" s="24">
        <v>1</v>
      </c>
      <c r="O780" s="17">
        <v>38286</v>
      </c>
      <c r="P780" s="17">
        <v>38286</v>
      </c>
      <c r="Q780" s="17">
        <f t="shared" si="18"/>
        <v>0</v>
      </c>
      <c r="R780" s="285" t="s">
        <v>11</v>
      </c>
      <c r="S780" s="14">
        <v>41800</v>
      </c>
      <c r="T780" s="285">
        <v>266</v>
      </c>
    </row>
    <row r="781" spans="1:20" ht="54.75" customHeight="1" x14ac:dyDescent="0.2">
      <c r="A781" s="21">
        <v>793</v>
      </c>
      <c r="B781" s="289" t="s">
        <v>3798</v>
      </c>
      <c r="C781" s="12"/>
      <c r="D781" s="9" t="s">
        <v>696</v>
      </c>
      <c r="E781" s="22"/>
      <c r="F781" s="13" t="s">
        <v>6551</v>
      </c>
      <c r="G781" s="56" t="s">
        <v>101</v>
      </c>
      <c r="H781" s="285" t="s">
        <v>5127</v>
      </c>
      <c r="I781" s="289"/>
      <c r="J781" s="285" t="s">
        <v>3136</v>
      </c>
      <c r="K781" s="15">
        <v>41894</v>
      </c>
      <c r="L781" s="289">
        <v>813</v>
      </c>
      <c r="M781" s="15">
        <v>41849</v>
      </c>
      <c r="N781" s="24">
        <v>1</v>
      </c>
      <c r="O781" s="17">
        <v>5390</v>
      </c>
      <c r="P781" s="17">
        <v>5390</v>
      </c>
      <c r="Q781" s="17">
        <f t="shared" si="18"/>
        <v>0</v>
      </c>
      <c r="R781" s="285" t="s">
        <v>11</v>
      </c>
      <c r="S781" s="14">
        <v>41800</v>
      </c>
      <c r="T781" s="285">
        <v>266</v>
      </c>
    </row>
    <row r="782" spans="1:20" ht="46.5" customHeight="1" x14ac:dyDescent="0.2">
      <c r="A782" s="21">
        <v>794</v>
      </c>
      <c r="B782" s="289" t="s">
        <v>3799</v>
      </c>
      <c r="C782" s="12"/>
      <c r="D782" s="9" t="s">
        <v>810</v>
      </c>
      <c r="E782" s="22"/>
      <c r="F782" s="13" t="s">
        <v>6552</v>
      </c>
      <c r="G782" s="56" t="s">
        <v>101</v>
      </c>
      <c r="H782" s="285" t="s">
        <v>5127</v>
      </c>
      <c r="I782" s="289"/>
      <c r="J782" s="285" t="s">
        <v>3136</v>
      </c>
      <c r="K782" s="15">
        <v>41894</v>
      </c>
      <c r="L782" s="289">
        <v>813</v>
      </c>
      <c r="M782" s="15">
        <v>41849</v>
      </c>
      <c r="N782" s="24">
        <v>1</v>
      </c>
      <c r="O782" s="17">
        <v>1861</v>
      </c>
      <c r="P782" s="17">
        <v>1861</v>
      </c>
      <c r="Q782" s="17">
        <f t="shared" si="18"/>
        <v>0</v>
      </c>
      <c r="R782" s="285" t="s">
        <v>11</v>
      </c>
      <c r="S782" s="14">
        <v>41800</v>
      </c>
      <c r="T782" s="285">
        <v>266</v>
      </c>
    </row>
    <row r="783" spans="1:20" ht="57.75" customHeight="1" x14ac:dyDescent="0.2">
      <c r="A783" s="21">
        <v>795</v>
      </c>
      <c r="B783" s="289" t="s">
        <v>3800</v>
      </c>
      <c r="C783" s="12"/>
      <c r="D783" s="9" t="s">
        <v>2451</v>
      </c>
      <c r="E783" s="14"/>
      <c r="F783" s="251" t="s">
        <v>8894</v>
      </c>
      <c r="G783" s="285" t="s">
        <v>4296</v>
      </c>
      <c r="H783" s="285" t="s">
        <v>3793</v>
      </c>
      <c r="I783" s="289"/>
      <c r="J783" s="285" t="s">
        <v>2760</v>
      </c>
      <c r="K783" s="14" t="s">
        <v>8886</v>
      </c>
      <c r="L783" s="285" t="s">
        <v>8887</v>
      </c>
      <c r="M783" s="14" t="s">
        <v>7458</v>
      </c>
      <c r="N783" s="24">
        <f>274+1+1+1+1+1+1-9+4-4+1+1+1+1+1+1-1+1-3-5-9-1-1-2-1-1-1-1-1-1-1-1-1-1-1-1-5-1-1-1-1-1-1+2+1+1+1-12+1+1-1-1-2-1-1-12-6-1-1-1-1+1+2+1+2+1+5+1+3+4+1-8</f>
        <v>213</v>
      </c>
      <c r="O783" s="17">
        <f>1051970.31+4858.47+6440.68+8435.59+5861.86+17344.49+10027.97-23821.19+13254.24-25423.73-6150+19491.53+7627.12+13069.22+10550+8385+15000-22629.96+7000-25505.8-16425.41-17517.42-6499-3099.15-5000-9056.66-31326.63-6992.37-4371.75-10027.97-4373.73-11346.61-18519.49-1000-15034.75-26770-17344.49-43355.08-2237.29-1125-13305.08-1000-4416.1-2000+35632+22669+6740+9152.54-30650.84+5265+5760-34755.93-4500-4100-3000-1000-1828.34-900-100-1610.17-1500-1772.11+13550+10400+17935+36000+38600+99500+26280-6000+44850+70400+18600-24769.84</f>
        <v>1168488.1300000006</v>
      </c>
      <c r="P783" s="17">
        <f>O783</f>
        <v>1168488.1300000006</v>
      </c>
      <c r="Q783" s="17">
        <f t="shared" si="18"/>
        <v>0</v>
      </c>
      <c r="R783" s="22" t="s">
        <v>8457</v>
      </c>
      <c r="S783" s="14" t="s">
        <v>8458</v>
      </c>
      <c r="T783" s="14" t="s">
        <v>8459</v>
      </c>
    </row>
    <row r="784" spans="1:20" ht="57.75" customHeight="1" x14ac:dyDescent="0.2">
      <c r="A784" s="21">
        <v>796</v>
      </c>
      <c r="B784" s="289" t="s">
        <v>3801</v>
      </c>
      <c r="C784" s="12"/>
      <c r="D784" s="9" t="s">
        <v>875</v>
      </c>
      <c r="E784" s="14"/>
      <c r="F784" s="9"/>
      <c r="G784" s="285" t="s">
        <v>4877</v>
      </c>
      <c r="H784" s="285" t="s">
        <v>3793</v>
      </c>
      <c r="I784" s="289"/>
      <c r="J784" s="22" t="s">
        <v>3136</v>
      </c>
      <c r="K784" s="15">
        <v>41911</v>
      </c>
      <c r="L784" s="289">
        <v>866</v>
      </c>
      <c r="M784" s="15">
        <v>41882</v>
      </c>
      <c r="N784" s="24">
        <v>1</v>
      </c>
      <c r="O784" s="17">
        <v>23826</v>
      </c>
      <c r="P784" s="17">
        <v>23826</v>
      </c>
      <c r="Q784" s="17">
        <f t="shared" si="18"/>
        <v>0</v>
      </c>
      <c r="R784" s="285" t="s">
        <v>5071</v>
      </c>
      <c r="S784" s="14">
        <v>40165</v>
      </c>
      <c r="T784" s="14" t="s">
        <v>5229</v>
      </c>
    </row>
    <row r="785" spans="1:20" ht="45.75" customHeight="1" x14ac:dyDescent="0.2">
      <c r="A785" s="21">
        <v>797</v>
      </c>
      <c r="B785" s="289" t="s">
        <v>1513</v>
      </c>
      <c r="C785" s="12"/>
      <c r="D785" s="9" t="s">
        <v>5870</v>
      </c>
      <c r="E785" s="14"/>
      <c r="F785" s="13"/>
      <c r="G785" s="285" t="s">
        <v>7983</v>
      </c>
      <c r="H785" s="285" t="s">
        <v>5127</v>
      </c>
      <c r="I785" s="289"/>
      <c r="J785" s="22" t="s">
        <v>3136</v>
      </c>
      <c r="K785" s="15">
        <v>41911</v>
      </c>
      <c r="L785" s="289">
        <v>867</v>
      </c>
      <c r="M785" s="15">
        <v>41884</v>
      </c>
      <c r="N785" s="24">
        <v>1</v>
      </c>
      <c r="O785" s="17">
        <v>10540</v>
      </c>
      <c r="P785" s="17">
        <v>10540</v>
      </c>
      <c r="Q785" s="17">
        <f t="shared" si="18"/>
        <v>0</v>
      </c>
      <c r="R785" s="285" t="s">
        <v>6269</v>
      </c>
      <c r="S785" s="14" t="s">
        <v>5725</v>
      </c>
      <c r="T785" s="14" t="s">
        <v>5230</v>
      </c>
    </row>
    <row r="786" spans="1:20" ht="65.25" customHeight="1" x14ac:dyDescent="0.2">
      <c r="A786" s="21">
        <v>798</v>
      </c>
      <c r="B786" s="289" t="s">
        <v>1514</v>
      </c>
      <c r="C786" s="12"/>
      <c r="D786" s="9" t="s">
        <v>5174</v>
      </c>
      <c r="E786" s="14"/>
      <c r="F786" s="13" t="s">
        <v>6727</v>
      </c>
      <c r="G786" s="285" t="s">
        <v>4946</v>
      </c>
      <c r="H786" s="285" t="s">
        <v>5127</v>
      </c>
      <c r="I786" s="289"/>
      <c r="J786" s="22" t="s">
        <v>3136</v>
      </c>
      <c r="K786" s="15">
        <v>41911</v>
      </c>
      <c r="L786" s="289">
        <v>868</v>
      </c>
      <c r="M786" s="15">
        <v>41893</v>
      </c>
      <c r="N786" s="24">
        <v>1</v>
      </c>
      <c r="O786" s="17">
        <v>21950</v>
      </c>
      <c r="P786" s="17">
        <v>21950</v>
      </c>
      <c r="Q786" s="17">
        <f t="shared" si="18"/>
        <v>0</v>
      </c>
      <c r="R786" s="285" t="s">
        <v>6270</v>
      </c>
      <c r="S786" s="14">
        <v>41893</v>
      </c>
      <c r="T786" s="14">
        <v>19</v>
      </c>
    </row>
    <row r="787" spans="1:20" ht="42.75" customHeight="1" x14ac:dyDescent="0.2">
      <c r="A787" s="21">
        <v>799</v>
      </c>
      <c r="B787" s="289" t="s">
        <v>2010</v>
      </c>
      <c r="C787" s="285"/>
      <c r="D787" s="9" t="s">
        <v>1089</v>
      </c>
      <c r="E787" s="15">
        <v>41900</v>
      </c>
      <c r="F787" s="13" t="s">
        <v>3559</v>
      </c>
      <c r="G787" s="285" t="s">
        <v>7982</v>
      </c>
      <c r="H787" s="285" t="s">
        <v>5127</v>
      </c>
      <c r="I787" s="289"/>
      <c r="J787" s="285" t="s">
        <v>3686</v>
      </c>
      <c r="K787" s="15">
        <v>41915</v>
      </c>
      <c r="L787" s="289">
        <v>885</v>
      </c>
      <c r="M787" s="15">
        <v>41900</v>
      </c>
      <c r="N787" s="24">
        <v>1</v>
      </c>
      <c r="O787" s="17">
        <v>7790</v>
      </c>
      <c r="P787" s="17">
        <v>7790</v>
      </c>
      <c r="Q787" s="17">
        <f t="shared" si="18"/>
        <v>0</v>
      </c>
      <c r="R787" s="285" t="s">
        <v>4689</v>
      </c>
      <c r="S787" s="14">
        <v>41631</v>
      </c>
      <c r="T787" s="23" t="s">
        <v>4005</v>
      </c>
    </row>
    <row r="788" spans="1:20" ht="51" customHeight="1" x14ac:dyDescent="0.2">
      <c r="A788" s="21">
        <v>800</v>
      </c>
      <c r="B788" s="289" t="s">
        <v>2011</v>
      </c>
      <c r="C788" s="284"/>
      <c r="D788" s="9" t="s">
        <v>1091</v>
      </c>
      <c r="E788" s="15">
        <v>41900</v>
      </c>
      <c r="F788" s="13" t="s">
        <v>1090</v>
      </c>
      <c r="G788" s="285" t="s">
        <v>7982</v>
      </c>
      <c r="H788" s="285" t="s">
        <v>5127</v>
      </c>
      <c r="I788" s="289"/>
      <c r="J788" s="285" t="s">
        <v>3686</v>
      </c>
      <c r="K788" s="15">
        <v>41915</v>
      </c>
      <c r="L788" s="289">
        <v>885</v>
      </c>
      <c r="M788" s="252">
        <v>41900</v>
      </c>
      <c r="N788" s="24">
        <v>1</v>
      </c>
      <c r="O788" s="17">
        <v>7673</v>
      </c>
      <c r="P788" s="17">
        <v>7673</v>
      </c>
      <c r="Q788" s="17">
        <f t="shared" si="18"/>
        <v>0</v>
      </c>
      <c r="R788" s="49" t="s">
        <v>4689</v>
      </c>
      <c r="S788" s="53">
        <v>41631</v>
      </c>
      <c r="T788" s="27" t="s">
        <v>2552</v>
      </c>
    </row>
    <row r="789" spans="1:20" ht="167.25" customHeight="1" x14ac:dyDescent="0.2">
      <c r="A789" s="21">
        <v>801</v>
      </c>
      <c r="B789" s="289" t="s">
        <v>2554</v>
      </c>
      <c r="C789" s="289"/>
      <c r="D789" s="9" t="s">
        <v>1092</v>
      </c>
      <c r="E789" s="15"/>
      <c r="F789" s="28" t="s">
        <v>4175</v>
      </c>
      <c r="G789" s="285" t="s">
        <v>7977</v>
      </c>
      <c r="H789" s="285" t="s">
        <v>5127</v>
      </c>
      <c r="I789" s="289"/>
      <c r="J789" s="285" t="s">
        <v>3136</v>
      </c>
      <c r="K789" s="15">
        <v>41922</v>
      </c>
      <c r="L789" s="289">
        <v>903</v>
      </c>
      <c r="M789" s="252">
        <v>41670</v>
      </c>
      <c r="N789" s="16">
        <v>1</v>
      </c>
      <c r="O789" s="17">
        <v>3906</v>
      </c>
      <c r="P789" s="17">
        <v>3906</v>
      </c>
      <c r="Q789" s="17">
        <f t="shared" si="18"/>
        <v>0</v>
      </c>
      <c r="R789" s="285" t="s">
        <v>5377</v>
      </c>
      <c r="S789" s="15">
        <v>41670</v>
      </c>
      <c r="T789" s="285" t="s">
        <v>1029</v>
      </c>
    </row>
    <row r="790" spans="1:20" ht="167.25" customHeight="1" x14ac:dyDescent="0.2">
      <c r="A790" s="21">
        <v>802</v>
      </c>
      <c r="B790" s="289" t="s">
        <v>2555</v>
      </c>
      <c r="C790" s="289"/>
      <c r="D790" s="13" t="s">
        <v>5382</v>
      </c>
      <c r="E790" s="15"/>
      <c r="F790" s="28" t="s">
        <v>7000</v>
      </c>
      <c r="G790" s="285" t="s">
        <v>7977</v>
      </c>
      <c r="H790" s="285" t="s">
        <v>5127</v>
      </c>
      <c r="I790" s="289"/>
      <c r="J790" s="285" t="s">
        <v>3136</v>
      </c>
      <c r="K790" s="15">
        <v>41922</v>
      </c>
      <c r="L790" s="289">
        <v>903</v>
      </c>
      <c r="M790" s="15">
        <v>41604</v>
      </c>
      <c r="N790" s="16">
        <v>1</v>
      </c>
      <c r="O790" s="17">
        <v>18090</v>
      </c>
      <c r="P790" s="17">
        <v>18090</v>
      </c>
      <c r="Q790" s="17">
        <f t="shared" si="18"/>
        <v>0</v>
      </c>
      <c r="R790" s="285" t="s">
        <v>6155</v>
      </c>
      <c r="S790" s="15">
        <v>41604</v>
      </c>
      <c r="T790" s="9" t="s">
        <v>6156</v>
      </c>
    </row>
    <row r="791" spans="1:20" ht="167.25" customHeight="1" x14ac:dyDescent="0.2">
      <c r="A791" s="21">
        <v>803</v>
      </c>
      <c r="B791" s="289" t="s">
        <v>3119</v>
      </c>
      <c r="C791" s="289"/>
      <c r="D791" s="13" t="s">
        <v>3120</v>
      </c>
      <c r="E791" s="15"/>
      <c r="F791" s="28" t="s">
        <v>7001</v>
      </c>
      <c r="G791" s="285" t="s">
        <v>7977</v>
      </c>
      <c r="H791" s="285" t="s">
        <v>5127</v>
      </c>
      <c r="I791" s="289"/>
      <c r="J791" s="285" t="s">
        <v>3136</v>
      </c>
      <c r="K791" s="15">
        <v>41922</v>
      </c>
      <c r="L791" s="289">
        <v>903</v>
      </c>
      <c r="M791" s="15">
        <v>41604</v>
      </c>
      <c r="N791" s="16">
        <v>1</v>
      </c>
      <c r="O791" s="17">
        <v>13970</v>
      </c>
      <c r="P791" s="17">
        <v>13970</v>
      </c>
      <c r="Q791" s="17">
        <f t="shared" si="18"/>
        <v>0</v>
      </c>
      <c r="R791" s="285" t="s">
        <v>6155</v>
      </c>
      <c r="S791" s="15">
        <v>41604</v>
      </c>
      <c r="T791" s="9" t="s">
        <v>6156</v>
      </c>
    </row>
    <row r="792" spans="1:20" ht="391.5" customHeight="1" x14ac:dyDescent="0.2">
      <c r="A792" s="21">
        <v>804</v>
      </c>
      <c r="B792" s="289" t="s">
        <v>3121</v>
      </c>
      <c r="C792" s="30"/>
      <c r="D792" s="122" t="s">
        <v>3700</v>
      </c>
      <c r="E792" s="51"/>
      <c r="F792" s="28" t="s">
        <v>7001</v>
      </c>
      <c r="G792" s="49" t="s">
        <v>7977</v>
      </c>
      <c r="H792" s="285" t="s">
        <v>5127</v>
      </c>
      <c r="I792" s="289"/>
      <c r="J792" s="285" t="s">
        <v>3136</v>
      </c>
      <c r="K792" s="15">
        <v>41922</v>
      </c>
      <c r="L792" s="289">
        <v>903</v>
      </c>
      <c r="M792" s="15">
        <v>41604</v>
      </c>
      <c r="N792" s="120">
        <v>1</v>
      </c>
      <c r="O792" s="17">
        <v>3260</v>
      </c>
      <c r="P792" s="17">
        <v>3260</v>
      </c>
      <c r="Q792" s="17">
        <f t="shared" si="18"/>
        <v>0</v>
      </c>
      <c r="R792" s="285" t="s">
        <v>6155</v>
      </c>
      <c r="S792" s="15">
        <v>41604</v>
      </c>
      <c r="T792" s="9" t="s">
        <v>6156</v>
      </c>
    </row>
    <row r="793" spans="1:20" ht="167.25" customHeight="1" x14ac:dyDescent="0.2">
      <c r="A793" s="21">
        <v>805</v>
      </c>
      <c r="B793" s="289" t="s">
        <v>521</v>
      </c>
      <c r="C793" s="289"/>
      <c r="D793" s="9" t="s">
        <v>980</v>
      </c>
      <c r="E793" s="15"/>
      <c r="F793" s="28" t="s">
        <v>979</v>
      </c>
      <c r="G793" s="285" t="s">
        <v>6266</v>
      </c>
      <c r="H793" s="285" t="s">
        <v>5127</v>
      </c>
      <c r="I793" s="289"/>
      <c r="J793" s="285" t="s">
        <v>3136</v>
      </c>
      <c r="K793" s="15">
        <v>41928</v>
      </c>
      <c r="L793" s="289">
        <v>944</v>
      </c>
      <c r="M793" s="15">
        <v>41303</v>
      </c>
      <c r="N793" s="16">
        <v>1</v>
      </c>
      <c r="O793" s="17">
        <v>4150</v>
      </c>
      <c r="P793" s="17">
        <v>4150</v>
      </c>
      <c r="Q793" s="17">
        <f t="shared" si="18"/>
        <v>0</v>
      </c>
      <c r="R793" s="285" t="s">
        <v>6155</v>
      </c>
      <c r="S793" s="15">
        <v>41303</v>
      </c>
      <c r="T793" s="9" t="s">
        <v>522</v>
      </c>
    </row>
    <row r="794" spans="1:20" ht="167.25" customHeight="1" x14ac:dyDescent="0.2">
      <c r="A794" s="21">
        <v>806</v>
      </c>
      <c r="B794" s="289" t="s">
        <v>4949</v>
      </c>
      <c r="C794" s="289"/>
      <c r="D794" s="9" t="s">
        <v>3439</v>
      </c>
      <c r="E794" s="15"/>
      <c r="F794" s="28" t="s">
        <v>981</v>
      </c>
      <c r="G794" s="285" t="s">
        <v>6266</v>
      </c>
      <c r="H794" s="285" t="s">
        <v>5127</v>
      </c>
      <c r="I794" s="289"/>
      <c r="J794" s="285" t="s">
        <v>3136</v>
      </c>
      <c r="K794" s="15">
        <v>41928</v>
      </c>
      <c r="L794" s="289">
        <v>944</v>
      </c>
      <c r="M794" s="15">
        <v>41303</v>
      </c>
      <c r="N794" s="16">
        <v>1</v>
      </c>
      <c r="O794" s="17">
        <v>4150</v>
      </c>
      <c r="P794" s="17">
        <v>4150</v>
      </c>
      <c r="Q794" s="17">
        <f t="shared" si="18"/>
        <v>0</v>
      </c>
      <c r="R794" s="285" t="s">
        <v>6155</v>
      </c>
      <c r="S794" s="15">
        <v>41303</v>
      </c>
      <c r="T794" s="9" t="s">
        <v>522</v>
      </c>
    </row>
    <row r="795" spans="1:20" ht="67.5" customHeight="1" x14ac:dyDescent="0.2">
      <c r="A795" s="21">
        <v>807</v>
      </c>
      <c r="B795" s="289" t="s">
        <v>2595</v>
      </c>
      <c r="C795" s="289"/>
      <c r="D795" s="9" t="s">
        <v>2596</v>
      </c>
      <c r="E795" s="15">
        <v>41913</v>
      </c>
      <c r="F795" s="28" t="s">
        <v>6958</v>
      </c>
      <c r="G795" s="285" t="s">
        <v>7982</v>
      </c>
      <c r="H795" s="285" t="s">
        <v>5127</v>
      </c>
      <c r="I795" s="289"/>
      <c r="J795" s="285" t="s">
        <v>3136</v>
      </c>
      <c r="K795" s="15">
        <v>41928</v>
      </c>
      <c r="L795" s="289">
        <v>941</v>
      </c>
      <c r="M795" s="15">
        <v>41913</v>
      </c>
      <c r="N795" s="16">
        <v>1</v>
      </c>
      <c r="O795" s="17">
        <v>8300</v>
      </c>
      <c r="P795" s="17">
        <v>8300</v>
      </c>
      <c r="Q795" s="17">
        <f t="shared" si="18"/>
        <v>0</v>
      </c>
      <c r="R795" s="285" t="s">
        <v>831</v>
      </c>
      <c r="S795" s="15">
        <v>41898</v>
      </c>
      <c r="T795" s="285" t="s">
        <v>832</v>
      </c>
    </row>
    <row r="796" spans="1:20" ht="59.25" customHeight="1" x14ac:dyDescent="0.2">
      <c r="A796" s="21">
        <v>808</v>
      </c>
      <c r="B796" s="289" t="s">
        <v>27</v>
      </c>
      <c r="C796" s="289"/>
      <c r="D796" s="9" t="s">
        <v>2142</v>
      </c>
      <c r="E796" s="12">
        <v>2014</v>
      </c>
      <c r="F796" s="28" t="s">
        <v>1477</v>
      </c>
      <c r="G796" s="285" t="s">
        <v>7934</v>
      </c>
      <c r="H796" s="285" t="s">
        <v>5127</v>
      </c>
      <c r="I796" s="289"/>
      <c r="J796" s="285" t="s">
        <v>3136</v>
      </c>
      <c r="K796" s="15">
        <v>41942</v>
      </c>
      <c r="L796" s="289">
        <v>992</v>
      </c>
      <c r="M796" s="15">
        <v>41924</v>
      </c>
      <c r="N796" s="16">
        <v>1</v>
      </c>
      <c r="O796" s="17">
        <v>6550</v>
      </c>
      <c r="P796" s="17">
        <v>6550</v>
      </c>
      <c r="Q796" s="17">
        <f t="shared" si="18"/>
        <v>0</v>
      </c>
      <c r="R796" s="285" t="s">
        <v>5377</v>
      </c>
      <c r="S796" s="15">
        <v>41924</v>
      </c>
      <c r="T796" s="285" t="s">
        <v>1029</v>
      </c>
    </row>
    <row r="797" spans="1:20" ht="60" customHeight="1" x14ac:dyDescent="0.2">
      <c r="A797" s="21">
        <v>809</v>
      </c>
      <c r="B797" s="289" t="s">
        <v>3948</v>
      </c>
      <c r="C797" s="289"/>
      <c r="D797" s="9" t="s">
        <v>2266</v>
      </c>
      <c r="E797" s="12" t="s">
        <v>1374</v>
      </c>
      <c r="F797" s="28" t="s">
        <v>6730</v>
      </c>
      <c r="G797" s="285" t="s">
        <v>4946</v>
      </c>
      <c r="H797" s="285" t="s">
        <v>5127</v>
      </c>
      <c r="I797" s="289"/>
      <c r="J797" s="285" t="s">
        <v>3136</v>
      </c>
      <c r="K797" s="15">
        <v>42156</v>
      </c>
      <c r="L797" s="289">
        <v>449</v>
      </c>
      <c r="M797" s="15">
        <v>41829</v>
      </c>
      <c r="N797" s="16">
        <v>1</v>
      </c>
      <c r="O797" s="17">
        <v>5141</v>
      </c>
      <c r="P797" s="17">
        <v>5141</v>
      </c>
      <c r="Q797" s="17">
        <f t="shared" si="18"/>
        <v>0</v>
      </c>
      <c r="R797" s="285" t="s">
        <v>5071</v>
      </c>
      <c r="S797" s="15">
        <v>41829</v>
      </c>
      <c r="T797" s="285">
        <v>609</v>
      </c>
    </row>
    <row r="798" spans="1:20" ht="41.25" customHeight="1" x14ac:dyDescent="0.2">
      <c r="A798" s="21">
        <v>810</v>
      </c>
      <c r="B798" s="289" t="s">
        <v>3948</v>
      </c>
      <c r="C798" s="289"/>
      <c r="D798" s="9" t="s">
        <v>6728</v>
      </c>
      <c r="E798" s="12">
        <v>2014</v>
      </c>
      <c r="F798" s="28" t="s">
        <v>6729</v>
      </c>
      <c r="G798" s="285" t="s">
        <v>4946</v>
      </c>
      <c r="H798" s="285" t="s">
        <v>5127</v>
      </c>
      <c r="I798" s="289"/>
      <c r="J798" s="285" t="s">
        <v>3136</v>
      </c>
      <c r="K798" s="15">
        <v>41942</v>
      </c>
      <c r="L798" s="289">
        <v>993</v>
      </c>
      <c r="M798" s="15">
        <v>41366</v>
      </c>
      <c r="N798" s="16">
        <v>1</v>
      </c>
      <c r="O798" s="17">
        <v>25100</v>
      </c>
      <c r="P798" s="17">
        <v>25100</v>
      </c>
      <c r="Q798" s="17">
        <f t="shared" si="18"/>
        <v>0</v>
      </c>
      <c r="R798" s="285" t="s">
        <v>5890</v>
      </c>
      <c r="S798" s="15">
        <v>41306</v>
      </c>
      <c r="T798" s="285">
        <v>2</v>
      </c>
    </row>
    <row r="799" spans="1:20" ht="33" customHeight="1" x14ac:dyDescent="0.2">
      <c r="A799" s="21">
        <v>811</v>
      </c>
      <c r="B799" s="289" t="s">
        <v>4166</v>
      </c>
      <c r="C799" s="289"/>
      <c r="D799" s="46" t="s">
        <v>5625</v>
      </c>
      <c r="E799" s="60" t="s">
        <v>2222</v>
      </c>
      <c r="F799" s="28" t="s">
        <v>5624</v>
      </c>
      <c r="G799" s="285" t="s">
        <v>4296</v>
      </c>
      <c r="H799" s="285" t="s">
        <v>3793</v>
      </c>
      <c r="I799" s="289"/>
      <c r="J799" s="285" t="s">
        <v>3136</v>
      </c>
      <c r="K799" s="32">
        <v>43032</v>
      </c>
      <c r="L799" s="20">
        <v>951</v>
      </c>
      <c r="M799" s="15">
        <v>41499</v>
      </c>
      <c r="N799" s="44">
        <v>1</v>
      </c>
      <c r="O799" s="34">
        <v>230000</v>
      </c>
      <c r="P799" s="17">
        <v>230000</v>
      </c>
      <c r="Q799" s="17">
        <f t="shared" si="18"/>
        <v>0</v>
      </c>
      <c r="R799" s="285" t="s">
        <v>5071</v>
      </c>
      <c r="S799" s="15">
        <v>41494</v>
      </c>
      <c r="T799" s="285">
        <v>276</v>
      </c>
    </row>
    <row r="800" spans="1:20" ht="62.25" customHeight="1" x14ac:dyDescent="0.2">
      <c r="A800" s="21">
        <v>812</v>
      </c>
      <c r="B800" s="289" t="s">
        <v>3947</v>
      </c>
      <c r="C800" s="289"/>
      <c r="D800" s="9" t="s">
        <v>3950</v>
      </c>
      <c r="E800" s="12" t="s">
        <v>1374</v>
      </c>
      <c r="F800" s="9" t="s">
        <v>2258</v>
      </c>
      <c r="G800" s="285"/>
      <c r="H800" s="285" t="s">
        <v>2042</v>
      </c>
      <c r="I800" s="285" t="s">
        <v>2207</v>
      </c>
      <c r="J800" s="285" t="s">
        <v>3136</v>
      </c>
      <c r="K800" s="15">
        <v>41948</v>
      </c>
      <c r="L800" s="289">
        <v>1007</v>
      </c>
      <c r="M800" s="15">
        <v>41922</v>
      </c>
      <c r="N800" s="44">
        <v>1</v>
      </c>
      <c r="O800" s="34">
        <v>663382</v>
      </c>
      <c r="P800" s="34">
        <v>0</v>
      </c>
      <c r="Q800" s="34">
        <f t="shared" si="18"/>
        <v>663382</v>
      </c>
      <c r="R800" s="285" t="s">
        <v>5071</v>
      </c>
      <c r="S800" s="15">
        <v>41557</v>
      </c>
      <c r="T800" s="285">
        <v>232</v>
      </c>
    </row>
    <row r="801" spans="1:20" ht="116.25" customHeight="1" x14ac:dyDescent="0.2">
      <c r="A801" s="21">
        <v>813</v>
      </c>
      <c r="B801" s="289" t="s">
        <v>2748</v>
      </c>
      <c r="C801" s="289"/>
      <c r="D801" s="46" t="s">
        <v>2451</v>
      </c>
      <c r="E801" s="12"/>
      <c r="F801" s="9" t="s">
        <v>8893</v>
      </c>
      <c r="G801" s="285" t="s">
        <v>4296</v>
      </c>
      <c r="H801" s="285" t="s">
        <v>3793</v>
      </c>
      <c r="I801" s="285"/>
      <c r="J801" s="285" t="s">
        <v>1574</v>
      </c>
      <c r="K801" s="32" t="s">
        <v>8844</v>
      </c>
      <c r="L801" s="37" t="s">
        <v>8845</v>
      </c>
      <c r="M801" s="14" t="s">
        <v>7244</v>
      </c>
      <c r="N801" s="44">
        <f>1+1+1+1+1+1+1+2</f>
        <v>9</v>
      </c>
      <c r="O801" s="34">
        <f>25166.1+16472.8+32820+19381+16740+24200+35000+49750</f>
        <v>219529.9</v>
      </c>
      <c r="P801" s="17">
        <v>219529.9</v>
      </c>
      <c r="Q801" s="17">
        <f t="shared" si="18"/>
        <v>0</v>
      </c>
      <c r="R801" s="285" t="s">
        <v>8150</v>
      </c>
      <c r="S801" s="14" t="s">
        <v>8612</v>
      </c>
      <c r="T801" s="285" t="s">
        <v>8613</v>
      </c>
    </row>
    <row r="802" spans="1:20" ht="246" customHeight="1" x14ac:dyDescent="0.2">
      <c r="A802" s="21">
        <v>814</v>
      </c>
      <c r="B802" s="289" t="s">
        <v>683</v>
      </c>
      <c r="C802" s="289"/>
      <c r="D802" s="9" t="s">
        <v>1251</v>
      </c>
      <c r="E802" s="12"/>
      <c r="F802" s="253" t="s">
        <v>8272</v>
      </c>
      <c r="G802" s="285" t="s">
        <v>4296</v>
      </c>
      <c r="H802" s="285" t="s">
        <v>3793</v>
      </c>
      <c r="I802" s="285"/>
      <c r="J802" s="285" t="s">
        <v>2760</v>
      </c>
      <c r="K802" s="32" t="s">
        <v>8273</v>
      </c>
      <c r="L802" s="37" t="s">
        <v>8274</v>
      </c>
      <c r="M802" s="14" t="s">
        <v>7243</v>
      </c>
      <c r="N802" s="44">
        <f>2+1+2+1+1+1+1+2+1+1+1+4+1+1+1-1+1+1-1-2+1+1+1+14+1+1+1+1+1</f>
        <v>41</v>
      </c>
      <c r="O802" s="34">
        <f>7897.63+16627.12+41067.8+19983.05+3432.2+4177.97+17033.9+15717.21+6049.79+11969.49+38331.34+23881.36+5315.25+13483.05+8339-22288.14+19455.08+8800-22000-7897.63+24430.09+6888.98+21074.59+69288.1+6888.98+15738.75+27044.92+7309.86+8172.95-5984.75+44920</f>
        <v>435147.93999999994</v>
      </c>
      <c r="P802" s="17">
        <v>410816.09</v>
      </c>
      <c r="Q802" s="17">
        <f t="shared" si="18"/>
        <v>24331.849999999919</v>
      </c>
      <c r="R802" s="285" t="s">
        <v>6376</v>
      </c>
      <c r="S802" s="14" t="s">
        <v>7241</v>
      </c>
      <c r="T802" s="285" t="s">
        <v>7242</v>
      </c>
    </row>
    <row r="803" spans="1:20" ht="28.5" customHeight="1" x14ac:dyDescent="0.2">
      <c r="A803" s="21">
        <v>815</v>
      </c>
      <c r="B803" s="289" t="s">
        <v>4793</v>
      </c>
      <c r="D803" s="9" t="s">
        <v>4795</v>
      </c>
      <c r="E803" s="12" t="s">
        <v>1374</v>
      </c>
      <c r="F803" s="9" t="s">
        <v>4796</v>
      </c>
      <c r="G803" s="285" t="s">
        <v>7917</v>
      </c>
      <c r="H803" s="285" t="s">
        <v>5127</v>
      </c>
      <c r="I803" s="285"/>
      <c r="J803" s="285" t="s">
        <v>3136</v>
      </c>
      <c r="K803" s="15">
        <v>41995</v>
      </c>
      <c r="L803" s="289">
        <v>1187</v>
      </c>
      <c r="M803" s="15">
        <v>41956</v>
      </c>
      <c r="N803" s="16">
        <v>1</v>
      </c>
      <c r="O803" s="17">
        <v>9480</v>
      </c>
      <c r="P803" s="17">
        <v>9480</v>
      </c>
      <c r="Q803" s="17">
        <f t="shared" si="18"/>
        <v>0</v>
      </c>
      <c r="R803" s="285" t="s">
        <v>4794</v>
      </c>
      <c r="S803" s="15">
        <v>41902</v>
      </c>
      <c r="T803" s="285">
        <v>2420140056</v>
      </c>
    </row>
    <row r="804" spans="1:20" ht="72" customHeight="1" x14ac:dyDescent="0.2">
      <c r="A804" s="21">
        <v>816</v>
      </c>
      <c r="B804" s="289" t="s">
        <v>5186</v>
      </c>
      <c r="C804" s="289"/>
      <c r="D804" s="9" t="s">
        <v>5187</v>
      </c>
      <c r="E804" s="12" t="s">
        <v>1374</v>
      </c>
      <c r="F804" s="9" t="s">
        <v>5188</v>
      </c>
      <c r="G804" s="285" t="s">
        <v>7983</v>
      </c>
      <c r="H804" s="285" t="s">
        <v>5127</v>
      </c>
      <c r="I804" s="285"/>
      <c r="J804" s="285" t="s">
        <v>3136</v>
      </c>
      <c r="K804" s="15">
        <v>41995</v>
      </c>
      <c r="L804" s="289">
        <v>1189</v>
      </c>
      <c r="M804" s="15">
        <v>41977</v>
      </c>
      <c r="N804" s="16">
        <v>1</v>
      </c>
      <c r="O804" s="17">
        <v>6000</v>
      </c>
      <c r="P804" s="17">
        <v>6000</v>
      </c>
      <c r="Q804" s="17">
        <f t="shared" si="18"/>
        <v>0</v>
      </c>
      <c r="R804" s="285" t="s">
        <v>5071</v>
      </c>
      <c r="S804" s="15">
        <v>41911</v>
      </c>
      <c r="T804" s="285">
        <v>265</v>
      </c>
    </row>
    <row r="805" spans="1:20" ht="57.75" customHeight="1" x14ac:dyDescent="0.2">
      <c r="A805" s="21">
        <v>817</v>
      </c>
      <c r="B805" s="289" t="s">
        <v>4329</v>
      </c>
      <c r="D805" s="9" t="s">
        <v>4183</v>
      </c>
      <c r="E805" s="12" t="s">
        <v>4426</v>
      </c>
      <c r="F805" s="9" t="s">
        <v>4425</v>
      </c>
      <c r="G805" s="285" t="s">
        <v>4296</v>
      </c>
      <c r="H805" s="285" t="s">
        <v>3793</v>
      </c>
      <c r="I805" s="285"/>
      <c r="J805" s="285" t="s">
        <v>3136</v>
      </c>
      <c r="K805" s="14">
        <v>42003</v>
      </c>
      <c r="L805" s="289">
        <v>1239</v>
      </c>
      <c r="M805" s="15">
        <v>42003</v>
      </c>
      <c r="N805" s="16">
        <v>1</v>
      </c>
      <c r="O805" s="17">
        <v>1</v>
      </c>
      <c r="P805" s="17">
        <v>1</v>
      </c>
      <c r="Q805" s="17">
        <f t="shared" ref="Q805:Q868" si="19">O805-P805</f>
        <v>0</v>
      </c>
      <c r="R805" s="285" t="s">
        <v>2278</v>
      </c>
      <c r="S805" s="15">
        <v>42003</v>
      </c>
      <c r="T805" s="285"/>
    </row>
    <row r="806" spans="1:20" ht="48.75" customHeight="1" x14ac:dyDescent="0.2">
      <c r="A806" s="21">
        <v>818</v>
      </c>
      <c r="B806" s="289" t="s">
        <v>4007</v>
      </c>
      <c r="C806" s="289"/>
      <c r="D806" s="9" t="s">
        <v>4184</v>
      </c>
      <c r="E806" s="12" t="s">
        <v>2222</v>
      </c>
      <c r="F806" s="9" t="s">
        <v>2348</v>
      </c>
      <c r="G806" s="285" t="s">
        <v>4296</v>
      </c>
      <c r="H806" s="285" t="s">
        <v>3793</v>
      </c>
      <c r="I806" s="285"/>
      <c r="J806" s="37" t="s">
        <v>3136</v>
      </c>
      <c r="K806" s="32">
        <v>42003</v>
      </c>
      <c r="L806" s="20">
        <v>1239</v>
      </c>
      <c r="M806" s="15">
        <v>42003</v>
      </c>
      <c r="N806" s="16">
        <v>1</v>
      </c>
      <c r="O806" s="17">
        <v>1</v>
      </c>
      <c r="P806" s="17">
        <v>1</v>
      </c>
      <c r="Q806" s="17">
        <f t="shared" si="19"/>
        <v>0</v>
      </c>
      <c r="R806" s="285" t="s">
        <v>2278</v>
      </c>
      <c r="S806" s="15">
        <v>42003</v>
      </c>
      <c r="T806" s="285"/>
    </row>
    <row r="807" spans="1:20" ht="51" customHeight="1" x14ac:dyDescent="0.2">
      <c r="A807" s="21">
        <v>819</v>
      </c>
      <c r="B807" s="289" t="s">
        <v>4008</v>
      </c>
      <c r="C807" s="289"/>
      <c r="D807" s="9" t="s">
        <v>4185</v>
      </c>
      <c r="E807" s="42" t="s">
        <v>2408</v>
      </c>
      <c r="F807" s="9" t="s">
        <v>1036</v>
      </c>
      <c r="G807" s="285" t="s">
        <v>4296</v>
      </c>
      <c r="H807" s="285" t="s">
        <v>3793</v>
      </c>
      <c r="I807" s="285"/>
      <c r="J807" s="37" t="s">
        <v>3136</v>
      </c>
      <c r="K807" s="32">
        <v>42003</v>
      </c>
      <c r="L807" s="20">
        <v>1239</v>
      </c>
      <c r="M807" s="15">
        <v>42003</v>
      </c>
      <c r="N807" s="16">
        <v>1</v>
      </c>
      <c r="O807" s="17">
        <v>1</v>
      </c>
      <c r="P807" s="17">
        <v>1</v>
      </c>
      <c r="Q807" s="17">
        <f t="shared" si="19"/>
        <v>0</v>
      </c>
      <c r="R807" s="285" t="s">
        <v>2278</v>
      </c>
      <c r="S807" s="15">
        <v>42003</v>
      </c>
      <c r="T807" s="285"/>
    </row>
    <row r="808" spans="1:20" ht="48" customHeight="1" x14ac:dyDescent="0.2">
      <c r="A808" s="21">
        <v>820</v>
      </c>
      <c r="B808" s="289" t="s">
        <v>4009</v>
      </c>
      <c r="C808" s="289"/>
      <c r="D808" s="9" t="s">
        <v>2208</v>
      </c>
      <c r="E808" s="12"/>
      <c r="F808" s="9" t="s">
        <v>3749</v>
      </c>
      <c r="G808" s="285" t="s">
        <v>4296</v>
      </c>
      <c r="H808" s="285" t="s">
        <v>3793</v>
      </c>
      <c r="I808" s="285"/>
      <c r="J808" s="285" t="s">
        <v>3136</v>
      </c>
      <c r="K808" s="14">
        <v>42003</v>
      </c>
      <c r="L808" s="289">
        <v>1239</v>
      </c>
      <c r="M808" s="15">
        <v>42003</v>
      </c>
      <c r="N808" s="16">
        <v>1</v>
      </c>
      <c r="O808" s="17">
        <v>1</v>
      </c>
      <c r="P808" s="17">
        <v>1</v>
      </c>
      <c r="Q808" s="17">
        <f t="shared" si="19"/>
        <v>0</v>
      </c>
      <c r="R808" s="285" t="s">
        <v>2278</v>
      </c>
      <c r="S808" s="15">
        <v>42003</v>
      </c>
      <c r="T808" s="285"/>
    </row>
    <row r="809" spans="1:20" ht="57.75" customHeight="1" x14ac:dyDescent="0.2">
      <c r="A809" s="21">
        <v>821</v>
      </c>
      <c r="B809" s="289" t="s">
        <v>4010</v>
      </c>
      <c r="C809" s="289"/>
      <c r="D809" s="9" t="s">
        <v>5749</v>
      </c>
      <c r="E809" s="12"/>
      <c r="F809" s="9" t="s">
        <v>1036</v>
      </c>
      <c r="G809" s="285" t="s">
        <v>4296</v>
      </c>
      <c r="H809" s="285" t="s">
        <v>3793</v>
      </c>
      <c r="I809" s="285"/>
      <c r="J809" s="285" t="s">
        <v>3136</v>
      </c>
      <c r="K809" s="14">
        <v>42003</v>
      </c>
      <c r="L809" s="289">
        <v>1239</v>
      </c>
      <c r="M809" s="15">
        <v>42003</v>
      </c>
      <c r="N809" s="16">
        <v>1</v>
      </c>
      <c r="O809" s="17">
        <v>1</v>
      </c>
      <c r="P809" s="17">
        <v>1</v>
      </c>
      <c r="Q809" s="17">
        <f t="shared" si="19"/>
        <v>0</v>
      </c>
      <c r="R809" s="285" t="s">
        <v>2278</v>
      </c>
      <c r="S809" s="15">
        <v>42003</v>
      </c>
      <c r="T809" s="285"/>
    </row>
    <row r="810" spans="1:20" ht="78" customHeight="1" x14ac:dyDescent="0.2">
      <c r="A810" s="21">
        <v>822</v>
      </c>
      <c r="B810" s="289" t="s">
        <v>2338</v>
      </c>
      <c r="C810" s="289"/>
      <c r="D810" s="9" t="s">
        <v>5750</v>
      </c>
      <c r="E810" s="60"/>
      <c r="F810" s="9" t="s">
        <v>4853</v>
      </c>
      <c r="G810" s="285" t="s">
        <v>4296</v>
      </c>
      <c r="H810" s="285" t="s">
        <v>3793</v>
      </c>
      <c r="I810" s="285"/>
      <c r="J810" s="285" t="s">
        <v>3136</v>
      </c>
      <c r="K810" s="32">
        <v>42003</v>
      </c>
      <c r="L810" s="20">
        <v>1239</v>
      </c>
      <c r="M810" s="15">
        <v>42003</v>
      </c>
      <c r="N810" s="44">
        <v>2</v>
      </c>
      <c r="O810" s="34">
        <v>2</v>
      </c>
      <c r="P810" s="17">
        <v>2</v>
      </c>
      <c r="Q810" s="17">
        <f t="shared" si="19"/>
        <v>0</v>
      </c>
      <c r="R810" s="285" t="s">
        <v>2278</v>
      </c>
      <c r="S810" s="15">
        <v>42003</v>
      </c>
      <c r="T810" s="285"/>
    </row>
    <row r="811" spans="1:20" ht="84.75" customHeight="1" x14ac:dyDescent="0.2">
      <c r="A811" s="21">
        <v>823</v>
      </c>
      <c r="B811" s="289" t="s">
        <v>4854</v>
      </c>
      <c r="C811" s="289"/>
      <c r="D811" s="9" t="s">
        <v>698</v>
      </c>
      <c r="E811" s="12"/>
      <c r="F811" s="9" t="s">
        <v>1580</v>
      </c>
      <c r="G811" s="285" t="s">
        <v>4296</v>
      </c>
      <c r="H811" s="285" t="s">
        <v>3793</v>
      </c>
      <c r="I811" s="285"/>
      <c r="J811" s="285" t="s">
        <v>3136</v>
      </c>
      <c r="K811" s="14">
        <v>42003</v>
      </c>
      <c r="L811" s="289">
        <v>1239</v>
      </c>
      <c r="M811" s="15">
        <v>42003</v>
      </c>
      <c r="N811" s="16">
        <v>1</v>
      </c>
      <c r="O811" s="17">
        <v>1</v>
      </c>
      <c r="P811" s="17">
        <v>1</v>
      </c>
      <c r="Q811" s="17">
        <f t="shared" si="19"/>
        <v>0</v>
      </c>
      <c r="R811" s="285" t="s">
        <v>2278</v>
      </c>
      <c r="S811" s="15">
        <v>42003</v>
      </c>
      <c r="T811" s="285"/>
    </row>
    <row r="812" spans="1:20" ht="86.25" customHeight="1" x14ac:dyDescent="0.2">
      <c r="A812" s="21">
        <v>824</v>
      </c>
      <c r="B812" s="289" t="s">
        <v>4272</v>
      </c>
      <c r="C812" s="289"/>
      <c r="D812" s="9" t="s">
        <v>1581</v>
      </c>
      <c r="E812" s="12" t="s">
        <v>1584</v>
      </c>
      <c r="F812" s="9" t="s">
        <v>1582</v>
      </c>
      <c r="G812" s="285" t="s">
        <v>4296</v>
      </c>
      <c r="H812" s="285" t="s">
        <v>3793</v>
      </c>
      <c r="I812" s="285"/>
      <c r="J812" s="285" t="s">
        <v>3136</v>
      </c>
      <c r="K812" s="14">
        <v>42003</v>
      </c>
      <c r="L812" s="289">
        <v>1239</v>
      </c>
      <c r="M812" s="15">
        <v>42003</v>
      </c>
      <c r="N812" s="16">
        <v>1</v>
      </c>
      <c r="O812" s="17">
        <v>1</v>
      </c>
      <c r="P812" s="17">
        <v>1</v>
      </c>
      <c r="Q812" s="17">
        <f t="shared" si="19"/>
        <v>0</v>
      </c>
      <c r="R812" s="285" t="s">
        <v>2278</v>
      </c>
      <c r="S812" s="15">
        <v>42003</v>
      </c>
      <c r="T812" s="285"/>
    </row>
    <row r="813" spans="1:20" ht="50.25" customHeight="1" x14ac:dyDescent="0.2">
      <c r="A813" s="21">
        <v>825</v>
      </c>
      <c r="B813" s="289" t="s">
        <v>4297</v>
      </c>
      <c r="C813" s="289"/>
      <c r="D813" s="46" t="s">
        <v>698</v>
      </c>
      <c r="E813" s="42"/>
      <c r="F813" s="46" t="s">
        <v>1583</v>
      </c>
      <c r="G813" s="285" t="s">
        <v>4296</v>
      </c>
      <c r="H813" s="285" t="s">
        <v>3793</v>
      </c>
      <c r="I813" s="285"/>
      <c r="J813" s="285" t="s">
        <v>3136</v>
      </c>
      <c r="K813" s="14">
        <v>42003</v>
      </c>
      <c r="L813" s="289">
        <v>1239</v>
      </c>
      <c r="M813" s="51">
        <v>42003</v>
      </c>
      <c r="N813" s="120">
        <v>1</v>
      </c>
      <c r="O813" s="48">
        <v>1</v>
      </c>
      <c r="P813" s="17">
        <v>1</v>
      </c>
      <c r="Q813" s="17">
        <f t="shared" si="19"/>
        <v>0</v>
      </c>
      <c r="R813" s="285" t="s">
        <v>2278</v>
      </c>
      <c r="S813" s="15">
        <v>42003</v>
      </c>
      <c r="T813" s="285"/>
    </row>
    <row r="814" spans="1:20" ht="48" customHeight="1" x14ac:dyDescent="0.2">
      <c r="A814" s="21">
        <v>826</v>
      </c>
      <c r="B814" s="289" t="s">
        <v>1782</v>
      </c>
      <c r="C814" s="289"/>
      <c r="D814" s="9" t="s">
        <v>1585</v>
      </c>
      <c r="E814" s="12"/>
      <c r="F814" s="9" t="s">
        <v>5841</v>
      </c>
      <c r="G814" s="285" t="s">
        <v>4296</v>
      </c>
      <c r="H814" s="285" t="s">
        <v>3793</v>
      </c>
      <c r="I814" s="285"/>
      <c r="J814" s="285" t="s">
        <v>3136</v>
      </c>
      <c r="K814" s="14">
        <v>42003</v>
      </c>
      <c r="L814" s="289">
        <v>1239</v>
      </c>
      <c r="M814" s="15">
        <v>42003</v>
      </c>
      <c r="N814" s="16">
        <v>1</v>
      </c>
      <c r="O814" s="17">
        <v>1</v>
      </c>
      <c r="P814" s="17">
        <v>1</v>
      </c>
      <c r="Q814" s="17">
        <f t="shared" si="19"/>
        <v>0</v>
      </c>
      <c r="R814" s="285" t="s">
        <v>2278</v>
      </c>
      <c r="S814" s="15">
        <v>42003</v>
      </c>
      <c r="T814" s="285"/>
    </row>
    <row r="815" spans="1:20" ht="48" customHeight="1" x14ac:dyDescent="0.2">
      <c r="A815" s="21">
        <v>827</v>
      </c>
      <c r="B815" s="289" t="s">
        <v>1783</v>
      </c>
      <c r="C815" s="30"/>
      <c r="D815" s="9" t="s">
        <v>5749</v>
      </c>
      <c r="E815" s="42"/>
      <c r="F815" s="46" t="s">
        <v>5275</v>
      </c>
      <c r="G815" s="285" t="s">
        <v>4296</v>
      </c>
      <c r="H815" s="285" t="s">
        <v>3793</v>
      </c>
      <c r="I815" s="285"/>
      <c r="J815" s="285" t="s">
        <v>3136</v>
      </c>
      <c r="K815" s="53">
        <v>42003</v>
      </c>
      <c r="L815" s="30">
        <v>1239</v>
      </c>
      <c r="M815" s="51">
        <v>42003</v>
      </c>
      <c r="N815" s="120">
        <v>1</v>
      </c>
      <c r="O815" s="48">
        <v>1</v>
      </c>
      <c r="P815" s="17">
        <v>1</v>
      </c>
      <c r="Q815" s="17">
        <f t="shared" si="19"/>
        <v>0</v>
      </c>
      <c r="R815" s="285" t="s">
        <v>2278</v>
      </c>
      <c r="S815" s="51">
        <v>42003</v>
      </c>
      <c r="T815" s="285"/>
    </row>
    <row r="816" spans="1:20" ht="64.5" customHeight="1" x14ac:dyDescent="0.2">
      <c r="A816" s="21">
        <v>828</v>
      </c>
      <c r="B816" s="289" t="s">
        <v>1784</v>
      </c>
      <c r="C816" s="289"/>
      <c r="D816" s="9" t="s">
        <v>5276</v>
      </c>
      <c r="E816" s="12"/>
      <c r="F816" s="9" t="s">
        <v>5896</v>
      </c>
      <c r="G816" s="285" t="s">
        <v>4296</v>
      </c>
      <c r="H816" s="285" t="s">
        <v>3793</v>
      </c>
      <c r="I816" s="285"/>
      <c r="J816" s="285" t="s">
        <v>3136</v>
      </c>
      <c r="K816" s="14">
        <v>42003</v>
      </c>
      <c r="L816" s="289">
        <v>1239</v>
      </c>
      <c r="M816" s="15">
        <v>42003</v>
      </c>
      <c r="N816" s="16">
        <v>1</v>
      </c>
      <c r="O816" s="17">
        <v>1</v>
      </c>
      <c r="P816" s="17">
        <v>1</v>
      </c>
      <c r="Q816" s="17">
        <f t="shared" si="19"/>
        <v>0</v>
      </c>
      <c r="R816" s="285" t="s">
        <v>2278</v>
      </c>
      <c r="S816" s="15">
        <v>42003</v>
      </c>
      <c r="T816" s="285"/>
    </row>
    <row r="817" spans="1:20" ht="64.5" customHeight="1" x14ac:dyDescent="0.2">
      <c r="A817" s="21">
        <v>829</v>
      </c>
      <c r="B817" s="289" t="s">
        <v>1785</v>
      </c>
      <c r="C817" s="289"/>
      <c r="D817" s="9" t="s">
        <v>5048</v>
      </c>
      <c r="E817" s="12" t="s">
        <v>2291</v>
      </c>
      <c r="F817" s="9" t="s">
        <v>5049</v>
      </c>
      <c r="G817" s="285" t="s">
        <v>4296</v>
      </c>
      <c r="H817" s="285" t="s">
        <v>3793</v>
      </c>
      <c r="I817" s="285"/>
      <c r="J817" s="285" t="s">
        <v>3136</v>
      </c>
      <c r="K817" s="14">
        <v>42003</v>
      </c>
      <c r="L817" s="289">
        <v>1239</v>
      </c>
      <c r="M817" s="15">
        <v>42003</v>
      </c>
      <c r="N817" s="16">
        <v>1</v>
      </c>
      <c r="O817" s="17">
        <v>1</v>
      </c>
      <c r="P817" s="17">
        <v>1</v>
      </c>
      <c r="Q817" s="17">
        <f t="shared" si="19"/>
        <v>0</v>
      </c>
      <c r="R817" s="285" t="s">
        <v>2278</v>
      </c>
      <c r="S817" s="15">
        <v>42003</v>
      </c>
      <c r="T817" s="285"/>
    </row>
    <row r="818" spans="1:20" ht="53.25" customHeight="1" x14ac:dyDescent="0.2">
      <c r="A818" s="21">
        <v>830</v>
      </c>
      <c r="B818" s="289" t="s">
        <v>1786</v>
      </c>
      <c r="C818" s="289"/>
      <c r="D818" s="76" t="s">
        <v>3548</v>
      </c>
      <c r="E818" s="12" t="s">
        <v>3549</v>
      </c>
      <c r="F818" s="9" t="s">
        <v>1214</v>
      </c>
      <c r="G818" s="285" t="s">
        <v>4296</v>
      </c>
      <c r="H818" s="285" t="s">
        <v>3793</v>
      </c>
      <c r="I818" s="285"/>
      <c r="J818" s="285" t="s">
        <v>3136</v>
      </c>
      <c r="K818" s="14">
        <v>42003</v>
      </c>
      <c r="L818" s="289">
        <v>1239</v>
      </c>
      <c r="M818" s="15">
        <v>42003</v>
      </c>
      <c r="N818" s="16">
        <v>1</v>
      </c>
      <c r="O818" s="17">
        <v>1</v>
      </c>
      <c r="P818" s="17">
        <v>1</v>
      </c>
      <c r="Q818" s="17">
        <f t="shared" si="19"/>
        <v>0</v>
      </c>
      <c r="R818" s="285" t="s">
        <v>2278</v>
      </c>
      <c r="S818" s="15">
        <v>42003</v>
      </c>
      <c r="T818" s="285"/>
    </row>
    <row r="819" spans="1:20" ht="111.75" customHeight="1" x14ac:dyDescent="0.2">
      <c r="A819" s="21">
        <v>831</v>
      </c>
      <c r="B819" s="289" t="s">
        <v>1787</v>
      </c>
      <c r="C819" s="289"/>
      <c r="D819" s="41" t="s">
        <v>2208</v>
      </c>
      <c r="E819" s="12"/>
      <c r="F819" s="9" t="s">
        <v>1198</v>
      </c>
      <c r="G819" s="285" t="s">
        <v>4296</v>
      </c>
      <c r="H819" s="285" t="s">
        <v>3793</v>
      </c>
      <c r="I819" s="285"/>
      <c r="J819" s="285" t="s">
        <v>3136</v>
      </c>
      <c r="K819" s="14">
        <v>42003</v>
      </c>
      <c r="L819" s="289">
        <v>1239</v>
      </c>
      <c r="M819" s="15">
        <v>42003</v>
      </c>
      <c r="N819" s="16">
        <v>1</v>
      </c>
      <c r="O819" s="17">
        <v>1</v>
      </c>
      <c r="P819" s="17">
        <v>1</v>
      </c>
      <c r="Q819" s="17">
        <f t="shared" si="19"/>
        <v>0</v>
      </c>
      <c r="R819" s="285" t="s">
        <v>2278</v>
      </c>
      <c r="S819" s="15">
        <v>42003</v>
      </c>
      <c r="T819" s="285"/>
    </row>
    <row r="820" spans="1:20" ht="80.25" customHeight="1" x14ac:dyDescent="0.2">
      <c r="A820" s="21">
        <v>832</v>
      </c>
      <c r="B820" s="289" t="s">
        <v>1788</v>
      </c>
      <c r="C820" s="289"/>
      <c r="D820" s="76" t="s">
        <v>5749</v>
      </c>
      <c r="E820" s="12"/>
      <c r="F820" s="9" t="s">
        <v>1199</v>
      </c>
      <c r="G820" s="285" t="s">
        <v>4296</v>
      </c>
      <c r="H820" s="285" t="s">
        <v>3793</v>
      </c>
      <c r="I820" s="285"/>
      <c r="J820" s="285" t="s">
        <v>3136</v>
      </c>
      <c r="K820" s="14">
        <v>42003</v>
      </c>
      <c r="L820" s="289">
        <v>1239</v>
      </c>
      <c r="M820" s="15">
        <v>42003</v>
      </c>
      <c r="N820" s="16">
        <v>1</v>
      </c>
      <c r="O820" s="17">
        <v>1</v>
      </c>
      <c r="P820" s="17">
        <v>1</v>
      </c>
      <c r="Q820" s="17">
        <f t="shared" si="19"/>
        <v>0</v>
      </c>
      <c r="R820" s="285" t="s">
        <v>2278</v>
      </c>
      <c r="S820" s="15">
        <v>42003</v>
      </c>
      <c r="T820" s="285"/>
    </row>
    <row r="821" spans="1:20" ht="56.25" customHeight="1" x14ac:dyDescent="0.2">
      <c r="A821" s="21">
        <v>833</v>
      </c>
      <c r="B821" s="289" t="s">
        <v>4859</v>
      </c>
      <c r="C821" s="289"/>
      <c r="D821" s="9" t="s">
        <v>1585</v>
      </c>
      <c r="E821" s="12"/>
      <c r="F821" s="9" t="s">
        <v>1200</v>
      </c>
      <c r="G821" s="285" t="s">
        <v>4296</v>
      </c>
      <c r="H821" s="285" t="s">
        <v>3793</v>
      </c>
      <c r="I821" s="285"/>
      <c r="J821" s="285" t="s">
        <v>3136</v>
      </c>
      <c r="K821" s="14">
        <v>42003</v>
      </c>
      <c r="L821" s="289">
        <v>1239</v>
      </c>
      <c r="M821" s="15">
        <v>42003</v>
      </c>
      <c r="N821" s="16">
        <v>1</v>
      </c>
      <c r="O821" s="17">
        <v>1</v>
      </c>
      <c r="P821" s="17">
        <v>1</v>
      </c>
      <c r="Q821" s="17">
        <f t="shared" si="19"/>
        <v>0</v>
      </c>
      <c r="R821" s="285" t="s">
        <v>2278</v>
      </c>
      <c r="S821" s="15">
        <v>42003</v>
      </c>
      <c r="T821" s="285"/>
    </row>
    <row r="822" spans="1:20" ht="362.25" customHeight="1" x14ac:dyDescent="0.2">
      <c r="A822" s="21">
        <v>834</v>
      </c>
      <c r="B822" s="289" t="s">
        <v>4860</v>
      </c>
      <c r="C822" s="289"/>
      <c r="D822" s="9" t="s">
        <v>1201</v>
      </c>
      <c r="E822" s="12"/>
      <c r="F822" s="9" t="s">
        <v>1202</v>
      </c>
      <c r="G822" s="285" t="s">
        <v>4296</v>
      </c>
      <c r="H822" s="285" t="s">
        <v>3793</v>
      </c>
      <c r="I822" s="285"/>
      <c r="J822" s="285" t="s">
        <v>3136</v>
      </c>
      <c r="K822" s="14">
        <v>42003</v>
      </c>
      <c r="L822" s="289">
        <v>1239</v>
      </c>
      <c r="M822" s="15">
        <v>42003</v>
      </c>
      <c r="N822" s="16">
        <v>2</v>
      </c>
      <c r="O822" s="17">
        <v>2</v>
      </c>
      <c r="P822" s="17">
        <v>2</v>
      </c>
      <c r="Q822" s="17">
        <f t="shared" si="19"/>
        <v>0</v>
      </c>
      <c r="R822" s="285" t="s">
        <v>2278</v>
      </c>
      <c r="S822" s="15">
        <v>42003</v>
      </c>
      <c r="T822" s="285"/>
    </row>
    <row r="823" spans="1:20" ht="45.75" customHeight="1" x14ac:dyDescent="0.2">
      <c r="A823" s="21">
        <v>835</v>
      </c>
      <c r="B823" s="289" t="s">
        <v>4861</v>
      </c>
      <c r="C823" s="289"/>
      <c r="D823" s="9" t="s">
        <v>5276</v>
      </c>
      <c r="E823" s="12"/>
      <c r="F823" s="9" t="s">
        <v>2153</v>
      </c>
      <c r="G823" s="285" t="s">
        <v>4296</v>
      </c>
      <c r="H823" s="285" t="s">
        <v>3793</v>
      </c>
      <c r="I823" s="285"/>
      <c r="J823" s="285" t="s">
        <v>3136</v>
      </c>
      <c r="K823" s="14">
        <v>42003</v>
      </c>
      <c r="L823" s="289">
        <v>1239</v>
      </c>
      <c r="M823" s="15">
        <v>42003</v>
      </c>
      <c r="N823" s="16">
        <v>1</v>
      </c>
      <c r="O823" s="17">
        <v>1</v>
      </c>
      <c r="P823" s="17">
        <v>1</v>
      </c>
      <c r="Q823" s="17">
        <f t="shared" si="19"/>
        <v>0</v>
      </c>
      <c r="R823" s="285" t="s">
        <v>2278</v>
      </c>
      <c r="S823" s="15">
        <v>42003</v>
      </c>
      <c r="T823" s="285"/>
    </row>
    <row r="824" spans="1:20" ht="52.5" customHeight="1" x14ac:dyDescent="0.2">
      <c r="A824" s="21">
        <v>836</v>
      </c>
      <c r="B824" s="289" t="s">
        <v>4862</v>
      </c>
      <c r="C824" s="289"/>
      <c r="D824" s="9" t="s">
        <v>2068</v>
      </c>
      <c r="E824" s="12"/>
      <c r="F824" s="9" t="s">
        <v>2153</v>
      </c>
      <c r="G824" s="285" t="s">
        <v>4296</v>
      </c>
      <c r="H824" s="285" t="s">
        <v>3793</v>
      </c>
      <c r="I824" s="285"/>
      <c r="J824" s="285" t="s">
        <v>3136</v>
      </c>
      <c r="K824" s="14">
        <v>42003</v>
      </c>
      <c r="L824" s="289">
        <v>1239</v>
      </c>
      <c r="M824" s="15">
        <v>42003</v>
      </c>
      <c r="N824" s="16">
        <v>2</v>
      </c>
      <c r="O824" s="17">
        <v>2</v>
      </c>
      <c r="P824" s="17">
        <v>2</v>
      </c>
      <c r="Q824" s="17">
        <f t="shared" si="19"/>
        <v>0</v>
      </c>
      <c r="R824" s="285" t="s">
        <v>2278</v>
      </c>
      <c r="S824" s="15">
        <v>42003</v>
      </c>
      <c r="T824" s="285"/>
    </row>
    <row r="825" spans="1:20" ht="54" customHeight="1" x14ac:dyDescent="0.2">
      <c r="A825" s="21">
        <v>837</v>
      </c>
      <c r="B825" s="289" t="s">
        <v>4863</v>
      </c>
      <c r="C825" s="289"/>
      <c r="D825" s="9" t="s">
        <v>2069</v>
      </c>
      <c r="E825" s="12"/>
      <c r="F825" s="9" t="s">
        <v>2070</v>
      </c>
      <c r="G825" s="285" t="s">
        <v>4296</v>
      </c>
      <c r="H825" s="285" t="s">
        <v>3793</v>
      </c>
      <c r="I825" s="285"/>
      <c r="J825" s="285" t="s">
        <v>3136</v>
      </c>
      <c r="K825" s="14">
        <v>42003</v>
      </c>
      <c r="L825" s="289">
        <v>1239</v>
      </c>
      <c r="M825" s="15">
        <v>42003</v>
      </c>
      <c r="N825" s="16">
        <v>2</v>
      </c>
      <c r="O825" s="17">
        <v>2</v>
      </c>
      <c r="P825" s="17">
        <v>2</v>
      </c>
      <c r="Q825" s="17">
        <f t="shared" si="19"/>
        <v>0</v>
      </c>
      <c r="R825" s="285" t="s">
        <v>2278</v>
      </c>
      <c r="S825" s="15">
        <v>42003</v>
      </c>
      <c r="T825" s="285"/>
    </row>
    <row r="826" spans="1:20" ht="54" customHeight="1" x14ac:dyDescent="0.2">
      <c r="A826" s="21">
        <v>838</v>
      </c>
      <c r="B826" s="289" t="s">
        <v>4864</v>
      </c>
      <c r="C826" s="289"/>
      <c r="D826" s="9" t="s">
        <v>1790</v>
      </c>
      <c r="E826" s="12"/>
      <c r="F826" s="9" t="s">
        <v>2071</v>
      </c>
      <c r="G826" s="285" t="s">
        <v>4296</v>
      </c>
      <c r="H826" s="285" t="s">
        <v>3793</v>
      </c>
      <c r="I826" s="285"/>
      <c r="J826" s="285" t="s">
        <v>3136</v>
      </c>
      <c r="K826" s="14">
        <v>42003</v>
      </c>
      <c r="L826" s="289">
        <v>1239</v>
      </c>
      <c r="M826" s="15">
        <v>42003</v>
      </c>
      <c r="N826" s="16">
        <v>1</v>
      </c>
      <c r="O826" s="17">
        <v>1</v>
      </c>
      <c r="P826" s="17">
        <v>1</v>
      </c>
      <c r="Q826" s="17">
        <f t="shared" si="19"/>
        <v>0</v>
      </c>
      <c r="R826" s="285" t="s">
        <v>2278</v>
      </c>
      <c r="S826" s="15">
        <v>42003</v>
      </c>
      <c r="T826" s="285"/>
    </row>
    <row r="827" spans="1:20" ht="54" customHeight="1" x14ac:dyDescent="0.2">
      <c r="A827" s="21">
        <v>839</v>
      </c>
      <c r="B827" s="30" t="s">
        <v>2072</v>
      </c>
      <c r="C827" s="289"/>
      <c r="D827" s="46" t="s">
        <v>2629</v>
      </c>
      <c r="E827" s="42"/>
      <c r="F827" s="46" t="s">
        <v>2073</v>
      </c>
      <c r="G827" s="285" t="s">
        <v>4296</v>
      </c>
      <c r="H827" s="49" t="s">
        <v>3793</v>
      </c>
      <c r="I827" s="49"/>
      <c r="J827" s="49" t="s">
        <v>3136</v>
      </c>
      <c r="K827" s="53">
        <v>42003</v>
      </c>
      <c r="L827" s="30">
        <v>1239</v>
      </c>
      <c r="M827" s="51">
        <v>42003</v>
      </c>
      <c r="N827" s="120">
        <v>1</v>
      </c>
      <c r="O827" s="48">
        <v>1</v>
      </c>
      <c r="P827" s="48">
        <v>1</v>
      </c>
      <c r="Q827" s="17">
        <f t="shared" si="19"/>
        <v>0</v>
      </c>
      <c r="R827" s="285" t="s">
        <v>2278</v>
      </c>
      <c r="S827" s="15">
        <v>42003</v>
      </c>
      <c r="T827" s="285"/>
    </row>
    <row r="828" spans="1:20" ht="62.25" customHeight="1" x14ac:dyDescent="0.2">
      <c r="A828" s="21">
        <v>840</v>
      </c>
      <c r="B828" s="30" t="s">
        <v>5153</v>
      </c>
      <c r="C828" s="30"/>
      <c r="D828" s="46" t="s">
        <v>3735</v>
      </c>
      <c r="E828" s="42"/>
      <c r="F828" s="46" t="s">
        <v>5154</v>
      </c>
      <c r="G828" s="285" t="s">
        <v>4877</v>
      </c>
      <c r="H828" s="49" t="s">
        <v>3793</v>
      </c>
      <c r="I828" s="49"/>
      <c r="J828" s="49" t="s">
        <v>3136</v>
      </c>
      <c r="K828" s="15">
        <v>42018</v>
      </c>
      <c r="L828" s="289">
        <v>7</v>
      </c>
      <c r="M828" s="51">
        <v>41964</v>
      </c>
      <c r="N828" s="120">
        <v>1</v>
      </c>
      <c r="O828" s="48">
        <v>70000</v>
      </c>
      <c r="P828" s="48">
        <v>70000</v>
      </c>
      <c r="Q828" s="17">
        <f t="shared" si="19"/>
        <v>0</v>
      </c>
      <c r="R828" s="49" t="s">
        <v>3418</v>
      </c>
      <c r="S828" s="51">
        <v>41961</v>
      </c>
      <c r="T828" s="49" t="s">
        <v>1029</v>
      </c>
    </row>
    <row r="829" spans="1:20" ht="62.25" customHeight="1" x14ac:dyDescent="0.2">
      <c r="A829" s="21">
        <v>841</v>
      </c>
      <c r="B829" s="289" t="s">
        <v>3386</v>
      </c>
      <c r="C829" s="289"/>
      <c r="D829" s="9" t="s">
        <v>1264</v>
      </c>
      <c r="E829" s="12" t="s">
        <v>493</v>
      </c>
      <c r="F829" s="9" t="s">
        <v>1436</v>
      </c>
      <c r="G829" s="285" t="s">
        <v>792</v>
      </c>
      <c r="H829" s="49" t="s">
        <v>5127</v>
      </c>
      <c r="I829" s="49"/>
      <c r="J829" s="49" t="s">
        <v>3136</v>
      </c>
      <c r="K829" s="15">
        <v>42020</v>
      </c>
      <c r="L829" s="289">
        <v>24</v>
      </c>
      <c r="M829" s="15">
        <v>41920</v>
      </c>
      <c r="N829" s="16">
        <v>1</v>
      </c>
      <c r="O829" s="17">
        <v>68382</v>
      </c>
      <c r="P829" s="17">
        <v>68382</v>
      </c>
      <c r="Q829" s="17">
        <f t="shared" si="19"/>
        <v>0</v>
      </c>
      <c r="R829" s="285" t="s">
        <v>2463</v>
      </c>
      <c r="S829" s="15">
        <v>41913</v>
      </c>
      <c r="T829" s="285">
        <v>2120140013</v>
      </c>
    </row>
    <row r="830" spans="1:20" ht="60.75" customHeight="1" x14ac:dyDescent="0.2">
      <c r="A830" s="21">
        <v>842</v>
      </c>
      <c r="B830" s="30" t="s">
        <v>3231</v>
      </c>
      <c r="C830" s="30"/>
      <c r="D830" s="46" t="s">
        <v>3894</v>
      </c>
      <c r="E830" s="42" t="s">
        <v>1374</v>
      </c>
      <c r="F830" s="9" t="s">
        <v>3233</v>
      </c>
      <c r="G830" s="285" t="s">
        <v>7982</v>
      </c>
      <c r="H830" s="49" t="s">
        <v>5127</v>
      </c>
      <c r="I830" s="49"/>
      <c r="J830" s="49" t="s">
        <v>3136</v>
      </c>
      <c r="K830" s="15">
        <v>42018</v>
      </c>
      <c r="L830" s="289">
        <v>5</v>
      </c>
      <c r="M830" s="15">
        <v>41979</v>
      </c>
      <c r="N830" s="120">
        <v>1</v>
      </c>
      <c r="O830" s="48">
        <v>4271</v>
      </c>
      <c r="P830" s="48">
        <v>4271</v>
      </c>
      <c r="Q830" s="17">
        <f t="shared" si="19"/>
        <v>0</v>
      </c>
      <c r="R830" s="49" t="s">
        <v>2627</v>
      </c>
      <c r="S830" s="51">
        <v>41979</v>
      </c>
      <c r="T830" s="49" t="s">
        <v>3232</v>
      </c>
    </row>
    <row r="831" spans="1:20" ht="60.75" customHeight="1" x14ac:dyDescent="0.2">
      <c r="A831" s="21">
        <v>843</v>
      </c>
      <c r="B831" s="289" t="s">
        <v>2326</v>
      </c>
      <c r="C831" s="289"/>
      <c r="D831" s="9" t="s">
        <v>2879</v>
      </c>
      <c r="E831" s="12" t="s">
        <v>1374</v>
      </c>
      <c r="F831" s="9" t="s">
        <v>2880</v>
      </c>
      <c r="G831" s="285" t="s">
        <v>7983</v>
      </c>
      <c r="H831" s="49" t="s">
        <v>5127</v>
      </c>
      <c r="I831" s="49"/>
      <c r="J831" s="49" t="s">
        <v>3136</v>
      </c>
      <c r="K831" s="15">
        <v>42018</v>
      </c>
      <c r="L831" s="289">
        <v>9</v>
      </c>
      <c r="M831" s="15">
        <v>41985</v>
      </c>
      <c r="N831" s="16">
        <v>1</v>
      </c>
      <c r="O831" s="17">
        <v>28420</v>
      </c>
      <c r="P831" s="17">
        <v>28420</v>
      </c>
      <c r="Q831" s="17">
        <f t="shared" si="19"/>
        <v>0</v>
      </c>
      <c r="R831" s="285" t="s">
        <v>2881</v>
      </c>
      <c r="S831" s="15">
        <v>41985</v>
      </c>
      <c r="T831" s="22" t="s">
        <v>2882</v>
      </c>
    </row>
    <row r="832" spans="1:20" ht="74.25" customHeight="1" x14ac:dyDescent="0.2">
      <c r="A832" s="21">
        <v>844</v>
      </c>
      <c r="B832" s="289" t="s">
        <v>2438</v>
      </c>
      <c r="C832" s="289"/>
      <c r="D832" s="9" t="s">
        <v>2441</v>
      </c>
      <c r="E832" s="12" t="s">
        <v>1374</v>
      </c>
      <c r="F832" s="9" t="s">
        <v>2824</v>
      </c>
      <c r="G832" s="285" t="s">
        <v>7982</v>
      </c>
      <c r="H832" s="285" t="s">
        <v>5127</v>
      </c>
      <c r="I832" s="285"/>
      <c r="J832" s="285" t="s">
        <v>3136</v>
      </c>
      <c r="K832" s="15">
        <v>42019</v>
      </c>
      <c r="L832" s="289">
        <v>14</v>
      </c>
      <c r="M832" s="15">
        <v>41960</v>
      </c>
      <c r="N832" s="16">
        <v>2</v>
      </c>
      <c r="O832" s="17">
        <v>15380</v>
      </c>
      <c r="P832" s="17">
        <v>15380</v>
      </c>
      <c r="Q832" s="17">
        <f t="shared" si="19"/>
        <v>0</v>
      </c>
      <c r="R832" s="285" t="s">
        <v>2442</v>
      </c>
      <c r="S832" s="15">
        <v>41960</v>
      </c>
      <c r="T832" s="22" t="s">
        <v>2443</v>
      </c>
    </row>
    <row r="833" spans="1:20" ht="74.25" customHeight="1" x14ac:dyDescent="0.2">
      <c r="A833" s="21">
        <v>845</v>
      </c>
      <c r="B833" s="289" t="s">
        <v>2439</v>
      </c>
      <c r="C833" s="289"/>
      <c r="D833" s="9" t="s">
        <v>3894</v>
      </c>
      <c r="E833" s="12" t="s">
        <v>1374</v>
      </c>
      <c r="F833" s="9" t="s">
        <v>2341</v>
      </c>
      <c r="G833" s="285" t="s">
        <v>7982</v>
      </c>
      <c r="H833" s="285" t="s">
        <v>5127</v>
      </c>
      <c r="I833" s="285"/>
      <c r="J833" s="285" t="s">
        <v>3136</v>
      </c>
      <c r="K833" s="15">
        <v>42019</v>
      </c>
      <c r="L833" s="289">
        <v>14</v>
      </c>
      <c r="M833" s="15">
        <v>41960</v>
      </c>
      <c r="N833" s="16">
        <v>1</v>
      </c>
      <c r="O833" s="17">
        <v>4012</v>
      </c>
      <c r="P833" s="17">
        <v>4012</v>
      </c>
      <c r="Q833" s="17">
        <f t="shared" si="19"/>
        <v>0</v>
      </c>
      <c r="R833" s="285" t="s">
        <v>2442</v>
      </c>
      <c r="S833" s="15">
        <v>41960</v>
      </c>
      <c r="T833" s="22" t="s">
        <v>2443</v>
      </c>
    </row>
    <row r="834" spans="1:20" ht="78.75" customHeight="1" x14ac:dyDescent="0.2">
      <c r="A834" s="21">
        <v>846</v>
      </c>
      <c r="B834" s="289" t="s">
        <v>2440</v>
      </c>
      <c r="C834" s="289"/>
      <c r="D834" s="9" t="s">
        <v>1616</v>
      </c>
      <c r="E834" s="12" t="s">
        <v>5410</v>
      </c>
      <c r="F834" s="9" t="s">
        <v>1615</v>
      </c>
      <c r="G834" s="285" t="s">
        <v>4877</v>
      </c>
      <c r="H834" s="285" t="s">
        <v>3793</v>
      </c>
      <c r="I834" s="285"/>
      <c r="J834" s="285" t="s">
        <v>3136</v>
      </c>
      <c r="K834" s="15">
        <v>42019</v>
      </c>
      <c r="L834" s="289">
        <v>16</v>
      </c>
      <c r="M834" s="15">
        <v>41866</v>
      </c>
      <c r="N834" s="16">
        <v>1</v>
      </c>
      <c r="O834" s="17">
        <v>6270</v>
      </c>
      <c r="P834" s="17">
        <v>6270</v>
      </c>
      <c r="Q834" s="17">
        <f t="shared" si="19"/>
        <v>0</v>
      </c>
      <c r="R834" s="285" t="s">
        <v>5071</v>
      </c>
      <c r="S834" s="15">
        <v>41866</v>
      </c>
      <c r="T834" s="22" t="s">
        <v>5409</v>
      </c>
    </row>
    <row r="835" spans="1:20" ht="78.75" customHeight="1" x14ac:dyDescent="0.2">
      <c r="A835" s="21">
        <v>847</v>
      </c>
      <c r="B835" s="289" t="s">
        <v>2663</v>
      </c>
      <c r="C835" s="289"/>
      <c r="D835" s="9" t="s">
        <v>5948</v>
      </c>
      <c r="E835" s="12" t="s">
        <v>5411</v>
      </c>
      <c r="F835" s="9" t="s">
        <v>5949</v>
      </c>
      <c r="G835" s="285" t="s">
        <v>4877</v>
      </c>
      <c r="H835" s="285" t="s">
        <v>3793</v>
      </c>
      <c r="I835" s="285"/>
      <c r="J835" s="285" t="s">
        <v>3136</v>
      </c>
      <c r="K835" s="15">
        <v>42019</v>
      </c>
      <c r="L835" s="289">
        <v>16</v>
      </c>
      <c r="M835" s="15">
        <v>41877</v>
      </c>
      <c r="N835" s="16">
        <v>1</v>
      </c>
      <c r="O835" s="17">
        <v>4950</v>
      </c>
      <c r="P835" s="17">
        <v>4950</v>
      </c>
      <c r="Q835" s="17">
        <f t="shared" si="19"/>
        <v>0</v>
      </c>
      <c r="R835" s="285" t="s">
        <v>4385</v>
      </c>
      <c r="S835" s="15">
        <v>41877</v>
      </c>
      <c r="T835" s="22" t="s">
        <v>5407</v>
      </c>
    </row>
    <row r="836" spans="1:20" ht="28.5" customHeight="1" x14ac:dyDescent="0.2">
      <c r="A836" s="21">
        <v>848</v>
      </c>
      <c r="B836" s="289" t="s">
        <v>5702</v>
      </c>
      <c r="C836" s="289"/>
      <c r="D836" s="9" t="s">
        <v>5703</v>
      </c>
      <c r="E836" s="12"/>
      <c r="F836" s="9" t="s">
        <v>6859</v>
      </c>
      <c r="G836" s="285" t="s">
        <v>7917</v>
      </c>
      <c r="H836" s="285" t="s">
        <v>5127</v>
      </c>
      <c r="I836" s="285"/>
      <c r="J836" s="285" t="s">
        <v>3136</v>
      </c>
      <c r="K836" s="15">
        <v>42020</v>
      </c>
      <c r="L836" s="289">
        <v>25</v>
      </c>
      <c r="M836" s="15">
        <v>39813</v>
      </c>
      <c r="N836" s="16">
        <v>1</v>
      </c>
      <c r="O836" s="17">
        <v>7392</v>
      </c>
      <c r="P836" s="17">
        <v>7392</v>
      </c>
      <c r="Q836" s="17">
        <f t="shared" si="19"/>
        <v>0</v>
      </c>
      <c r="R836" s="285"/>
      <c r="S836" s="15"/>
      <c r="T836" s="22"/>
    </row>
    <row r="837" spans="1:20" ht="28.5" customHeight="1" x14ac:dyDescent="0.2">
      <c r="A837" s="21">
        <v>849</v>
      </c>
      <c r="B837" s="289" t="s">
        <v>5704</v>
      </c>
      <c r="C837" s="289"/>
      <c r="D837" s="9" t="s">
        <v>1174</v>
      </c>
      <c r="E837" s="12"/>
      <c r="F837" s="9" t="s">
        <v>6860</v>
      </c>
      <c r="G837" s="285" t="s">
        <v>7917</v>
      </c>
      <c r="H837" s="285" t="s">
        <v>5127</v>
      </c>
      <c r="I837" s="285"/>
      <c r="J837" s="285" t="s">
        <v>3136</v>
      </c>
      <c r="K837" s="15">
        <v>42020</v>
      </c>
      <c r="L837" s="289">
        <v>25</v>
      </c>
      <c r="M837" s="15">
        <v>39813</v>
      </c>
      <c r="N837" s="16">
        <v>1</v>
      </c>
      <c r="O837" s="17">
        <v>5436</v>
      </c>
      <c r="P837" s="17">
        <v>5436</v>
      </c>
      <c r="Q837" s="17">
        <f t="shared" si="19"/>
        <v>0</v>
      </c>
      <c r="R837" s="285"/>
      <c r="S837" s="15"/>
      <c r="T837" s="22"/>
    </row>
    <row r="838" spans="1:20" ht="28.5" customHeight="1" x14ac:dyDescent="0.2">
      <c r="A838" s="21">
        <v>850</v>
      </c>
      <c r="B838" s="289" t="s">
        <v>5705</v>
      </c>
      <c r="C838" s="289"/>
      <c r="D838" s="9" t="s">
        <v>5706</v>
      </c>
      <c r="E838" s="12"/>
      <c r="F838" s="9" t="s">
        <v>3866</v>
      </c>
      <c r="G838" s="285" t="s">
        <v>7917</v>
      </c>
      <c r="H838" s="285" t="s">
        <v>5127</v>
      </c>
      <c r="I838" s="285"/>
      <c r="J838" s="285" t="s">
        <v>3136</v>
      </c>
      <c r="K838" s="15">
        <v>42020</v>
      </c>
      <c r="L838" s="289">
        <v>25</v>
      </c>
      <c r="M838" s="15">
        <v>40543</v>
      </c>
      <c r="N838" s="16">
        <v>1</v>
      </c>
      <c r="O838" s="17">
        <v>3550</v>
      </c>
      <c r="P838" s="17">
        <v>3550</v>
      </c>
      <c r="Q838" s="17">
        <f t="shared" si="19"/>
        <v>0</v>
      </c>
      <c r="R838" s="285"/>
      <c r="S838" s="15"/>
      <c r="T838" s="22"/>
    </row>
    <row r="839" spans="1:20" ht="32.25" customHeight="1" x14ac:dyDescent="0.2">
      <c r="A839" s="21">
        <v>851</v>
      </c>
      <c r="B839" s="289" t="s">
        <v>5707</v>
      </c>
      <c r="C839" s="289"/>
      <c r="D839" s="9" t="s">
        <v>5706</v>
      </c>
      <c r="E839" s="12"/>
      <c r="F839" s="9" t="s">
        <v>6861</v>
      </c>
      <c r="G839" s="285" t="s">
        <v>7917</v>
      </c>
      <c r="H839" s="285" t="s">
        <v>5127</v>
      </c>
      <c r="I839" s="285"/>
      <c r="J839" s="285" t="s">
        <v>3136</v>
      </c>
      <c r="K839" s="15">
        <v>42020</v>
      </c>
      <c r="L839" s="289">
        <v>25</v>
      </c>
      <c r="M839" s="15">
        <v>39660</v>
      </c>
      <c r="N839" s="16">
        <v>1</v>
      </c>
      <c r="O839" s="17">
        <v>4500</v>
      </c>
      <c r="P839" s="17">
        <v>4500</v>
      </c>
      <c r="Q839" s="17">
        <f t="shared" si="19"/>
        <v>0</v>
      </c>
      <c r="R839" s="285"/>
      <c r="S839" s="15"/>
      <c r="T839" s="22"/>
    </row>
    <row r="840" spans="1:20" ht="117" customHeight="1" x14ac:dyDescent="0.2">
      <c r="A840" s="21">
        <v>852</v>
      </c>
      <c r="B840" s="289" t="s">
        <v>4377</v>
      </c>
      <c r="C840" s="289"/>
      <c r="D840" s="9" t="s">
        <v>5775</v>
      </c>
      <c r="E840" s="12" t="s">
        <v>1374</v>
      </c>
      <c r="F840" s="9" t="s">
        <v>6862</v>
      </c>
      <c r="G840" s="285" t="s">
        <v>7917</v>
      </c>
      <c r="H840" s="285" t="s">
        <v>5127</v>
      </c>
      <c r="I840" s="285"/>
      <c r="J840" s="285" t="s">
        <v>3136</v>
      </c>
      <c r="K840" s="15">
        <v>42025</v>
      </c>
      <c r="L840" s="289">
        <v>39</v>
      </c>
      <c r="M840" s="15">
        <v>41988</v>
      </c>
      <c r="N840" s="16">
        <v>5</v>
      </c>
      <c r="O840" s="17">
        <v>102750</v>
      </c>
      <c r="P840" s="17">
        <v>102750</v>
      </c>
      <c r="Q840" s="17">
        <f t="shared" si="19"/>
        <v>0</v>
      </c>
      <c r="R840" s="285" t="s">
        <v>574</v>
      </c>
      <c r="S840" s="15">
        <v>41978</v>
      </c>
      <c r="T840" s="22" t="s">
        <v>4378</v>
      </c>
    </row>
    <row r="841" spans="1:20" ht="372.75" customHeight="1" x14ac:dyDescent="0.2">
      <c r="A841" s="21">
        <v>853</v>
      </c>
      <c r="B841" s="289" t="s">
        <v>2943</v>
      </c>
      <c r="C841" s="289"/>
      <c r="D841" s="9" t="s">
        <v>313</v>
      </c>
      <c r="E841" s="12" t="s">
        <v>1374</v>
      </c>
      <c r="F841" s="9" t="s">
        <v>3148</v>
      </c>
      <c r="G841" s="285" t="s">
        <v>515</v>
      </c>
      <c r="H841" s="285" t="s">
        <v>5127</v>
      </c>
      <c r="I841" s="285"/>
      <c r="J841" s="285" t="s">
        <v>3136</v>
      </c>
      <c r="K841" s="15">
        <v>42030</v>
      </c>
      <c r="L841" s="289">
        <v>51</v>
      </c>
      <c r="M841" s="15">
        <v>41983</v>
      </c>
      <c r="N841" s="16">
        <v>2</v>
      </c>
      <c r="O841" s="17">
        <v>42892</v>
      </c>
      <c r="P841" s="17">
        <v>42892</v>
      </c>
      <c r="Q841" s="17">
        <f t="shared" si="19"/>
        <v>0</v>
      </c>
      <c r="R841" s="285" t="s">
        <v>3348</v>
      </c>
      <c r="S841" s="15">
        <v>41981</v>
      </c>
      <c r="T841" s="22" t="s">
        <v>4078</v>
      </c>
    </row>
    <row r="842" spans="1:20" ht="99" customHeight="1" x14ac:dyDescent="0.2">
      <c r="A842" s="21">
        <v>854</v>
      </c>
      <c r="B842" s="289" t="s">
        <v>3347</v>
      </c>
      <c r="C842" s="289"/>
      <c r="D842" s="9" t="s">
        <v>2107</v>
      </c>
      <c r="E842" s="12" t="s">
        <v>1374</v>
      </c>
      <c r="F842" s="9" t="s">
        <v>2108</v>
      </c>
      <c r="G842" s="285" t="s">
        <v>7934</v>
      </c>
      <c r="H842" s="285" t="s">
        <v>5127</v>
      </c>
      <c r="I842" s="285"/>
      <c r="J842" s="285" t="s">
        <v>3136</v>
      </c>
      <c r="K842" s="15">
        <v>42031</v>
      </c>
      <c r="L842" s="289">
        <v>108</v>
      </c>
      <c r="M842" s="15">
        <v>41989</v>
      </c>
      <c r="N842" s="16">
        <v>1</v>
      </c>
      <c r="O842" s="17">
        <v>20250</v>
      </c>
      <c r="P842" s="17">
        <v>20250</v>
      </c>
      <c r="Q842" s="17">
        <f t="shared" si="19"/>
        <v>0</v>
      </c>
      <c r="R842" s="285" t="s">
        <v>2106</v>
      </c>
      <c r="S842" s="15">
        <v>41989</v>
      </c>
      <c r="T842" s="285">
        <v>2920140042</v>
      </c>
    </row>
    <row r="843" spans="1:20" ht="68.25" customHeight="1" x14ac:dyDescent="0.2">
      <c r="A843" s="21">
        <v>855</v>
      </c>
      <c r="B843" s="289" t="s">
        <v>5172</v>
      </c>
      <c r="C843" s="289"/>
      <c r="D843" s="9" t="s">
        <v>5173</v>
      </c>
      <c r="E843" s="12" t="s">
        <v>1374</v>
      </c>
      <c r="F843" s="9" t="s">
        <v>3645</v>
      </c>
      <c r="G843" s="285" t="s">
        <v>7983</v>
      </c>
      <c r="H843" s="285" t="s">
        <v>5127</v>
      </c>
      <c r="I843" s="285"/>
      <c r="J843" s="285" t="s">
        <v>3136</v>
      </c>
      <c r="K843" s="15">
        <v>42030</v>
      </c>
      <c r="L843" s="289">
        <v>48</v>
      </c>
      <c r="M843" s="15">
        <v>41989</v>
      </c>
      <c r="N843" s="16">
        <v>1</v>
      </c>
      <c r="O843" s="17">
        <v>13730</v>
      </c>
      <c r="P843" s="17">
        <v>13730</v>
      </c>
      <c r="Q843" s="17">
        <f t="shared" si="19"/>
        <v>0</v>
      </c>
      <c r="R843" s="285" t="s">
        <v>2881</v>
      </c>
      <c r="S843" s="15">
        <v>41985</v>
      </c>
      <c r="T843" s="22" t="s">
        <v>2882</v>
      </c>
    </row>
    <row r="844" spans="1:20" ht="54.75" customHeight="1" x14ac:dyDescent="0.2">
      <c r="A844" s="21">
        <v>856</v>
      </c>
      <c r="B844" s="289" t="s">
        <v>2509</v>
      </c>
      <c r="C844" s="289"/>
      <c r="D844" s="9" t="s">
        <v>1789</v>
      </c>
      <c r="E844" s="12">
        <v>2014</v>
      </c>
      <c r="F844" s="9" t="s">
        <v>5521</v>
      </c>
      <c r="G844" s="285" t="s">
        <v>8293</v>
      </c>
      <c r="H844" s="285" t="s">
        <v>5127</v>
      </c>
      <c r="I844" s="285"/>
      <c r="J844" s="285" t="s">
        <v>3136</v>
      </c>
      <c r="K844" s="15">
        <v>42033</v>
      </c>
      <c r="L844" s="289">
        <v>133</v>
      </c>
      <c r="M844" s="15">
        <v>41989</v>
      </c>
      <c r="N844" s="16">
        <v>1</v>
      </c>
      <c r="O844" s="17">
        <v>4650</v>
      </c>
      <c r="P844" s="17">
        <v>4650</v>
      </c>
      <c r="Q844" s="17">
        <f t="shared" si="19"/>
        <v>0</v>
      </c>
      <c r="R844" s="285" t="s">
        <v>4701</v>
      </c>
      <c r="S844" s="15">
        <v>41984</v>
      </c>
      <c r="T844" s="22" t="s">
        <v>5522</v>
      </c>
    </row>
    <row r="845" spans="1:20" ht="54.75" customHeight="1" x14ac:dyDescent="0.2">
      <c r="A845" s="21">
        <v>857</v>
      </c>
      <c r="B845" s="289" t="s">
        <v>3882</v>
      </c>
      <c r="C845" s="289"/>
      <c r="D845" s="9" t="s">
        <v>2111</v>
      </c>
      <c r="E845" s="12" t="s">
        <v>1374</v>
      </c>
      <c r="F845" s="9" t="s">
        <v>2112</v>
      </c>
      <c r="G845" s="285" t="s">
        <v>7981</v>
      </c>
      <c r="H845" s="285" t="s">
        <v>5127</v>
      </c>
      <c r="I845" s="285"/>
      <c r="J845" s="285" t="s">
        <v>3136</v>
      </c>
      <c r="K845" s="15">
        <v>42033</v>
      </c>
      <c r="L845" s="289">
        <v>124</v>
      </c>
      <c r="M845" s="15">
        <v>41991</v>
      </c>
      <c r="N845" s="16">
        <v>1</v>
      </c>
      <c r="O845" s="17">
        <v>1925.84</v>
      </c>
      <c r="P845" s="17">
        <v>1925.84</v>
      </c>
      <c r="Q845" s="17">
        <f t="shared" si="19"/>
        <v>0</v>
      </c>
      <c r="R845" s="285" t="s">
        <v>5303</v>
      </c>
      <c r="S845" s="14" t="s">
        <v>2861</v>
      </c>
      <c r="T845" s="22" t="s">
        <v>3087</v>
      </c>
    </row>
    <row r="846" spans="1:20" ht="57" customHeight="1" x14ac:dyDescent="0.2">
      <c r="A846" s="21">
        <v>858</v>
      </c>
      <c r="B846" s="289" t="s">
        <v>100</v>
      </c>
      <c r="C846" s="289"/>
      <c r="D846" s="9" t="s">
        <v>2111</v>
      </c>
      <c r="E846" s="12" t="s">
        <v>1374</v>
      </c>
      <c r="F846" s="9" t="s">
        <v>2112</v>
      </c>
      <c r="G846" s="285" t="s">
        <v>7982</v>
      </c>
      <c r="H846" s="285" t="s">
        <v>5127</v>
      </c>
      <c r="I846" s="285"/>
      <c r="J846" s="285" t="s">
        <v>3136</v>
      </c>
      <c r="K846" s="15">
        <v>42033</v>
      </c>
      <c r="L846" s="289">
        <v>124</v>
      </c>
      <c r="M846" s="15">
        <v>41991</v>
      </c>
      <c r="N846" s="16">
        <v>1</v>
      </c>
      <c r="O846" s="17">
        <v>1925.84</v>
      </c>
      <c r="P846" s="17">
        <v>1925.84</v>
      </c>
      <c r="Q846" s="17">
        <f t="shared" si="19"/>
        <v>0</v>
      </c>
      <c r="R846" s="285" t="s">
        <v>5303</v>
      </c>
      <c r="S846" s="14" t="s">
        <v>2861</v>
      </c>
      <c r="T846" s="22" t="s">
        <v>3087</v>
      </c>
    </row>
    <row r="847" spans="1:20" ht="57" customHeight="1" x14ac:dyDescent="0.2">
      <c r="A847" s="21">
        <v>859</v>
      </c>
      <c r="B847" s="289" t="s">
        <v>324</v>
      </c>
      <c r="C847" s="289"/>
      <c r="D847" s="9" t="s">
        <v>328</v>
      </c>
      <c r="E847" s="12" t="s">
        <v>1374</v>
      </c>
      <c r="F847" s="9" t="s">
        <v>329</v>
      </c>
      <c r="G847" s="285" t="s">
        <v>7981</v>
      </c>
      <c r="H847" s="285" t="s">
        <v>5127</v>
      </c>
      <c r="I847" s="285"/>
      <c r="J847" s="285" t="s">
        <v>3136</v>
      </c>
      <c r="K847" s="15">
        <v>42033</v>
      </c>
      <c r="L847" s="289">
        <v>124</v>
      </c>
      <c r="M847" s="15">
        <v>41991</v>
      </c>
      <c r="N847" s="16">
        <v>1</v>
      </c>
      <c r="O847" s="17">
        <v>1925.84</v>
      </c>
      <c r="P847" s="17">
        <v>1925.84</v>
      </c>
      <c r="Q847" s="17">
        <f t="shared" si="19"/>
        <v>0</v>
      </c>
      <c r="R847" s="285" t="s">
        <v>5303</v>
      </c>
      <c r="S847" s="14" t="s">
        <v>2861</v>
      </c>
      <c r="T847" s="22" t="s">
        <v>3087</v>
      </c>
    </row>
    <row r="848" spans="1:20" ht="57" customHeight="1" x14ac:dyDescent="0.2">
      <c r="A848" s="21">
        <v>860</v>
      </c>
      <c r="B848" s="289" t="s">
        <v>325</v>
      </c>
      <c r="C848" s="289"/>
      <c r="D848" s="9" t="s">
        <v>328</v>
      </c>
      <c r="E848" s="12" t="s">
        <v>1374</v>
      </c>
      <c r="F848" s="9" t="s">
        <v>329</v>
      </c>
      <c r="G848" s="285" t="s">
        <v>7982</v>
      </c>
      <c r="H848" s="285" t="s">
        <v>5127</v>
      </c>
      <c r="I848" s="285"/>
      <c r="J848" s="285" t="s">
        <v>3136</v>
      </c>
      <c r="K848" s="15">
        <v>42033</v>
      </c>
      <c r="L848" s="289">
        <v>124</v>
      </c>
      <c r="M848" s="15">
        <v>41991</v>
      </c>
      <c r="N848" s="16">
        <v>1</v>
      </c>
      <c r="O848" s="17">
        <v>1925.84</v>
      </c>
      <c r="P848" s="17">
        <v>1925.84</v>
      </c>
      <c r="Q848" s="17">
        <f t="shared" si="19"/>
        <v>0</v>
      </c>
      <c r="R848" s="285" t="s">
        <v>5303</v>
      </c>
      <c r="S848" s="14" t="s">
        <v>2861</v>
      </c>
      <c r="T848" s="22" t="s">
        <v>3087</v>
      </c>
    </row>
    <row r="849" spans="1:20" ht="75.75" customHeight="1" x14ac:dyDescent="0.2">
      <c r="A849" s="21">
        <v>861</v>
      </c>
      <c r="B849" s="289" t="s">
        <v>326</v>
      </c>
      <c r="C849" s="289"/>
      <c r="D849" s="9" t="s">
        <v>4930</v>
      </c>
      <c r="E849" s="12" t="s">
        <v>1374</v>
      </c>
      <c r="F849" s="9" t="s">
        <v>330</v>
      </c>
      <c r="G849" s="285" t="s">
        <v>7981</v>
      </c>
      <c r="H849" s="285" t="s">
        <v>5127</v>
      </c>
      <c r="I849" s="285"/>
      <c r="J849" s="285" t="s">
        <v>3136</v>
      </c>
      <c r="K849" s="15">
        <v>42033</v>
      </c>
      <c r="L849" s="289">
        <v>124</v>
      </c>
      <c r="M849" s="15">
        <v>41991</v>
      </c>
      <c r="N849" s="16">
        <v>1</v>
      </c>
      <c r="O849" s="17">
        <v>1925.84</v>
      </c>
      <c r="P849" s="17">
        <v>1925.84</v>
      </c>
      <c r="Q849" s="17">
        <f t="shared" si="19"/>
        <v>0</v>
      </c>
      <c r="R849" s="285" t="s">
        <v>5303</v>
      </c>
      <c r="S849" s="14" t="s">
        <v>2861</v>
      </c>
      <c r="T849" s="22" t="s">
        <v>3087</v>
      </c>
    </row>
    <row r="850" spans="1:20" ht="75.75" customHeight="1" x14ac:dyDescent="0.2">
      <c r="A850" s="21">
        <v>862</v>
      </c>
      <c r="B850" s="289" t="s">
        <v>327</v>
      </c>
      <c r="C850" s="289"/>
      <c r="D850" s="9" t="s">
        <v>4930</v>
      </c>
      <c r="E850" s="12" t="s">
        <v>1374</v>
      </c>
      <c r="F850" s="9" t="s">
        <v>330</v>
      </c>
      <c r="G850" s="285" t="s">
        <v>7982</v>
      </c>
      <c r="H850" s="285" t="s">
        <v>5127</v>
      </c>
      <c r="I850" s="285"/>
      <c r="J850" s="285" t="s">
        <v>3136</v>
      </c>
      <c r="K850" s="15">
        <v>42033</v>
      </c>
      <c r="L850" s="289">
        <v>124</v>
      </c>
      <c r="M850" s="15">
        <v>41991</v>
      </c>
      <c r="N850" s="16">
        <v>1</v>
      </c>
      <c r="O850" s="17">
        <v>1925.84</v>
      </c>
      <c r="P850" s="17">
        <v>1925.84</v>
      </c>
      <c r="Q850" s="17">
        <f t="shared" si="19"/>
        <v>0</v>
      </c>
      <c r="R850" s="285" t="s">
        <v>5303</v>
      </c>
      <c r="S850" s="14" t="s">
        <v>2861</v>
      </c>
      <c r="T850" s="22" t="s">
        <v>3087</v>
      </c>
    </row>
    <row r="851" spans="1:20" ht="75.75" customHeight="1" x14ac:dyDescent="0.2">
      <c r="A851" s="21">
        <v>863</v>
      </c>
      <c r="B851" s="289" t="s">
        <v>6162</v>
      </c>
      <c r="C851" s="289"/>
      <c r="D851" s="9" t="s">
        <v>2471</v>
      </c>
      <c r="E851" s="12" t="s">
        <v>1374</v>
      </c>
      <c r="F851" s="9" t="s">
        <v>331</v>
      </c>
      <c r="G851" s="285" t="s">
        <v>7981</v>
      </c>
      <c r="H851" s="285" t="s">
        <v>5127</v>
      </c>
      <c r="I851" s="285"/>
      <c r="J851" s="285" t="s">
        <v>3136</v>
      </c>
      <c r="K851" s="15">
        <v>42033</v>
      </c>
      <c r="L851" s="289">
        <v>124</v>
      </c>
      <c r="M851" s="15">
        <v>41991</v>
      </c>
      <c r="N851" s="16">
        <v>1</v>
      </c>
      <c r="O851" s="17">
        <v>1925.84</v>
      </c>
      <c r="P851" s="17">
        <v>1925.84</v>
      </c>
      <c r="Q851" s="17">
        <f t="shared" si="19"/>
        <v>0</v>
      </c>
      <c r="R851" s="285" t="s">
        <v>5303</v>
      </c>
      <c r="S851" s="14" t="s">
        <v>2861</v>
      </c>
      <c r="T851" s="22" t="s">
        <v>3087</v>
      </c>
    </row>
    <row r="852" spans="1:20" ht="63.75" customHeight="1" x14ac:dyDescent="0.2">
      <c r="A852" s="21">
        <v>864</v>
      </c>
      <c r="B852" s="289" t="s">
        <v>2738</v>
      </c>
      <c r="C852" s="289"/>
      <c r="D852" s="9" t="s">
        <v>2471</v>
      </c>
      <c r="E852" s="12" t="s">
        <v>1374</v>
      </c>
      <c r="F852" s="9" t="s">
        <v>331</v>
      </c>
      <c r="G852" s="285" t="s">
        <v>7982</v>
      </c>
      <c r="H852" s="285" t="s">
        <v>5127</v>
      </c>
      <c r="I852" s="285"/>
      <c r="J852" s="285" t="s">
        <v>3136</v>
      </c>
      <c r="K852" s="15">
        <v>42033</v>
      </c>
      <c r="L852" s="289">
        <v>124</v>
      </c>
      <c r="M852" s="15">
        <v>41991</v>
      </c>
      <c r="N852" s="16">
        <v>1</v>
      </c>
      <c r="O852" s="17">
        <v>1925.84</v>
      </c>
      <c r="P852" s="17">
        <v>1925.84</v>
      </c>
      <c r="Q852" s="17">
        <f t="shared" si="19"/>
        <v>0</v>
      </c>
      <c r="R852" s="285" t="s">
        <v>5303</v>
      </c>
      <c r="S852" s="14" t="s">
        <v>2861</v>
      </c>
      <c r="T852" s="22" t="s">
        <v>3087</v>
      </c>
    </row>
    <row r="853" spans="1:20" ht="63.75" customHeight="1" x14ac:dyDescent="0.2">
      <c r="A853" s="21">
        <v>865</v>
      </c>
      <c r="B853" s="289" t="s">
        <v>2739</v>
      </c>
      <c r="C853" s="289"/>
      <c r="D853" s="9" t="s">
        <v>2216</v>
      </c>
      <c r="E853" s="12" t="s">
        <v>1374</v>
      </c>
      <c r="F853" s="9" t="s">
        <v>6959</v>
      </c>
      <c r="G853" s="285" t="s">
        <v>7981</v>
      </c>
      <c r="H853" s="285" t="s">
        <v>5127</v>
      </c>
      <c r="I853" s="285"/>
      <c r="J853" s="285" t="s">
        <v>3136</v>
      </c>
      <c r="K853" s="15">
        <v>42033</v>
      </c>
      <c r="L853" s="289">
        <v>124</v>
      </c>
      <c r="M853" s="15">
        <v>41991</v>
      </c>
      <c r="N853" s="16">
        <v>1</v>
      </c>
      <c r="O853" s="17">
        <v>14232.94</v>
      </c>
      <c r="P853" s="17">
        <v>14232.94</v>
      </c>
      <c r="Q853" s="17">
        <f t="shared" si="19"/>
        <v>0</v>
      </c>
      <c r="R853" s="285" t="s">
        <v>5303</v>
      </c>
      <c r="S853" s="14" t="s">
        <v>2861</v>
      </c>
      <c r="T853" s="22" t="s">
        <v>3087</v>
      </c>
    </row>
    <row r="854" spans="1:20" ht="63.75" customHeight="1" x14ac:dyDescent="0.2">
      <c r="A854" s="21">
        <v>866</v>
      </c>
      <c r="B854" s="289" t="s">
        <v>1276</v>
      </c>
      <c r="C854" s="289"/>
      <c r="D854" s="9" t="s">
        <v>2216</v>
      </c>
      <c r="E854" s="12" t="s">
        <v>1374</v>
      </c>
      <c r="F854" s="9" t="s">
        <v>6959</v>
      </c>
      <c r="G854" s="285" t="s">
        <v>7982</v>
      </c>
      <c r="H854" s="285" t="s">
        <v>5127</v>
      </c>
      <c r="I854" s="285"/>
      <c r="J854" s="285" t="s">
        <v>3136</v>
      </c>
      <c r="K854" s="15">
        <v>42033</v>
      </c>
      <c r="L854" s="289">
        <v>124</v>
      </c>
      <c r="M854" s="15">
        <v>41991</v>
      </c>
      <c r="N854" s="16">
        <v>1</v>
      </c>
      <c r="O854" s="17">
        <v>14232.94</v>
      </c>
      <c r="P854" s="17">
        <v>14232.94</v>
      </c>
      <c r="Q854" s="17">
        <f t="shared" si="19"/>
        <v>0</v>
      </c>
      <c r="R854" s="285" t="s">
        <v>5303</v>
      </c>
      <c r="S854" s="14" t="s">
        <v>2861</v>
      </c>
      <c r="T854" s="22" t="s">
        <v>3087</v>
      </c>
    </row>
    <row r="855" spans="1:20" ht="63.75" customHeight="1" x14ac:dyDescent="0.2">
      <c r="A855" s="21">
        <v>867</v>
      </c>
      <c r="B855" s="289" t="s">
        <v>1277</v>
      </c>
      <c r="C855" s="289"/>
      <c r="D855" s="9" t="s">
        <v>2219</v>
      </c>
      <c r="E855" s="12" t="s">
        <v>1374</v>
      </c>
      <c r="F855" s="9" t="s">
        <v>7060</v>
      </c>
      <c r="G855" s="285" t="s">
        <v>7981</v>
      </c>
      <c r="H855" s="285" t="s">
        <v>5127</v>
      </c>
      <c r="I855" s="285"/>
      <c r="J855" s="285" t="s">
        <v>3136</v>
      </c>
      <c r="K855" s="15">
        <v>42033</v>
      </c>
      <c r="L855" s="289">
        <v>124</v>
      </c>
      <c r="M855" s="15">
        <v>41991</v>
      </c>
      <c r="N855" s="16">
        <v>1</v>
      </c>
      <c r="O855" s="17">
        <v>5034.87</v>
      </c>
      <c r="P855" s="17">
        <v>5034.87</v>
      </c>
      <c r="Q855" s="17">
        <f t="shared" si="19"/>
        <v>0</v>
      </c>
      <c r="R855" s="285" t="s">
        <v>5303</v>
      </c>
      <c r="S855" s="14" t="s">
        <v>2861</v>
      </c>
      <c r="T855" s="22" t="s">
        <v>3087</v>
      </c>
    </row>
    <row r="856" spans="1:20" ht="63.75" customHeight="1" x14ac:dyDescent="0.2">
      <c r="A856" s="21">
        <v>868</v>
      </c>
      <c r="B856" s="289" t="s">
        <v>2217</v>
      </c>
      <c r="C856" s="289"/>
      <c r="D856" s="9" t="s">
        <v>2219</v>
      </c>
      <c r="E856" s="12" t="s">
        <v>1374</v>
      </c>
      <c r="F856" s="9" t="s">
        <v>6960</v>
      </c>
      <c r="G856" s="285" t="s">
        <v>7982</v>
      </c>
      <c r="H856" s="285" t="s">
        <v>5127</v>
      </c>
      <c r="I856" s="285"/>
      <c r="J856" s="285" t="s">
        <v>3136</v>
      </c>
      <c r="K856" s="15">
        <v>42033</v>
      </c>
      <c r="L856" s="289">
        <v>124</v>
      </c>
      <c r="M856" s="15">
        <v>41991</v>
      </c>
      <c r="N856" s="16">
        <v>1</v>
      </c>
      <c r="O856" s="17">
        <v>5034.87</v>
      </c>
      <c r="P856" s="17">
        <v>5034.87</v>
      </c>
      <c r="Q856" s="17">
        <f t="shared" si="19"/>
        <v>0</v>
      </c>
      <c r="R856" s="285" t="s">
        <v>5303</v>
      </c>
      <c r="S856" s="14" t="s">
        <v>2861</v>
      </c>
      <c r="T856" s="22" t="s">
        <v>3087</v>
      </c>
    </row>
    <row r="857" spans="1:20" ht="60.75" customHeight="1" x14ac:dyDescent="0.2">
      <c r="A857" s="21">
        <v>869</v>
      </c>
      <c r="B857" s="289" t="s">
        <v>2218</v>
      </c>
      <c r="C857" s="289"/>
      <c r="D857" s="9" t="s">
        <v>5116</v>
      </c>
      <c r="E857" s="12" t="s">
        <v>1374</v>
      </c>
      <c r="F857" s="9" t="s">
        <v>7061</v>
      </c>
      <c r="G857" s="285" t="s">
        <v>7981</v>
      </c>
      <c r="H857" s="285" t="s">
        <v>5127</v>
      </c>
      <c r="I857" s="285"/>
      <c r="J857" s="285" t="s">
        <v>3136</v>
      </c>
      <c r="K857" s="15">
        <v>42033</v>
      </c>
      <c r="L857" s="289">
        <v>124</v>
      </c>
      <c r="M857" s="15">
        <v>41991</v>
      </c>
      <c r="N857" s="16">
        <v>1</v>
      </c>
      <c r="O857" s="17">
        <v>4871.24</v>
      </c>
      <c r="P857" s="17">
        <v>4871.24</v>
      </c>
      <c r="Q857" s="17">
        <f t="shared" si="19"/>
        <v>0</v>
      </c>
      <c r="R857" s="285" t="s">
        <v>5303</v>
      </c>
      <c r="S857" s="14" t="s">
        <v>2861</v>
      </c>
      <c r="T857" s="22" t="s">
        <v>3087</v>
      </c>
    </row>
    <row r="858" spans="1:20" ht="60.75" customHeight="1" x14ac:dyDescent="0.2">
      <c r="A858" s="21">
        <v>870</v>
      </c>
      <c r="B858" s="289" t="s">
        <v>569</v>
      </c>
      <c r="C858" s="289"/>
      <c r="D858" s="9" t="s">
        <v>5116</v>
      </c>
      <c r="E858" s="12" t="s">
        <v>1374</v>
      </c>
      <c r="F858" s="9" t="s">
        <v>6961</v>
      </c>
      <c r="G858" s="285" t="s">
        <v>7982</v>
      </c>
      <c r="H858" s="285" t="s">
        <v>5127</v>
      </c>
      <c r="I858" s="285"/>
      <c r="J858" s="285" t="s">
        <v>3136</v>
      </c>
      <c r="K858" s="15">
        <v>42033</v>
      </c>
      <c r="L858" s="289">
        <v>124</v>
      </c>
      <c r="M858" s="15">
        <v>41991</v>
      </c>
      <c r="N858" s="16">
        <v>1</v>
      </c>
      <c r="O858" s="17">
        <v>4871.24</v>
      </c>
      <c r="P858" s="17">
        <v>4871.24</v>
      </c>
      <c r="Q858" s="17">
        <f t="shared" si="19"/>
        <v>0</v>
      </c>
      <c r="R858" s="285" t="s">
        <v>5303</v>
      </c>
      <c r="S858" s="14" t="s">
        <v>2861</v>
      </c>
      <c r="T858" s="22" t="s">
        <v>3087</v>
      </c>
    </row>
    <row r="859" spans="1:20" ht="60.75" customHeight="1" x14ac:dyDescent="0.2">
      <c r="A859" s="21">
        <v>871</v>
      </c>
      <c r="B859" s="289" t="s">
        <v>570</v>
      </c>
      <c r="C859" s="289"/>
      <c r="D859" s="9" t="s">
        <v>5593</v>
      </c>
      <c r="E859" s="12" t="s">
        <v>1374</v>
      </c>
      <c r="F859" s="9" t="s">
        <v>7062</v>
      </c>
      <c r="G859" s="285" t="s">
        <v>7981</v>
      </c>
      <c r="H859" s="285" t="s">
        <v>5127</v>
      </c>
      <c r="I859" s="285"/>
      <c r="J859" s="285" t="s">
        <v>3136</v>
      </c>
      <c r="K859" s="15">
        <v>42033</v>
      </c>
      <c r="L859" s="289">
        <v>124</v>
      </c>
      <c r="M859" s="15">
        <v>41991</v>
      </c>
      <c r="N859" s="16">
        <v>15</v>
      </c>
      <c r="O859" s="17">
        <v>72596.55</v>
      </c>
      <c r="P859" s="17">
        <v>72596.55</v>
      </c>
      <c r="Q859" s="17">
        <f t="shared" si="19"/>
        <v>0</v>
      </c>
      <c r="R859" s="285" t="s">
        <v>5303</v>
      </c>
      <c r="S859" s="14" t="s">
        <v>2861</v>
      </c>
      <c r="T859" s="22" t="s">
        <v>3087</v>
      </c>
    </row>
    <row r="860" spans="1:20" ht="60.75" customHeight="1" x14ac:dyDescent="0.2">
      <c r="A860" s="21">
        <v>872</v>
      </c>
      <c r="B860" s="289" t="s">
        <v>5117</v>
      </c>
      <c r="C860" s="289"/>
      <c r="D860" s="9" t="s">
        <v>5593</v>
      </c>
      <c r="E860" s="12" t="s">
        <v>1374</v>
      </c>
      <c r="F860" s="9" t="s">
        <v>6962</v>
      </c>
      <c r="G860" s="285" t="s">
        <v>7982</v>
      </c>
      <c r="H860" s="285" t="s">
        <v>5127</v>
      </c>
      <c r="I860" s="285"/>
      <c r="J860" s="285" t="s">
        <v>3136</v>
      </c>
      <c r="K860" s="15">
        <v>42033</v>
      </c>
      <c r="L860" s="289">
        <v>124</v>
      </c>
      <c r="M860" s="15">
        <v>41991</v>
      </c>
      <c r="N860" s="16">
        <v>15</v>
      </c>
      <c r="O860" s="17">
        <v>72596.55</v>
      </c>
      <c r="P860" s="17">
        <v>72596.55</v>
      </c>
      <c r="Q860" s="17">
        <f t="shared" si="19"/>
        <v>0</v>
      </c>
      <c r="R860" s="285" t="s">
        <v>5303</v>
      </c>
      <c r="S860" s="14" t="s">
        <v>2861</v>
      </c>
      <c r="T860" s="22" t="s">
        <v>3087</v>
      </c>
    </row>
    <row r="861" spans="1:20" ht="60" customHeight="1" x14ac:dyDescent="0.2">
      <c r="A861" s="21">
        <v>873</v>
      </c>
      <c r="B861" s="289" t="s">
        <v>5118</v>
      </c>
      <c r="C861" s="289"/>
      <c r="D861" s="9" t="s">
        <v>2744</v>
      </c>
      <c r="E861" s="12" t="s">
        <v>1374</v>
      </c>
      <c r="F861" s="9" t="s">
        <v>7063</v>
      </c>
      <c r="G861" s="285" t="s">
        <v>7981</v>
      </c>
      <c r="H861" s="285" t="s">
        <v>5127</v>
      </c>
      <c r="I861" s="285"/>
      <c r="J861" s="285" t="s">
        <v>3136</v>
      </c>
      <c r="K861" s="15">
        <v>42033</v>
      </c>
      <c r="L861" s="289">
        <v>124</v>
      </c>
      <c r="M861" s="15">
        <v>41991</v>
      </c>
      <c r="N861" s="16">
        <v>1</v>
      </c>
      <c r="O861" s="17">
        <v>6217.43</v>
      </c>
      <c r="P861" s="17">
        <v>6217.43</v>
      </c>
      <c r="Q861" s="17">
        <f t="shared" si="19"/>
        <v>0</v>
      </c>
      <c r="R861" s="285" t="s">
        <v>5303</v>
      </c>
      <c r="S861" s="14" t="s">
        <v>2861</v>
      </c>
      <c r="T861" s="22" t="s">
        <v>3087</v>
      </c>
    </row>
    <row r="862" spans="1:20" ht="60" customHeight="1" x14ac:dyDescent="0.2">
      <c r="A862" s="21">
        <v>874</v>
      </c>
      <c r="B862" s="289" t="s">
        <v>5119</v>
      </c>
      <c r="C862" s="289"/>
      <c r="D862" s="9" t="s">
        <v>2744</v>
      </c>
      <c r="E862" s="12" t="s">
        <v>1374</v>
      </c>
      <c r="F862" s="9" t="s">
        <v>6963</v>
      </c>
      <c r="G862" s="285" t="s">
        <v>7982</v>
      </c>
      <c r="H862" s="285" t="s">
        <v>5127</v>
      </c>
      <c r="I862" s="285"/>
      <c r="J862" s="285" t="s">
        <v>3136</v>
      </c>
      <c r="K862" s="15">
        <v>42033</v>
      </c>
      <c r="L862" s="289">
        <v>124</v>
      </c>
      <c r="M862" s="15">
        <v>41991</v>
      </c>
      <c r="N862" s="16">
        <v>1</v>
      </c>
      <c r="O862" s="17">
        <v>6217.43</v>
      </c>
      <c r="P862" s="17">
        <v>6217.43</v>
      </c>
      <c r="Q862" s="17">
        <f t="shared" si="19"/>
        <v>0</v>
      </c>
      <c r="R862" s="285" t="s">
        <v>5303</v>
      </c>
      <c r="S862" s="14" t="s">
        <v>2861</v>
      </c>
      <c r="T862" s="22" t="s">
        <v>3087</v>
      </c>
    </row>
    <row r="863" spans="1:20" ht="60" customHeight="1" x14ac:dyDescent="0.2">
      <c r="A863" s="21">
        <v>875</v>
      </c>
      <c r="B863" s="289" t="s">
        <v>5120</v>
      </c>
      <c r="C863" s="289"/>
      <c r="D863" s="9" t="s">
        <v>2860</v>
      </c>
      <c r="E863" s="12" t="s">
        <v>1374</v>
      </c>
      <c r="F863" s="9" t="s">
        <v>7064</v>
      </c>
      <c r="G863" s="285" t="s">
        <v>7981</v>
      </c>
      <c r="H863" s="285" t="s">
        <v>5127</v>
      </c>
      <c r="I863" s="285"/>
      <c r="J863" s="285" t="s">
        <v>3136</v>
      </c>
      <c r="K863" s="15">
        <v>42033</v>
      </c>
      <c r="L863" s="289">
        <v>124</v>
      </c>
      <c r="M863" s="15">
        <v>41991</v>
      </c>
      <c r="N863" s="16">
        <v>1</v>
      </c>
      <c r="O863" s="17">
        <v>5393.6</v>
      </c>
      <c r="P863" s="17">
        <v>5393.6</v>
      </c>
      <c r="Q863" s="17">
        <f t="shared" si="19"/>
        <v>0</v>
      </c>
      <c r="R863" s="285" t="s">
        <v>5303</v>
      </c>
      <c r="S863" s="14" t="s">
        <v>2861</v>
      </c>
      <c r="T863" s="22" t="s">
        <v>3087</v>
      </c>
    </row>
    <row r="864" spans="1:20" ht="60" customHeight="1" x14ac:dyDescent="0.2">
      <c r="A864" s="21">
        <v>876</v>
      </c>
      <c r="B864" s="289" t="s">
        <v>2953</v>
      </c>
      <c r="C864" s="289"/>
      <c r="D864" s="9" t="s">
        <v>2860</v>
      </c>
      <c r="E864" s="12" t="s">
        <v>1374</v>
      </c>
      <c r="F864" s="9" t="s">
        <v>6964</v>
      </c>
      <c r="G864" s="285" t="s">
        <v>7982</v>
      </c>
      <c r="H864" s="285" t="s">
        <v>5127</v>
      </c>
      <c r="I864" s="285"/>
      <c r="J864" s="285" t="s">
        <v>3136</v>
      </c>
      <c r="K864" s="15">
        <v>42033</v>
      </c>
      <c r="L864" s="289">
        <v>124</v>
      </c>
      <c r="M864" s="15">
        <v>41991</v>
      </c>
      <c r="N864" s="16">
        <v>1</v>
      </c>
      <c r="O864" s="17">
        <v>5393.6</v>
      </c>
      <c r="P864" s="17">
        <v>5393.6</v>
      </c>
      <c r="Q864" s="17">
        <f t="shared" si="19"/>
        <v>0</v>
      </c>
      <c r="R864" s="285" t="s">
        <v>5303</v>
      </c>
      <c r="S864" s="14" t="s">
        <v>2861</v>
      </c>
      <c r="T864" s="22" t="s">
        <v>3087</v>
      </c>
    </row>
    <row r="865" spans="1:20" ht="234" customHeight="1" x14ac:dyDescent="0.2">
      <c r="A865" s="21">
        <v>877</v>
      </c>
      <c r="B865" s="289" t="s">
        <v>5655</v>
      </c>
      <c r="C865" s="289"/>
      <c r="D865" s="9" t="s">
        <v>2600</v>
      </c>
      <c r="E865" s="289">
        <v>2014</v>
      </c>
      <c r="F865" s="9" t="s">
        <v>6863</v>
      </c>
      <c r="G865" s="285" t="s">
        <v>7917</v>
      </c>
      <c r="H865" s="285" t="s">
        <v>5127</v>
      </c>
      <c r="I865" s="285"/>
      <c r="J865" s="285" t="s">
        <v>3136</v>
      </c>
      <c r="K865" s="15">
        <v>42149</v>
      </c>
      <c r="L865" s="289">
        <v>423</v>
      </c>
      <c r="M865" s="15">
        <v>41857</v>
      </c>
      <c r="N865" s="16">
        <v>1</v>
      </c>
      <c r="O865" s="17">
        <v>61855</v>
      </c>
      <c r="P865" s="17">
        <v>61855</v>
      </c>
      <c r="Q865" s="17">
        <f t="shared" si="19"/>
        <v>0</v>
      </c>
      <c r="R865" s="285" t="s">
        <v>11</v>
      </c>
      <c r="S865" s="14">
        <v>41767</v>
      </c>
      <c r="T865" s="22" t="s">
        <v>2601</v>
      </c>
    </row>
    <row r="866" spans="1:20" ht="52.5" customHeight="1" x14ac:dyDescent="0.2">
      <c r="A866" s="21">
        <v>878</v>
      </c>
      <c r="B866" s="289" t="s">
        <v>5656</v>
      </c>
      <c r="C866" s="289"/>
      <c r="D866" s="9" t="s">
        <v>7002</v>
      </c>
      <c r="E866" s="289">
        <v>2014</v>
      </c>
      <c r="F866" s="28" t="s">
        <v>6937</v>
      </c>
      <c r="G866" s="285" t="s">
        <v>7977</v>
      </c>
      <c r="H866" s="285" t="s">
        <v>5127</v>
      </c>
      <c r="I866" s="285"/>
      <c r="J866" s="285" t="s">
        <v>3136</v>
      </c>
      <c r="K866" s="15">
        <v>42149</v>
      </c>
      <c r="L866" s="289">
        <v>423</v>
      </c>
      <c r="M866" s="15">
        <v>41922</v>
      </c>
      <c r="N866" s="16">
        <v>1</v>
      </c>
      <c r="O866" s="17">
        <v>23463</v>
      </c>
      <c r="P866" s="17">
        <v>23463</v>
      </c>
      <c r="Q866" s="17">
        <f t="shared" si="19"/>
        <v>0</v>
      </c>
      <c r="R866" s="285" t="s">
        <v>3253</v>
      </c>
      <c r="S866" s="14">
        <v>41873</v>
      </c>
      <c r="T866" s="22" t="s">
        <v>3513</v>
      </c>
    </row>
    <row r="867" spans="1:20" ht="52.5" customHeight="1" x14ac:dyDescent="0.2">
      <c r="A867" s="21">
        <v>879</v>
      </c>
      <c r="B867" s="289" t="s">
        <v>5657</v>
      </c>
      <c r="C867" s="289"/>
      <c r="D867" s="9" t="s">
        <v>5997</v>
      </c>
      <c r="E867" s="289">
        <v>2014</v>
      </c>
      <c r="F867" s="9" t="s">
        <v>5998</v>
      </c>
      <c r="G867" s="285" t="s">
        <v>7977</v>
      </c>
      <c r="H867" s="285" t="s">
        <v>5127</v>
      </c>
      <c r="I867" s="285"/>
      <c r="J867" s="285" t="s">
        <v>3136</v>
      </c>
      <c r="K867" s="15">
        <v>42149</v>
      </c>
      <c r="L867" s="289">
        <v>423</v>
      </c>
      <c r="M867" s="15">
        <v>41922</v>
      </c>
      <c r="N867" s="16">
        <v>1</v>
      </c>
      <c r="O867" s="17">
        <v>1287</v>
      </c>
      <c r="P867" s="17">
        <v>1287</v>
      </c>
      <c r="Q867" s="17">
        <f t="shared" si="19"/>
        <v>0</v>
      </c>
      <c r="R867" s="285" t="s">
        <v>3253</v>
      </c>
      <c r="S867" s="14">
        <v>41873</v>
      </c>
      <c r="T867" s="22" t="s">
        <v>3513</v>
      </c>
    </row>
    <row r="868" spans="1:20" ht="60.75" customHeight="1" x14ac:dyDescent="0.2">
      <c r="A868" s="21">
        <v>880</v>
      </c>
      <c r="B868" s="289" t="s">
        <v>3514</v>
      </c>
      <c r="C868" s="289"/>
      <c r="D868" s="9" t="s">
        <v>4318</v>
      </c>
      <c r="E868" s="289">
        <v>2014</v>
      </c>
      <c r="F868" s="9" t="s">
        <v>919</v>
      </c>
      <c r="G868" s="285" t="s">
        <v>7977</v>
      </c>
      <c r="H868" s="285" t="s">
        <v>5127</v>
      </c>
      <c r="I868" s="285"/>
      <c r="J868" s="285" t="s">
        <v>3136</v>
      </c>
      <c r="K868" s="15">
        <v>42149</v>
      </c>
      <c r="L868" s="289">
        <v>423</v>
      </c>
      <c r="M868" s="15">
        <v>41922</v>
      </c>
      <c r="N868" s="16">
        <v>1</v>
      </c>
      <c r="O868" s="17">
        <v>396</v>
      </c>
      <c r="P868" s="17">
        <v>396</v>
      </c>
      <c r="Q868" s="17">
        <f t="shared" si="19"/>
        <v>0</v>
      </c>
      <c r="R868" s="285" t="s">
        <v>3253</v>
      </c>
      <c r="S868" s="14">
        <v>41873</v>
      </c>
      <c r="T868" s="22" t="s">
        <v>3513</v>
      </c>
    </row>
    <row r="869" spans="1:20" ht="60.75" customHeight="1" x14ac:dyDescent="0.2">
      <c r="A869" s="21">
        <v>881</v>
      </c>
      <c r="B869" s="289" t="s">
        <v>5996</v>
      </c>
      <c r="C869" s="289"/>
      <c r="D869" s="9" t="s">
        <v>1668</v>
      </c>
      <c r="E869" s="289">
        <v>2014</v>
      </c>
      <c r="F869" s="9" t="s">
        <v>663</v>
      </c>
      <c r="G869" s="285" t="s">
        <v>7977</v>
      </c>
      <c r="H869" s="285" t="s">
        <v>5127</v>
      </c>
      <c r="I869" s="285"/>
      <c r="J869" s="285" t="s">
        <v>3136</v>
      </c>
      <c r="K869" s="15">
        <v>42149</v>
      </c>
      <c r="L869" s="289">
        <v>423</v>
      </c>
      <c r="M869" s="15">
        <v>41922</v>
      </c>
      <c r="N869" s="16">
        <v>1</v>
      </c>
      <c r="O869" s="17">
        <v>1782</v>
      </c>
      <c r="P869" s="17">
        <v>1782</v>
      </c>
      <c r="Q869" s="17">
        <f t="shared" ref="Q869:Q900" si="20">O869-P869</f>
        <v>0</v>
      </c>
      <c r="R869" s="285" t="s">
        <v>3253</v>
      </c>
      <c r="S869" s="14">
        <v>41873</v>
      </c>
      <c r="T869" s="22" t="s">
        <v>3513</v>
      </c>
    </row>
    <row r="870" spans="1:20" ht="90" customHeight="1" x14ac:dyDescent="0.2">
      <c r="A870" s="21">
        <v>882</v>
      </c>
      <c r="B870" s="289" t="s">
        <v>1659</v>
      </c>
      <c r="C870" s="289"/>
      <c r="D870" s="9" t="s">
        <v>887</v>
      </c>
      <c r="E870" s="289">
        <v>2014</v>
      </c>
      <c r="F870" s="9" t="s">
        <v>7003</v>
      </c>
      <c r="G870" s="285" t="s">
        <v>7977</v>
      </c>
      <c r="H870" s="285" t="s">
        <v>5127</v>
      </c>
      <c r="I870" s="285"/>
      <c r="J870" s="285" t="s">
        <v>3136</v>
      </c>
      <c r="K870" s="15">
        <v>42149</v>
      </c>
      <c r="L870" s="289">
        <v>423</v>
      </c>
      <c r="M870" s="15">
        <v>41922</v>
      </c>
      <c r="N870" s="16">
        <v>1</v>
      </c>
      <c r="O870" s="17">
        <v>4950</v>
      </c>
      <c r="P870" s="17">
        <v>4950</v>
      </c>
      <c r="Q870" s="17">
        <f t="shared" si="20"/>
        <v>0</v>
      </c>
      <c r="R870" s="285" t="s">
        <v>3253</v>
      </c>
      <c r="S870" s="14">
        <v>41873</v>
      </c>
      <c r="T870" s="22" t="s">
        <v>3513</v>
      </c>
    </row>
    <row r="871" spans="1:20" ht="99.75" customHeight="1" x14ac:dyDescent="0.2">
      <c r="A871" s="21">
        <v>883</v>
      </c>
      <c r="B871" s="289" t="s">
        <v>1660</v>
      </c>
      <c r="C871" s="289"/>
      <c r="D871" s="9" t="s">
        <v>5981</v>
      </c>
      <c r="E871" s="12" t="s">
        <v>1374</v>
      </c>
      <c r="F871" s="9" t="s">
        <v>7004</v>
      </c>
      <c r="G871" s="285" t="s">
        <v>7977</v>
      </c>
      <c r="H871" s="285" t="s">
        <v>5127</v>
      </c>
      <c r="I871" s="285"/>
      <c r="J871" s="285" t="s">
        <v>3136</v>
      </c>
      <c r="K871" s="15">
        <v>42149</v>
      </c>
      <c r="L871" s="289">
        <v>423</v>
      </c>
      <c r="M871" s="15">
        <v>41922</v>
      </c>
      <c r="N871" s="16">
        <v>1</v>
      </c>
      <c r="O871" s="17">
        <v>20020</v>
      </c>
      <c r="P871" s="17">
        <v>20020</v>
      </c>
      <c r="Q871" s="17">
        <f t="shared" si="20"/>
        <v>0</v>
      </c>
      <c r="R871" s="285" t="s">
        <v>3253</v>
      </c>
      <c r="S871" s="14">
        <v>41873</v>
      </c>
      <c r="T871" s="22" t="s">
        <v>3513</v>
      </c>
    </row>
    <row r="872" spans="1:20" ht="53.25" customHeight="1" x14ac:dyDescent="0.2">
      <c r="A872" s="21">
        <v>884</v>
      </c>
      <c r="B872" s="289" t="s">
        <v>5298</v>
      </c>
      <c r="C872" s="289"/>
      <c r="D872" s="9" t="s">
        <v>6114</v>
      </c>
      <c r="E872" s="12" t="s">
        <v>1374</v>
      </c>
      <c r="F872" s="9" t="s">
        <v>7065</v>
      </c>
      <c r="G872" s="285" t="s">
        <v>7981</v>
      </c>
      <c r="H872" s="285" t="s">
        <v>5127</v>
      </c>
      <c r="I872" s="285"/>
      <c r="J872" s="285" t="s">
        <v>3136</v>
      </c>
      <c r="K872" s="15">
        <v>42149</v>
      </c>
      <c r="L872" s="289">
        <v>423</v>
      </c>
      <c r="M872" s="15">
        <v>41974</v>
      </c>
      <c r="N872" s="16">
        <v>1</v>
      </c>
      <c r="O872" s="17">
        <v>53550</v>
      </c>
      <c r="P872" s="17">
        <v>53550</v>
      </c>
      <c r="Q872" s="17">
        <f t="shared" si="20"/>
        <v>0</v>
      </c>
      <c r="R872" s="285" t="s">
        <v>11</v>
      </c>
      <c r="S872" s="14">
        <v>41971</v>
      </c>
      <c r="T872" s="22" t="s">
        <v>2014</v>
      </c>
    </row>
    <row r="873" spans="1:20" ht="53.25" customHeight="1" x14ac:dyDescent="0.2">
      <c r="A873" s="21">
        <v>885</v>
      </c>
      <c r="B873" s="289" t="s">
        <v>2012</v>
      </c>
      <c r="C873" s="289"/>
      <c r="D873" s="9" t="s">
        <v>7066</v>
      </c>
      <c r="E873" s="12" t="s">
        <v>1374</v>
      </c>
      <c r="F873" s="9" t="s">
        <v>7067</v>
      </c>
      <c r="G873" s="285" t="s">
        <v>7981</v>
      </c>
      <c r="H873" s="285" t="s">
        <v>5127</v>
      </c>
      <c r="I873" s="285"/>
      <c r="J873" s="285" t="s">
        <v>3136</v>
      </c>
      <c r="K873" s="15">
        <v>42149</v>
      </c>
      <c r="L873" s="289">
        <v>423</v>
      </c>
      <c r="M873" s="15">
        <v>41974</v>
      </c>
      <c r="N873" s="16">
        <v>1</v>
      </c>
      <c r="O873" s="17">
        <v>3730</v>
      </c>
      <c r="P873" s="17">
        <v>3730</v>
      </c>
      <c r="Q873" s="17">
        <f t="shared" si="20"/>
        <v>0</v>
      </c>
      <c r="R873" s="285" t="s">
        <v>11</v>
      </c>
      <c r="S873" s="14">
        <v>41971</v>
      </c>
      <c r="T873" s="22" t="s">
        <v>2014</v>
      </c>
    </row>
    <row r="874" spans="1:20" ht="53.25" customHeight="1" x14ac:dyDescent="0.2">
      <c r="A874" s="21">
        <v>886</v>
      </c>
      <c r="B874" s="289" t="s">
        <v>2013</v>
      </c>
      <c r="C874" s="289"/>
      <c r="D874" s="9" t="s">
        <v>3935</v>
      </c>
      <c r="E874" s="12" t="s">
        <v>1374</v>
      </c>
      <c r="F874" s="9" t="s">
        <v>3936</v>
      </c>
      <c r="G874" s="285" t="s">
        <v>7981</v>
      </c>
      <c r="H874" s="285" t="s">
        <v>5127</v>
      </c>
      <c r="I874" s="285"/>
      <c r="J874" s="285" t="s">
        <v>3136</v>
      </c>
      <c r="K874" s="15">
        <v>42149</v>
      </c>
      <c r="L874" s="289">
        <v>423</v>
      </c>
      <c r="M874" s="15">
        <v>41974</v>
      </c>
      <c r="N874" s="16">
        <v>1</v>
      </c>
      <c r="O874" s="17">
        <v>2320.5</v>
      </c>
      <c r="P874" s="17">
        <v>2320.5</v>
      </c>
      <c r="Q874" s="17">
        <f t="shared" si="20"/>
        <v>0</v>
      </c>
      <c r="R874" s="285" t="s">
        <v>11</v>
      </c>
      <c r="S874" s="14">
        <v>41971</v>
      </c>
      <c r="T874" s="22" t="s">
        <v>2014</v>
      </c>
    </row>
    <row r="875" spans="1:20" ht="44.25" customHeight="1" x14ac:dyDescent="0.2">
      <c r="A875" s="21">
        <v>887</v>
      </c>
      <c r="B875" s="289" t="s">
        <v>3568</v>
      </c>
      <c r="C875" s="289"/>
      <c r="D875" s="9" t="s">
        <v>5984</v>
      </c>
      <c r="E875" s="12" t="s">
        <v>1374</v>
      </c>
      <c r="F875" s="9" t="s">
        <v>3569</v>
      </c>
      <c r="G875" s="56" t="s">
        <v>101</v>
      </c>
      <c r="H875" s="285" t="s">
        <v>5127</v>
      </c>
      <c r="I875" s="285"/>
      <c r="J875" s="285" t="s">
        <v>3136</v>
      </c>
      <c r="K875" s="15">
        <v>42046</v>
      </c>
      <c r="L875" s="289">
        <v>176</v>
      </c>
      <c r="M875" s="15">
        <v>41939</v>
      </c>
      <c r="N875" s="16">
        <v>1</v>
      </c>
      <c r="O875" s="17">
        <v>9980</v>
      </c>
      <c r="P875" s="17">
        <v>9980</v>
      </c>
      <c r="Q875" s="17">
        <f t="shared" si="20"/>
        <v>0</v>
      </c>
      <c r="R875" s="285" t="s">
        <v>5071</v>
      </c>
      <c r="S875" s="15">
        <v>41939</v>
      </c>
      <c r="T875" s="285">
        <v>198</v>
      </c>
    </row>
    <row r="876" spans="1:20" ht="44.25" customHeight="1" x14ac:dyDescent="0.2">
      <c r="A876" s="21">
        <v>888</v>
      </c>
      <c r="B876" s="289" t="s">
        <v>1573</v>
      </c>
      <c r="C876" s="289"/>
      <c r="D876" s="9" t="s">
        <v>676</v>
      </c>
      <c r="E876" s="12" t="s">
        <v>4426</v>
      </c>
      <c r="F876" s="9" t="s">
        <v>6529</v>
      </c>
      <c r="G876" s="285" t="s">
        <v>8293</v>
      </c>
      <c r="H876" s="285" t="s">
        <v>5127</v>
      </c>
      <c r="I876" s="285"/>
      <c r="J876" s="285"/>
      <c r="K876" s="15"/>
      <c r="L876" s="289"/>
      <c r="M876" s="15"/>
      <c r="N876" s="16">
        <v>2</v>
      </c>
      <c r="O876" s="17">
        <v>6600</v>
      </c>
      <c r="P876" s="17">
        <v>6600</v>
      </c>
      <c r="Q876" s="17">
        <f t="shared" si="20"/>
        <v>0</v>
      </c>
      <c r="R876" s="285"/>
      <c r="S876" s="15"/>
      <c r="T876" s="285"/>
    </row>
    <row r="877" spans="1:20" ht="44.25" customHeight="1" x14ac:dyDescent="0.2">
      <c r="A877" s="21">
        <v>889</v>
      </c>
      <c r="B877" s="289" t="s">
        <v>4286</v>
      </c>
      <c r="C877" s="289"/>
      <c r="D877" s="9" t="s">
        <v>5148</v>
      </c>
      <c r="E877" s="12" t="s">
        <v>1031</v>
      </c>
      <c r="F877" s="13" t="s">
        <v>5279</v>
      </c>
      <c r="G877" s="285" t="s">
        <v>8293</v>
      </c>
      <c r="H877" s="285" t="s">
        <v>5127</v>
      </c>
      <c r="I877" s="285"/>
      <c r="J877" s="285"/>
      <c r="K877" s="15"/>
      <c r="L877" s="289"/>
      <c r="M877" s="15"/>
      <c r="N877" s="16">
        <v>1</v>
      </c>
      <c r="O877" s="17">
        <v>3700</v>
      </c>
      <c r="P877" s="17">
        <v>3700</v>
      </c>
      <c r="Q877" s="17">
        <f t="shared" si="20"/>
        <v>0</v>
      </c>
      <c r="R877" s="285"/>
      <c r="S877" s="15"/>
      <c r="T877" s="285"/>
    </row>
    <row r="878" spans="1:20" ht="45" customHeight="1" x14ac:dyDescent="0.2">
      <c r="A878" s="21">
        <v>890</v>
      </c>
      <c r="B878" s="289" t="s">
        <v>702</v>
      </c>
      <c r="C878" s="289"/>
      <c r="D878" s="9" t="s">
        <v>3683</v>
      </c>
      <c r="E878" s="12"/>
      <c r="F878" s="13" t="s">
        <v>10320</v>
      </c>
      <c r="G878" s="285" t="s">
        <v>9194</v>
      </c>
      <c r="H878" s="285" t="s">
        <v>5127</v>
      </c>
      <c r="I878" s="285"/>
      <c r="J878" s="285"/>
      <c r="K878" s="15"/>
      <c r="L878" s="289"/>
      <c r="M878" s="15"/>
      <c r="N878" s="16">
        <v>1</v>
      </c>
      <c r="O878" s="17">
        <v>6500</v>
      </c>
      <c r="P878" s="17">
        <v>6500</v>
      </c>
      <c r="Q878" s="17">
        <f t="shared" si="20"/>
        <v>0</v>
      </c>
      <c r="R878" s="285"/>
      <c r="S878" s="15"/>
      <c r="T878" s="285"/>
    </row>
    <row r="879" spans="1:20" ht="171" customHeight="1" x14ac:dyDescent="0.2">
      <c r="A879" s="21">
        <v>891</v>
      </c>
      <c r="B879" s="289" t="s">
        <v>703</v>
      </c>
      <c r="C879" s="289"/>
      <c r="D879" s="9" t="s">
        <v>1789</v>
      </c>
      <c r="E879" s="12"/>
      <c r="F879" s="13" t="s">
        <v>6514</v>
      </c>
      <c r="G879" s="285" t="s">
        <v>9194</v>
      </c>
      <c r="H879" s="285" t="s">
        <v>5127</v>
      </c>
      <c r="I879" s="285"/>
      <c r="J879" s="285"/>
      <c r="K879" s="15"/>
      <c r="L879" s="289"/>
      <c r="M879" s="15"/>
      <c r="N879" s="16">
        <v>1</v>
      </c>
      <c r="O879" s="17">
        <v>3500</v>
      </c>
      <c r="P879" s="17">
        <v>3500</v>
      </c>
      <c r="Q879" s="17">
        <f t="shared" si="20"/>
        <v>0</v>
      </c>
      <c r="R879" s="285"/>
      <c r="S879" s="15"/>
      <c r="T879" s="285"/>
    </row>
    <row r="880" spans="1:20" ht="192" customHeight="1" x14ac:dyDescent="0.2">
      <c r="A880" s="21">
        <v>892</v>
      </c>
      <c r="B880" s="289" t="s">
        <v>704</v>
      </c>
      <c r="C880" s="289"/>
      <c r="D880" s="9" t="s">
        <v>3140</v>
      </c>
      <c r="E880" s="12"/>
      <c r="F880" s="13" t="s">
        <v>5572</v>
      </c>
      <c r="G880" s="285" t="s">
        <v>8661</v>
      </c>
      <c r="H880" s="285" t="s">
        <v>5127</v>
      </c>
      <c r="I880" s="285"/>
      <c r="J880" s="285"/>
      <c r="K880" s="15"/>
      <c r="L880" s="289"/>
      <c r="M880" s="15"/>
      <c r="N880" s="16">
        <v>1</v>
      </c>
      <c r="O880" s="17">
        <v>4000</v>
      </c>
      <c r="P880" s="17">
        <v>4000</v>
      </c>
      <c r="Q880" s="17">
        <f t="shared" si="20"/>
        <v>0</v>
      </c>
      <c r="R880" s="285"/>
      <c r="S880" s="15"/>
      <c r="T880" s="285"/>
    </row>
    <row r="881" spans="1:20" ht="167.25" customHeight="1" x14ac:dyDescent="0.2">
      <c r="A881" s="21">
        <v>893</v>
      </c>
      <c r="B881" s="289" t="s">
        <v>4178</v>
      </c>
      <c r="C881" s="285" t="s">
        <v>5274</v>
      </c>
      <c r="D881" s="9" t="s">
        <v>2820</v>
      </c>
      <c r="E881" s="12"/>
      <c r="F881" s="13" t="s">
        <v>1477</v>
      </c>
      <c r="G881" s="285" t="s">
        <v>7967</v>
      </c>
      <c r="H881" s="285" t="s">
        <v>5127</v>
      </c>
      <c r="I881" s="285"/>
      <c r="J881" s="285"/>
      <c r="K881" s="15"/>
      <c r="L881" s="289"/>
      <c r="M881" s="15"/>
      <c r="N881" s="16">
        <v>1</v>
      </c>
      <c r="O881" s="17">
        <v>7613</v>
      </c>
      <c r="P881" s="17">
        <v>7613</v>
      </c>
      <c r="Q881" s="17">
        <f t="shared" si="20"/>
        <v>0</v>
      </c>
      <c r="R881" s="285"/>
      <c r="S881" s="15"/>
      <c r="T881" s="285"/>
    </row>
    <row r="882" spans="1:20" ht="82.5" customHeight="1" x14ac:dyDescent="0.2">
      <c r="A882" s="21">
        <v>894</v>
      </c>
      <c r="B882" s="289" t="s">
        <v>4225</v>
      </c>
      <c r="C882" s="285" t="s">
        <v>5274</v>
      </c>
      <c r="D882" s="9" t="s">
        <v>5982</v>
      </c>
      <c r="E882" s="12"/>
      <c r="F882" s="13" t="s">
        <v>4224</v>
      </c>
      <c r="G882" s="285" t="s">
        <v>7967</v>
      </c>
      <c r="H882" s="285" t="s">
        <v>5127</v>
      </c>
      <c r="I882" s="285"/>
      <c r="J882" s="285"/>
      <c r="K882" s="15"/>
      <c r="L882" s="289"/>
      <c r="M882" s="15"/>
      <c r="N882" s="16">
        <v>1</v>
      </c>
      <c r="O882" s="17">
        <v>9565.92</v>
      </c>
      <c r="P882" s="17">
        <v>9565.92</v>
      </c>
      <c r="Q882" s="17">
        <f t="shared" si="20"/>
        <v>0</v>
      </c>
      <c r="R882" s="285"/>
      <c r="S882" s="15"/>
      <c r="T882" s="285"/>
    </row>
    <row r="883" spans="1:20" ht="86.25" customHeight="1" x14ac:dyDescent="0.2">
      <c r="A883" s="21">
        <v>896</v>
      </c>
      <c r="B883" s="289" t="s">
        <v>5951</v>
      </c>
      <c r="C883" s="285" t="s">
        <v>5274</v>
      </c>
      <c r="D883" s="9" t="s">
        <v>5332</v>
      </c>
      <c r="E883" s="12"/>
      <c r="F883" s="13" t="s">
        <v>2407</v>
      </c>
      <c r="G883" s="285" t="s">
        <v>7967</v>
      </c>
      <c r="H883" s="285" t="s">
        <v>5127</v>
      </c>
      <c r="I883" s="285"/>
      <c r="J883" s="285"/>
      <c r="K883" s="15"/>
      <c r="L883" s="289"/>
      <c r="M883" s="15"/>
      <c r="N883" s="16">
        <v>1</v>
      </c>
      <c r="O883" s="17">
        <v>4347.3599999999997</v>
      </c>
      <c r="P883" s="17">
        <v>4347.3599999999997</v>
      </c>
      <c r="Q883" s="17">
        <f t="shared" si="20"/>
        <v>0</v>
      </c>
      <c r="R883" s="285"/>
      <c r="S883" s="15"/>
      <c r="T883" s="285"/>
    </row>
    <row r="884" spans="1:20" ht="30.75" customHeight="1" x14ac:dyDescent="0.2">
      <c r="A884" s="21">
        <v>897</v>
      </c>
      <c r="B884" s="289" t="s">
        <v>5952</v>
      </c>
      <c r="C884" s="285"/>
      <c r="D884" s="9" t="s">
        <v>2425</v>
      </c>
      <c r="E884" s="12"/>
      <c r="F884" s="13" t="s">
        <v>4266</v>
      </c>
      <c r="G884" s="285" t="s">
        <v>7917</v>
      </c>
      <c r="H884" s="285" t="s">
        <v>5127</v>
      </c>
      <c r="I884" s="285"/>
      <c r="J884" s="285" t="s">
        <v>3136</v>
      </c>
      <c r="K884" s="15">
        <v>42061</v>
      </c>
      <c r="L884" s="289">
        <v>226</v>
      </c>
      <c r="M884" s="15">
        <v>42026</v>
      </c>
      <c r="N884" s="16">
        <v>1</v>
      </c>
      <c r="O884" s="17">
        <v>4120</v>
      </c>
      <c r="P884" s="17">
        <v>4120</v>
      </c>
      <c r="Q884" s="17">
        <f t="shared" si="20"/>
        <v>0</v>
      </c>
      <c r="R884" s="285" t="s">
        <v>5447</v>
      </c>
      <c r="S884" s="15">
        <v>42026</v>
      </c>
      <c r="T884" s="285">
        <v>2420150010</v>
      </c>
    </row>
    <row r="885" spans="1:20" ht="77.25" customHeight="1" x14ac:dyDescent="0.2">
      <c r="A885" s="21">
        <v>898</v>
      </c>
      <c r="B885" s="289" t="s">
        <v>494</v>
      </c>
      <c r="C885" s="285"/>
      <c r="D885" s="9" t="s">
        <v>450</v>
      </c>
      <c r="E885" s="12"/>
      <c r="F885" s="13" t="s">
        <v>451</v>
      </c>
      <c r="G885" s="285" t="s">
        <v>7605</v>
      </c>
      <c r="H885" s="285" t="s">
        <v>7606</v>
      </c>
      <c r="I885" s="285"/>
      <c r="J885" s="285" t="s">
        <v>1937</v>
      </c>
      <c r="K885" s="14" t="s">
        <v>7607</v>
      </c>
      <c r="L885" s="289" t="s">
        <v>7608</v>
      </c>
      <c r="M885" s="15">
        <v>42023</v>
      </c>
      <c r="N885" s="16">
        <v>1</v>
      </c>
      <c r="O885" s="17">
        <v>1</v>
      </c>
      <c r="P885" s="17">
        <v>1</v>
      </c>
      <c r="Q885" s="17">
        <f t="shared" si="20"/>
        <v>0</v>
      </c>
      <c r="R885" s="285" t="s">
        <v>412</v>
      </c>
      <c r="S885" s="14" t="s">
        <v>413</v>
      </c>
      <c r="T885" s="285">
        <v>798</v>
      </c>
    </row>
    <row r="886" spans="1:20" ht="74.25" customHeight="1" x14ac:dyDescent="0.2">
      <c r="A886" s="21">
        <v>899</v>
      </c>
      <c r="B886" s="289" t="s">
        <v>1153</v>
      </c>
      <c r="C886" s="285"/>
      <c r="D886" s="9" t="s">
        <v>4400</v>
      </c>
      <c r="E886" s="12"/>
      <c r="F886" s="13" t="s">
        <v>5821</v>
      </c>
      <c r="G886" s="285" t="s">
        <v>7605</v>
      </c>
      <c r="H886" s="285" t="s">
        <v>7606</v>
      </c>
      <c r="I886" s="285"/>
      <c r="J886" s="285" t="s">
        <v>1937</v>
      </c>
      <c r="K886" s="14" t="s">
        <v>7607</v>
      </c>
      <c r="L886" s="289" t="s">
        <v>7608</v>
      </c>
      <c r="M886" s="15">
        <v>42023</v>
      </c>
      <c r="N886" s="16">
        <v>1</v>
      </c>
      <c r="O886" s="17">
        <v>1</v>
      </c>
      <c r="P886" s="17">
        <v>1</v>
      </c>
      <c r="Q886" s="17">
        <f t="shared" si="20"/>
        <v>0</v>
      </c>
      <c r="R886" s="285" t="s">
        <v>412</v>
      </c>
      <c r="S886" s="14" t="s">
        <v>413</v>
      </c>
      <c r="T886" s="285">
        <v>798</v>
      </c>
    </row>
    <row r="887" spans="1:20" ht="74.25" customHeight="1" x14ac:dyDescent="0.2">
      <c r="A887" s="21">
        <v>900</v>
      </c>
      <c r="B887" s="289" t="s">
        <v>1154</v>
      </c>
      <c r="C887" s="285"/>
      <c r="D887" s="9" t="s">
        <v>1508</v>
      </c>
      <c r="E887" s="12"/>
      <c r="F887" s="13" t="s">
        <v>5822</v>
      </c>
      <c r="G887" s="285" t="s">
        <v>7605</v>
      </c>
      <c r="H887" s="285" t="s">
        <v>7606</v>
      </c>
      <c r="I887" s="285"/>
      <c r="J887" s="285" t="s">
        <v>1937</v>
      </c>
      <c r="K887" s="14" t="s">
        <v>7607</v>
      </c>
      <c r="L887" s="289" t="s">
        <v>7608</v>
      </c>
      <c r="M887" s="15">
        <v>42023</v>
      </c>
      <c r="N887" s="16">
        <v>1</v>
      </c>
      <c r="O887" s="17">
        <v>1</v>
      </c>
      <c r="P887" s="17">
        <v>1</v>
      </c>
      <c r="Q887" s="17">
        <f t="shared" si="20"/>
        <v>0</v>
      </c>
      <c r="R887" s="285" t="s">
        <v>412</v>
      </c>
      <c r="S887" s="14" t="s">
        <v>413</v>
      </c>
      <c r="T887" s="285">
        <v>798</v>
      </c>
    </row>
    <row r="888" spans="1:20" ht="75.75" customHeight="1" x14ac:dyDescent="0.2">
      <c r="A888" s="21">
        <v>901</v>
      </c>
      <c r="B888" s="289" t="s">
        <v>1155</v>
      </c>
      <c r="C888" s="285"/>
      <c r="D888" s="9" t="s">
        <v>4382</v>
      </c>
      <c r="E888" s="12"/>
      <c r="F888" s="13" t="s">
        <v>5277</v>
      </c>
      <c r="G888" s="285" t="s">
        <v>7605</v>
      </c>
      <c r="H888" s="285" t="s">
        <v>7606</v>
      </c>
      <c r="I888" s="285"/>
      <c r="J888" s="285" t="s">
        <v>1937</v>
      </c>
      <c r="K888" s="14" t="s">
        <v>7607</v>
      </c>
      <c r="L888" s="289" t="s">
        <v>7608</v>
      </c>
      <c r="M888" s="15">
        <v>42023</v>
      </c>
      <c r="N888" s="16">
        <v>1</v>
      </c>
      <c r="O888" s="17">
        <v>1</v>
      </c>
      <c r="P888" s="17">
        <v>1</v>
      </c>
      <c r="Q888" s="17">
        <f t="shared" si="20"/>
        <v>0</v>
      </c>
      <c r="R888" s="285" t="s">
        <v>412</v>
      </c>
      <c r="S888" s="14" t="s">
        <v>413</v>
      </c>
      <c r="T888" s="285">
        <v>798</v>
      </c>
    </row>
    <row r="889" spans="1:20" ht="75.75" customHeight="1" x14ac:dyDescent="0.2">
      <c r="A889" s="21">
        <v>902</v>
      </c>
      <c r="B889" s="289" t="s">
        <v>2896</v>
      </c>
      <c r="C889" s="285"/>
      <c r="D889" s="9" t="s">
        <v>1686</v>
      </c>
      <c r="E889" s="12"/>
      <c r="F889" s="13" t="s">
        <v>977</v>
      </c>
      <c r="G889" s="285" t="s">
        <v>7605</v>
      </c>
      <c r="H889" s="285" t="s">
        <v>7606</v>
      </c>
      <c r="I889" s="285"/>
      <c r="J889" s="285" t="s">
        <v>1937</v>
      </c>
      <c r="K889" s="14" t="s">
        <v>7607</v>
      </c>
      <c r="L889" s="289" t="s">
        <v>7608</v>
      </c>
      <c r="M889" s="15">
        <v>42023</v>
      </c>
      <c r="N889" s="16">
        <v>1</v>
      </c>
      <c r="O889" s="17">
        <v>1</v>
      </c>
      <c r="P889" s="17">
        <v>1</v>
      </c>
      <c r="Q889" s="17">
        <f t="shared" si="20"/>
        <v>0</v>
      </c>
      <c r="R889" s="285" t="s">
        <v>412</v>
      </c>
      <c r="S889" s="14" t="s">
        <v>413</v>
      </c>
      <c r="T889" s="285">
        <v>798</v>
      </c>
    </row>
    <row r="890" spans="1:20" ht="75.75" customHeight="1" x14ac:dyDescent="0.2">
      <c r="A890" s="21">
        <v>903</v>
      </c>
      <c r="B890" s="289" t="s">
        <v>2897</v>
      </c>
      <c r="C890" s="285"/>
      <c r="D890" s="9" t="s">
        <v>976</v>
      </c>
      <c r="E890" s="12"/>
      <c r="F890" s="13" t="s">
        <v>3015</v>
      </c>
      <c r="G890" s="285" t="s">
        <v>7605</v>
      </c>
      <c r="H890" s="285" t="s">
        <v>7606</v>
      </c>
      <c r="I890" s="285"/>
      <c r="J890" s="285" t="s">
        <v>1937</v>
      </c>
      <c r="K890" s="14" t="s">
        <v>7607</v>
      </c>
      <c r="L890" s="289" t="s">
        <v>7608</v>
      </c>
      <c r="M890" s="15">
        <v>42023</v>
      </c>
      <c r="N890" s="16">
        <v>1</v>
      </c>
      <c r="O890" s="17">
        <v>1</v>
      </c>
      <c r="P890" s="17">
        <v>1</v>
      </c>
      <c r="Q890" s="17">
        <f t="shared" si="20"/>
        <v>0</v>
      </c>
      <c r="R890" s="285" t="s">
        <v>412</v>
      </c>
      <c r="S890" s="14" t="s">
        <v>413</v>
      </c>
      <c r="T890" s="285">
        <v>798</v>
      </c>
    </row>
    <row r="891" spans="1:20" ht="75.75" customHeight="1" x14ac:dyDescent="0.2">
      <c r="A891" s="21">
        <v>904</v>
      </c>
      <c r="B891" s="289" t="s">
        <v>2898</v>
      </c>
      <c r="C891" s="285"/>
      <c r="D891" s="9" t="s">
        <v>3016</v>
      </c>
      <c r="E891" s="12"/>
      <c r="F891" s="13" t="s">
        <v>3017</v>
      </c>
      <c r="G891" s="285" t="s">
        <v>7605</v>
      </c>
      <c r="H891" s="285" t="s">
        <v>7606</v>
      </c>
      <c r="I891" s="285"/>
      <c r="J891" s="285" t="s">
        <v>1937</v>
      </c>
      <c r="K891" s="14" t="s">
        <v>7607</v>
      </c>
      <c r="L891" s="289" t="s">
        <v>7608</v>
      </c>
      <c r="M891" s="15">
        <v>42023</v>
      </c>
      <c r="N891" s="16">
        <v>1</v>
      </c>
      <c r="O891" s="17">
        <v>1</v>
      </c>
      <c r="P891" s="17">
        <v>1</v>
      </c>
      <c r="Q891" s="17">
        <f t="shared" si="20"/>
        <v>0</v>
      </c>
      <c r="R891" s="285" t="s">
        <v>412</v>
      </c>
      <c r="S891" s="14" t="s">
        <v>413</v>
      </c>
      <c r="T891" s="285">
        <v>798</v>
      </c>
    </row>
    <row r="892" spans="1:20" ht="82.5" customHeight="1" x14ac:dyDescent="0.2">
      <c r="A892" s="21">
        <v>905</v>
      </c>
      <c r="B892" s="289" t="s">
        <v>2899</v>
      </c>
      <c r="C892" s="285"/>
      <c r="D892" s="9" t="s">
        <v>1219</v>
      </c>
      <c r="E892" s="12"/>
      <c r="F892" s="13" t="s">
        <v>1220</v>
      </c>
      <c r="G892" s="285" t="s">
        <v>7605</v>
      </c>
      <c r="H892" s="285" t="s">
        <v>7606</v>
      </c>
      <c r="I892" s="285"/>
      <c r="J892" s="285" t="s">
        <v>1937</v>
      </c>
      <c r="K892" s="14" t="s">
        <v>7607</v>
      </c>
      <c r="L892" s="289" t="s">
        <v>7608</v>
      </c>
      <c r="M892" s="15">
        <v>42023</v>
      </c>
      <c r="N892" s="16">
        <v>1</v>
      </c>
      <c r="O892" s="17">
        <v>1</v>
      </c>
      <c r="P892" s="17">
        <v>1</v>
      </c>
      <c r="Q892" s="17">
        <f t="shared" si="20"/>
        <v>0</v>
      </c>
      <c r="R892" s="285" t="s">
        <v>412</v>
      </c>
      <c r="S892" s="14" t="s">
        <v>413</v>
      </c>
      <c r="T892" s="285">
        <v>798</v>
      </c>
    </row>
    <row r="893" spans="1:20" ht="82.5" customHeight="1" x14ac:dyDescent="0.2">
      <c r="A893" s="21">
        <v>906</v>
      </c>
      <c r="B893" s="289" t="s">
        <v>2900</v>
      </c>
      <c r="C893" s="285"/>
      <c r="D893" s="9" t="s">
        <v>1040</v>
      </c>
      <c r="E893" s="12"/>
      <c r="F893" s="13" t="s">
        <v>1041</v>
      </c>
      <c r="G893" s="285" t="s">
        <v>7605</v>
      </c>
      <c r="H893" s="285" t="s">
        <v>7606</v>
      </c>
      <c r="I893" s="285"/>
      <c r="J893" s="285" t="s">
        <v>7610</v>
      </c>
      <c r="K893" s="14" t="s">
        <v>7607</v>
      </c>
      <c r="L893" s="289" t="s">
        <v>7608</v>
      </c>
      <c r="M893" s="15">
        <v>42023</v>
      </c>
      <c r="N893" s="16">
        <v>2</v>
      </c>
      <c r="O893" s="17">
        <v>2</v>
      </c>
      <c r="P893" s="17">
        <v>2</v>
      </c>
      <c r="Q893" s="17">
        <f t="shared" si="20"/>
        <v>0</v>
      </c>
      <c r="R893" s="285" t="s">
        <v>412</v>
      </c>
      <c r="S893" s="14" t="s">
        <v>413</v>
      </c>
      <c r="T893" s="285">
        <v>798</v>
      </c>
    </row>
    <row r="894" spans="1:20" ht="82.5" customHeight="1" x14ac:dyDescent="0.2">
      <c r="A894" s="21">
        <v>907</v>
      </c>
      <c r="B894" s="289" t="s">
        <v>2901</v>
      </c>
      <c r="C894" s="285"/>
      <c r="D894" s="9" t="s">
        <v>3926</v>
      </c>
      <c r="E894" s="12"/>
      <c r="F894" s="13" t="s">
        <v>3925</v>
      </c>
      <c r="G894" s="285" t="s">
        <v>7605</v>
      </c>
      <c r="H894" s="285" t="s">
        <v>7606</v>
      </c>
      <c r="I894" s="285"/>
      <c r="J894" s="285" t="s">
        <v>7610</v>
      </c>
      <c r="K894" s="14" t="s">
        <v>9894</v>
      </c>
      <c r="L894" s="289" t="s">
        <v>9895</v>
      </c>
      <c r="M894" s="15">
        <v>42023</v>
      </c>
      <c r="N894" s="16">
        <v>1</v>
      </c>
      <c r="O894" s="17">
        <v>1</v>
      </c>
      <c r="P894" s="17">
        <v>1</v>
      </c>
      <c r="Q894" s="17">
        <f t="shared" si="20"/>
        <v>0</v>
      </c>
      <c r="R894" s="285" t="s">
        <v>412</v>
      </c>
      <c r="S894" s="14" t="s">
        <v>413</v>
      </c>
      <c r="T894" s="285">
        <v>798</v>
      </c>
    </row>
    <row r="895" spans="1:20" ht="82.5" customHeight="1" x14ac:dyDescent="0.2">
      <c r="A895" s="21">
        <v>908</v>
      </c>
      <c r="B895" s="289" t="s">
        <v>3365</v>
      </c>
      <c r="C895" s="285"/>
      <c r="D895" s="9" t="s">
        <v>2722</v>
      </c>
      <c r="E895" s="12"/>
      <c r="F895" s="13" t="s">
        <v>2721</v>
      </c>
      <c r="G895" s="285" t="s">
        <v>4296</v>
      </c>
      <c r="H895" s="285" t="s">
        <v>3793</v>
      </c>
      <c r="I895" s="285"/>
      <c r="J895" s="285" t="s">
        <v>3136</v>
      </c>
      <c r="K895" s="14">
        <v>42079</v>
      </c>
      <c r="L895" s="289">
        <v>260</v>
      </c>
      <c r="M895" s="15">
        <v>42023</v>
      </c>
      <c r="N895" s="16">
        <v>1</v>
      </c>
      <c r="O895" s="34">
        <v>1</v>
      </c>
      <c r="P895" s="34">
        <v>1</v>
      </c>
      <c r="Q895" s="17">
        <f t="shared" si="20"/>
        <v>0</v>
      </c>
      <c r="R895" s="285" t="s">
        <v>412</v>
      </c>
      <c r="S895" s="14" t="s">
        <v>413</v>
      </c>
      <c r="T895" s="285">
        <v>798</v>
      </c>
    </row>
    <row r="896" spans="1:20" ht="82.5" customHeight="1" x14ac:dyDescent="0.2">
      <c r="A896" s="21">
        <v>909</v>
      </c>
      <c r="B896" s="289" t="s">
        <v>4633</v>
      </c>
      <c r="C896" s="285"/>
      <c r="D896" s="9" t="s">
        <v>3641</v>
      </c>
      <c r="E896" s="12"/>
      <c r="F896" s="13" t="s">
        <v>3981</v>
      </c>
      <c r="G896" s="285" t="s">
        <v>7605</v>
      </c>
      <c r="H896" s="285" t="s">
        <v>7606</v>
      </c>
      <c r="I896" s="285"/>
      <c r="J896" s="285" t="s">
        <v>1937</v>
      </c>
      <c r="K896" s="14" t="s">
        <v>7607</v>
      </c>
      <c r="L896" s="289" t="s">
        <v>7608</v>
      </c>
      <c r="M896" s="15">
        <v>42023</v>
      </c>
      <c r="N896" s="16">
        <v>1</v>
      </c>
      <c r="O896" s="34">
        <v>1</v>
      </c>
      <c r="P896" s="34">
        <v>1</v>
      </c>
      <c r="Q896" s="17">
        <f t="shared" si="20"/>
        <v>0</v>
      </c>
      <c r="R896" s="285" t="s">
        <v>412</v>
      </c>
      <c r="S896" s="14" t="s">
        <v>413</v>
      </c>
      <c r="T896" s="285">
        <v>798</v>
      </c>
    </row>
    <row r="897" spans="1:20" ht="82.5" customHeight="1" x14ac:dyDescent="0.2">
      <c r="A897" s="21">
        <v>910</v>
      </c>
      <c r="B897" s="289" t="s">
        <v>4634</v>
      </c>
      <c r="C897" s="285"/>
      <c r="D897" s="9" t="s">
        <v>3982</v>
      </c>
      <c r="E897" s="12"/>
      <c r="F897" s="13" t="s">
        <v>3983</v>
      </c>
      <c r="G897" s="285" t="s">
        <v>7605</v>
      </c>
      <c r="H897" s="285" t="s">
        <v>7606</v>
      </c>
      <c r="I897" s="285"/>
      <c r="J897" s="285" t="s">
        <v>1937</v>
      </c>
      <c r="K897" s="14" t="s">
        <v>7607</v>
      </c>
      <c r="L897" s="289" t="s">
        <v>7608</v>
      </c>
      <c r="M897" s="15">
        <v>42023</v>
      </c>
      <c r="N897" s="16">
        <v>1</v>
      </c>
      <c r="O897" s="17">
        <v>1</v>
      </c>
      <c r="P897" s="17">
        <v>1</v>
      </c>
      <c r="Q897" s="17">
        <f t="shared" si="20"/>
        <v>0</v>
      </c>
      <c r="R897" s="285" t="s">
        <v>412</v>
      </c>
      <c r="S897" s="14" t="s">
        <v>413</v>
      </c>
      <c r="T897" s="285">
        <v>798</v>
      </c>
    </row>
    <row r="898" spans="1:20" ht="82.5" customHeight="1" x14ac:dyDescent="0.2">
      <c r="A898" s="21">
        <v>911</v>
      </c>
      <c r="B898" s="289" t="s">
        <v>4635</v>
      </c>
      <c r="C898" s="285"/>
      <c r="D898" s="9" t="s">
        <v>3984</v>
      </c>
      <c r="E898" s="12"/>
      <c r="F898" s="13" t="s">
        <v>4055</v>
      </c>
      <c r="G898" s="285" t="s">
        <v>7605</v>
      </c>
      <c r="H898" s="285" t="s">
        <v>7606</v>
      </c>
      <c r="I898" s="285"/>
      <c r="J898" s="285" t="s">
        <v>7610</v>
      </c>
      <c r="K898" s="14" t="s">
        <v>9894</v>
      </c>
      <c r="L898" s="289" t="s">
        <v>9895</v>
      </c>
      <c r="M898" s="15">
        <v>42023</v>
      </c>
      <c r="N898" s="16">
        <v>1</v>
      </c>
      <c r="O898" s="17">
        <v>1</v>
      </c>
      <c r="P898" s="17">
        <v>1</v>
      </c>
      <c r="Q898" s="17">
        <f t="shared" si="20"/>
        <v>0</v>
      </c>
      <c r="R898" s="285" t="s">
        <v>412</v>
      </c>
      <c r="S898" s="14" t="s">
        <v>413</v>
      </c>
      <c r="T898" s="285">
        <v>798</v>
      </c>
    </row>
    <row r="899" spans="1:20" ht="82.5" customHeight="1" x14ac:dyDescent="0.2">
      <c r="A899" s="21">
        <v>912</v>
      </c>
      <c r="B899" s="289" t="s">
        <v>4636</v>
      </c>
      <c r="C899" s="285"/>
      <c r="D899" s="9" t="s">
        <v>3554</v>
      </c>
      <c r="E899" s="12"/>
      <c r="F899" s="13" t="s">
        <v>2097</v>
      </c>
      <c r="G899" s="285" t="s">
        <v>7605</v>
      </c>
      <c r="H899" s="285" t="s">
        <v>7606</v>
      </c>
      <c r="I899" s="285"/>
      <c r="J899" s="285" t="s">
        <v>7610</v>
      </c>
      <c r="K899" s="14" t="s">
        <v>9894</v>
      </c>
      <c r="L899" s="289" t="s">
        <v>9895</v>
      </c>
      <c r="M899" s="15">
        <v>42023</v>
      </c>
      <c r="N899" s="16">
        <v>2</v>
      </c>
      <c r="O899" s="17">
        <v>2</v>
      </c>
      <c r="P899" s="17">
        <v>2</v>
      </c>
      <c r="Q899" s="17">
        <f t="shared" si="20"/>
        <v>0</v>
      </c>
      <c r="R899" s="285" t="s">
        <v>412</v>
      </c>
      <c r="S899" s="14" t="s">
        <v>413</v>
      </c>
      <c r="T899" s="285">
        <v>798</v>
      </c>
    </row>
    <row r="900" spans="1:20" ht="83.25" customHeight="1" x14ac:dyDescent="0.2">
      <c r="A900" s="21">
        <v>913</v>
      </c>
      <c r="B900" s="289" t="s">
        <v>4637</v>
      </c>
      <c r="C900" s="285"/>
      <c r="D900" s="9" t="s">
        <v>3082</v>
      </c>
      <c r="E900" s="12"/>
      <c r="F900" s="13" t="s">
        <v>5574</v>
      </c>
      <c r="G900" s="285" t="s">
        <v>7605</v>
      </c>
      <c r="H900" s="285" t="s">
        <v>7606</v>
      </c>
      <c r="I900" s="285"/>
      <c r="J900" s="285" t="s">
        <v>7610</v>
      </c>
      <c r="K900" s="14" t="s">
        <v>9894</v>
      </c>
      <c r="L900" s="289" t="s">
        <v>9895</v>
      </c>
      <c r="M900" s="15">
        <v>42023</v>
      </c>
      <c r="N900" s="16">
        <v>1</v>
      </c>
      <c r="O900" s="17">
        <v>1</v>
      </c>
      <c r="P900" s="17">
        <v>1</v>
      </c>
      <c r="Q900" s="17">
        <f t="shared" si="20"/>
        <v>0</v>
      </c>
      <c r="R900" s="285" t="s">
        <v>412</v>
      </c>
      <c r="S900" s="14" t="s">
        <v>413</v>
      </c>
      <c r="T900" s="285">
        <v>798</v>
      </c>
    </row>
    <row r="901" spans="1:20" ht="83.25" customHeight="1" x14ac:dyDescent="0.2">
      <c r="A901" s="21">
        <v>914</v>
      </c>
      <c r="B901" s="289" t="s">
        <v>4638</v>
      </c>
      <c r="C901" s="285"/>
      <c r="D901" s="9" t="s">
        <v>2101</v>
      </c>
      <c r="E901" s="12"/>
      <c r="F901" s="13" t="s">
        <v>2102</v>
      </c>
      <c r="G901" s="285" t="s">
        <v>7605</v>
      </c>
      <c r="H901" s="285" t="s">
        <v>7606</v>
      </c>
      <c r="I901" s="285"/>
      <c r="J901" s="285" t="s">
        <v>7610</v>
      </c>
      <c r="K901" s="14" t="s">
        <v>9894</v>
      </c>
      <c r="L901" s="289" t="s">
        <v>9895</v>
      </c>
      <c r="M901" s="15">
        <v>42023</v>
      </c>
      <c r="N901" s="16">
        <v>1</v>
      </c>
      <c r="O901" s="17">
        <v>1</v>
      </c>
      <c r="P901" s="17">
        <v>1</v>
      </c>
      <c r="Q901" s="17">
        <f t="shared" ref="Q901:Q931" si="21">O901-P901</f>
        <v>0</v>
      </c>
      <c r="R901" s="285" t="s">
        <v>412</v>
      </c>
      <c r="S901" s="14" t="s">
        <v>413</v>
      </c>
      <c r="T901" s="285">
        <v>798</v>
      </c>
    </row>
    <row r="902" spans="1:20" ht="83.25" customHeight="1" x14ac:dyDescent="0.2">
      <c r="A902" s="21">
        <v>915</v>
      </c>
      <c r="B902" s="289" t="s">
        <v>4639</v>
      </c>
      <c r="C902" s="285"/>
      <c r="D902" s="9" t="s">
        <v>717</v>
      </c>
      <c r="E902" s="12"/>
      <c r="F902" s="13" t="s">
        <v>718</v>
      </c>
      <c r="G902" s="285" t="s">
        <v>7605</v>
      </c>
      <c r="H902" s="285" t="s">
        <v>7606</v>
      </c>
      <c r="I902" s="285"/>
      <c r="J902" s="285" t="s">
        <v>7610</v>
      </c>
      <c r="K902" s="14" t="s">
        <v>9894</v>
      </c>
      <c r="L902" s="289" t="s">
        <v>9895</v>
      </c>
      <c r="M902" s="15">
        <v>42023</v>
      </c>
      <c r="N902" s="16">
        <v>1</v>
      </c>
      <c r="O902" s="17">
        <v>1</v>
      </c>
      <c r="P902" s="17">
        <v>1</v>
      </c>
      <c r="Q902" s="17">
        <f t="shared" si="21"/>
        <v>0</v>
      </c>
      <c r="R902" s="285" t="s">
        <v>412</v>
      </c>
      <c r="S902" s="14" t="s">
        <v>413</v>
      </c>
      <c r="T902" s="285">
        <v>798</v>
      </c>
    </row>
    <row r="903" spans="1:20" ht="402.75" customHeight="1" x14ac:dyDescent="0.2">
      <c r="A903" s="21">
        <v>916</v>
      </c>
      <c r="B903" s="289" t="s">
        <v>4640</v>
      </c>
      <c r="C903" s="285"/>
      <c r="D903" s="9" t="s">
        <v>1192</v>
      </c>
      <c r="E903" s="12"/>
      <c r="F903" s="13" t="s">
        <v>1193</v>
      </c>
      <c r="G903" s="285" t="s">
        <v>7605</v>
      </c>
      <c r="H903" s="285" t="s">
        <v>3793</v>
      </c>
      <c r="I903" s="285"/>
      <c r="J903" s="285" t="s">
        <v>7610</v>
      </c>
      <c r="K903" s="14" t="s">
        <v>9894</v>
      </c>
      <c r="L903" s="289" t="s">
        <v>9895</v>
      </c>
      <c r="M903" s="15">
        <v>42023</v>
      </c>
      <c r="N903" s="16">
        <v>1</v>
      </c>
      <c r="O903" s="17">
        <v>1</v>
      </c>
      <c r="P903" s="17">
        <v>1</v>
      </c>
      <c r="Q903" s="17">
        <f t="shared" si="21"/>
        <v>0</v>
      </c>
      <c r="R903" s="285" t="s">
        <v>412</v>
      </c>
      <c r="S903" s="14" t="s">
        <v>413</v>
      </c>
      <c r="T903" s="285">
        <v>798</v>
      </c>
    </row>
    <row r="904" spans="1:20" ht="48" customHeight="1" x14ac:dyDescent="0.2">
      <c r="A904" s="21">
        <v>917</v>
      </c>
      <c r="B904" s="289" t="s">
        <v>1537</v>
      </c>
      <c r="C904" s="285"/>
      <c r="D904" s="254" t="s">
        <v>5877</v>
      </c>
      <c r="E904" s="12"/>
      <c r="F904" s="13" t="s">
        <v>2652</v>
      </c>
      <c r="G904" s="285" t="s">
        <v>7605</v>
      </c>
      <c r="H904" s="285" t="s">
        <v>7606</v>
      </c>
      <c r="I904" s="285"/>
      <c r="J904" s="285" t="s">
        <v>1937</v>
      </c>
      <c r="K904" s="14" t="s">
        <v>7607</v>
      </c>
      <c r="L904" s="289" t="s">
        <v>7608</v>
      </c>
      <c r="M904" s="15">
        <v>42023</v>
      </c>
      <c r="N904" s="16">
        <v>7</v>
      </c>
      <c r="O904" s="17">
        <v>7</v>
      </c>
      <c r="P904" s="17">
        <v>7</v>
      </c>
      <c r="Q904" s="17">
        <f t="shared" si="21"/>
        <v>0</v>
      </c>
      <c r="R904" s="285" t="s">
        <v>412</v>
      </c>
      <c r="S904" s="14" t="s">
        <v>413</v>
      </c>
      <c r="T904" s="285">
        <v>798</v>
      </c>
    </row>
    <row r="905" spans="1:20" ht="57.75" customHeight="1" x14ac:dyDescent="0.2">
      <c r="A905" s="21">
        <v>918</v>
      </c>
      <c r="B905" s="289" t="s">
        <v>1538</v>
      </c>
      <c r="C905" s="285"/>
      <c r="D905" s="254" t="s">
        <v>2653</v>
      </c>
      <c r="E905" s="12"/>
      <c r="F905" s="13" t="s">
        <v>2654</v>
      </c>
      <c r="G905" s="285" t="s">
        <v>7605</v>
      </c>
      <c r="H905" s="285" t="s">
        <v>7606</v>
      </c>
      <c r="I905" s="285"/>
      <c r="J905" s="285" t="s">
        <v>1937</v>
      </c>
      <c r="K905" s="14" t="s">
        <v>7607</v>
      </c>
      <c r="L905" s="289" t="s">
        <v>7608</v>
      </c>
      <c r="M905" s="15">
        <v>42023</v>
      </c>
      <c r="N905" s="16">
        <v>2</v>
      </c>
      <c r="O905" s="17">
        <v>2</v>
      </c>
      <c r="P905" s="17">
        <v>2</v>
      </c>
      <c r="Q905" s="17">
        <f t="shared" si="21"/>
        <v>0</v>
      </c>
      <c r="R905" s="285" t="s">
        <v>412</v>
      </c>
      <c r="S905" s="14" t="s">
        <v>413</v>
      </c>
      <c r="T905" s="285">
        <v>798</v>
      </c>
    </row>
    <row r="906" spans="1:20" ht="57.75" customHeight="1" x14ac:dyDescent="0.2">
      <c r="A906" s="21">
        <v>919</v>
      </c>
      <c r="B906" s="289" t="s">
        <v>1539</v>
      </c>
      <c r="C906" s="285"/>
      <c r="D906" s="255" t="s">
        <v>444</v>
      </c>
      <c r="E906" s="12"/>
      <c r="F906" s="13" t="s">
        <v>3294</v>
      </c>
      <c r="G906" s="285" t="s">
        <v>7605</v>
      </c>
      <c r="H906" s="285" t="s">
        <v>7606</v>
      </c>
      <c r="I906" s="285"/>
      <c r="J906" s="285" t="s">
        <v>1937</v>
      </c>
      <c r="K906" s="14" t="s">
        <v>9936</v>
      </c>
      <c r="L906" s="289" t="s">
        <v>9937</v>
      </c>
      <c r="M906" s="15">
        <v>42023</v>
      </c>
      <c r="N906" s="16">
        <v>2</v>
      </c>
      <c r="O906" s="17">
        <v>131713</v>
      </c>
      <c r="P906" s="17">
        <v>131713</v>
      </c>
      <c r="Q906" s="17">
        <f t="shared" si="21"/>
        <v>0</v>
      </c>
      <c r="R906" s="285" t="s">
        <v>412</v>
      </c>
      <c r="S906" s="14" t="s">
        <v>413</v>
      </c>
      <c r="T906" s="285">
        <v>798</v>
      </c>
    </row>
    <row r="907" spans="1:20" ht="57.75" customHeight="1" x14ac:dyDescent="0.2">
      <c r="A907" s="21">
        <v>920</v>
      </c>
      <c r="B907" s="289" t="s">
        <v>2484</v>
      </c>
      <c r="C907" s="285"/>
      <c r="D907" s="255" t="s">
        <v>4505</v>
      </c>
      <c r="E907" s="12"/>
      <c r="F907" s="13" t="s">
        <v>6271</v>
      </c>
      <c r="G907" s="285" t="s">
        <v>7605</v>
      </c>
      <c r="H907" s="285" t="s">
        <v>7606</v>
      </c>
      <c r="I907" s="285"/>
      <c r="J907" s="285" t="s">
        <v>1937</v>
      </c>
      <c r="K907" s="14" t="s">
        <v>7607</v>
      </c>
      <c r="L907" s="289" t="s">
        <v>7608</v>
      </c>
      <c r="M907" s="15">
        <v>42023</v>
      </c>
      <c r="N907" s="16">
        <v>3</v>
      </c>
      <c r="O907" s="17">
        <v>3</v>
      </c>
      <c r="P907" s="17">
        <v>3</v>
      </c>
      <c r="Q907" s="17">
        <f t="shared" si="21"/>
        <v>0</v>
      </c>
      <c r="R907" s="285" t="s">
        <v>412</v>
      </c>
      <c r="S907" s="14" t="s">
        <v>413</v>
      </c>
      <c r="T907" s="285">
        <v>798</v>
      </c>
    </row>
    <row r="908" spans="1:20" ht="57.75" customHeight="1" x14ac:dyDescent="0.2">
      <c r="A908" s="21">
        <v>921</v>
      </c>
      <c r="B908" s="289" t="s">
        <v>2485</v>
      </c>
      <c r="C908" s="285"/>
      <c r="D908" s="13" t="s">
        <v>6272</v>
      </c>
      <c r="E908" s="12"/>
      <c r="F908" s="13" t="s">
        <v>4264</v>
      </c>
      <c r="G908" s="285" t="s">
        <v>7605</v>
      </c>
      <c r="H908" s="285" t="s">
        <v>7606</v>
      </c>
      <c r="I908" s="285"/>
      <c r="J908" s="285" t="s">
        <v>1937</v>
      </c>
      <c r="K908" s="14" t="s">
        <v>7607</v>
      </c>
      <c r="L908" s="289" t="s">
        <v>7608</v>
      </c>
      <c r="M908" s="15">
        <v>42023</v>
      </c>
      <c r="N908" s="16">
        <v>2</v>
      </c>
      <c r="O908" s="17">
        <v>2</v>
      </c>
      <c r="P908" s="17">
        <v>2</v>
      </c>
      <c r="Q908" s="17">
        <f t="shared" si="21"/>
        <v>0</v>
      </c>
      <c r="R908" s="285" t="s">
        <v>412</v>
      </c>
      <c r="S908" s="14" t="s">
        <v>413</v>
      </c>
      <c r="T908" s="285">
        <v>798</v>
      </c>
    </row>
    <row r="909" spans="1:20" ht="85.5" customHeight="1" x14ac:dyDescent="0.2">
      <c r="A909" s="21">
        <v>922</v>
      </c>
      <c r="B909" s="289" t="s">
        <v>2486</v>
      </c>
      <c r="C909" s="285"/>
      <c r="D909" s="255" t="s">
        <v>5034</v>
      </c>
      <c r="E909" s="12"/>
      <c r="F909" s="13" t="s">
        <v>5035</v>
      </c>
      <c r="G909" s="285" t="s">
        <v>7605</v>
      </c>
      <c r="H909" s="285" t="s">
        <v>7606</v>
      </c>
      <c r="I909" s="285"/>
      <c r="J909" s="285" t="s">
        <v>1937</v>
      </c>
      <c r="K909" s="14" t="s">
        <v>7607</v>
      </c>
      <c r="L909" s="289" t="s">
        <v>7608</v>
      </c>
      <c r="M909" s="15">
        <v>42023</v>
      </c>
      <c r="N909" s="16">
        <v>2</v>
      </c>
      <c r="O909" s="17">
        <v>2</v>
      </c>
      <c r="P909" s="17">
        <v>2</v>
      </c>
      <c r="Q909" s="17">
        <f t="shared" si="21"/>
        <v>0</v>
      </c>
      <c r="R909" s="285" t="s">
        <v>412</v>
      </c>
      <c r="S909" s="14" t="s">
        <v>413</v>
      </c>
      <c r="T909" s="285">
        <v>798</v>
      </c>
    </row>
    <row r="910" spans="1:20" ht="57.75" customHeight="1" x14ac:dyDescent="0.2">
      <c r="A910" s="21">
        <v>923</v>
      </c>
      <c r="B910" s="289" t="s">
        <v>2487</v>
      </c>
      <c r="C910" s="285"/>
      <c r="D910" s="9" t="s">
        <v>5036</v>
      </c>
      <c r="E910" s="12"/>
      <c r="F910" s="13" t="s">
        <v>4316</v>
      </c>
      <c r="G910" s="285" t="s">
        <v>7605</v>
      </c>
      <c r="H910" s="285" t="s">
        <v>7606</v>
      </c>
      <c r="I910" s="285"/>
      <c r="J910" s="285" t="s">
        <v>1937</v>
      </c>
      <c r="K910" s="14" t="s">
        <v>7607</v>
      </c>
      <c r="L910" s="289" t="s">
        <v>7608</v>
      </c>
      <c r="M910" s="15">
        <v>42023</v>
      </c>
      <c r="N910" s="16">
        <v>1</v>
      </c>
      <c r="O910" s="17">
        <v>1</v>
      </c>
      <c r="P910" s="17">
        <v>1</v>
      </c>
      <c r="Q910" s="17">
        <f t="shared" si="21"/>
        <v>0</v>
      </c>
      <c r="R910" s="285" t="s">
        <v>412</v>
      </c>
      <c r="S910" s="14" t="s">
        <v>413</v>
      </c>
      <c r="T910" s="285">
        <v>798</v>
      </c>
    </row>
    <row r="911" spans="1:20" ht="57.75" customHeight="1" x14ac:dyDescent="0.2">
      <c r="A911" s="21">
        <v>924</v>
      </c>
      <c r="B911" s="289" t="s">
        <v>2488</v>
      </c>
      <c r="C911" s="285"/>
      <c r="D911" s="255" t="s">
        <v>1275</v>
      </c>
      <c r="E911" s="12"/>
      <c r="F911" s="13" t="s">
        <v>5455</v>
      </c>
      <c r="G911" s="285" t="s">
        <v>7605</v>
      </c>
      <c r="H911" s="285" t="s">
        <v>7606</v>
      </c>
      <c r="I911" s="285"/>
      <c r="J911" s="285" t="s">
        <v>1937</v>
      </c>
      <c r="K911" s="14" t="s">
        <v>7607</v>
      </c>
      <c r="L911" s="289" t="s">
        <v>7608</v>
      </c>
      <c r="M911" s="15">
        <v>42023</v>
      </c>
      <c r="N911" s="16">
        <v>1</v>
      </c>
      <c r="O911" s="17">
        <v>1</v>
      </c>
      <c r="P911" s="17">
        <v>1</v>
      </c>
      <c r="Q911" s="17">
        <f t="shared" si="21"/>
        <v>0</v>
      </c>
      <c r="R911" s="285" t="s">
        <v>412</v>
      </c>
      <c r="S911" s="14" t="s">
        <v>413</v>
      </c>
      <c r="T911" s="285">
        <v>798</v>
      </c>
    </row>
    <row r="912" spans="1:20" ht="61.5" customHeight="1" x14ac:dyDescent="0.2">
      <c r="A912" s="21">
        <v>925</v>
      </c>
      <c r="B912" s="289" t="s">
        <v>2489</v>
      </c>
      <c r="C912" s="285"/>
      <c r="D912" s="255" t="s">
        <v>4593</v>
      </c>
      <c r="E912" s="12"/>
      <c r="F912" s="13" t="s">
        <v>1697</v>
      </c>
      <c r="G912" s="285" t="s">
        <v>7605</v>
      </c>
      <c r="H912" s="285" t="s">
        <v>7606</v>
      </c>
      <c r="I912" s="285"/>
      <c r="J912" s="285" t="s">
        <v>1937</v>
      </c>
      <c r="K912" s="14" t="s">
        <v>7607</v>
      </c>
      <c r="L912" s="289" t="s">
        <v>7608</v>
      </c>
      <c r="M912" s="15">
        <v>42023</v>
      </c>
      <c r="N912" s="16">
        <v>3</v>
      </c>
      <c r="O912" s="17">
        <v>3</v>
      </c>
      <c r="P912" s="17">
        <v>3</v>
      </c>
      <c r="Q912" s="17">
        <f t="shared" si="21"/>
        <v>0</v>
      </c>
      <c r="R912" s="285" t="s">
        <v>412</v>
      </c>
      <c r="S912" s="14" t="s">
        <v>413</v>
      </c>
      <c r="T912" s="285">
        <v>798</v>
      </c>
    </row>
    <row r="913" spans="1:20" ht="61.5" customHeight="1" x14ac:dyDescent="0.2">
      <c r="A913" s="21">
        <v>926</v>
      </c>
      <c r="B913" s="289" t="s">
        <v>2490</v>
      </c>
      <c r="C913" s="285"/>
      <c r="D913" s="255" t="s">
        <v>4477</v>
      </c>
      <c r="E913" s="12"/>
      <c r="F913" s="13" t="s">
        <v>4478</v>
      </c>
      <c r="G913" s="285" t="s">
        <v>7605</v>
      </c>
      <c r="H913" s="285" t="s">
        <v>7606</v>
      </c>
      <c r="I913" s="285"/>
      <c r="J913" s="285" t="s">
        <v>1937</v>
      </c>
      <c r="K913" s="14" t="s">
        <v>7607</v>
      </c>
      <c r="L913" s="289" t="s">
        <v>7608</v>
      </c>
      <c r="M913" s="15">
        <v>42023</v>
      </c>
      <c r="N913" s="16">
        <v>1</v>
      </c>
      <c r="O913" s="17">
        <v>1</v>
      </c>
      <c r="P913" s="17">
        <v>1</v>
      </c>
      <c r="Q913" s="17">
        <f t="shared" si="21"/>
        <v>0</v>
      </c>
      <c r="R913" s="285" t="s">
        <v>412</v>
      </c>
      <c r="S913" s="14" t="s">
        <v>413</v>
      </c>
      <c r="T913" s="285">
        <v>798</v>
      </c>
    </row>
    <row r="914" spans="1:20" ht="61.5" customHeight="1" x14ac:dyDescent="0.2">
      <c r="A914" s="21">
        <v>927</v>
      </c>
      <c r="B914" s="289" t="s">
        <v>5004</v>
      </c>
      <c r="C914" s="285"/>
      <c r="D914" s="255" t="s">
        <v>716</v>
      </c>
      <c r="E914" s="12"/>
      <c r="F914" s="13" t="s">
        <v>3463</v>
      </c>
      <c r="G914" s="285" t="s">
        <v>7605</v>
      </c>
      <c r="H914" s="285" t="s">
        <v>7606</v>
      </c>
      <c r="I914" s="285"/>
      <c r="J914" s="285" t="s">
        <v>1937</v>
      </c>
      <c r="K914" s="14" t="s">
        <v>7607</v>
      </c>
      <c r="L914" s="289" t="s">
        <v>7608</v>
      </c>
      <c r="M914" s="15">
        <v>42023</v>
      </c>
      <c r="N914" s="16">
        <v>11</v>
      </c>
      <c r="O914" s="17">
        <v>11</v>
      </c>
      <c r="P914" s="17">
        <v>11</v>
      </c>
      <c r="Q914" s="17">
        <f t="shared" si="21"/>
        <v>0</v>
      </c>
      <c r="R914" s="285" t="s">
        <v>412</v>
      </c>
      <c r="S914" s="14" t="s">
        <v>413</v>
      </c>
      <c r="T914" s="285">
        <v>798</v>
      </c>
    </row>
    <row r="915" spans="1:20" ht="61.5" customHeight="1" x14ac:dyDescent="0.2">
      <c r="A915" s="21">
        <v>928</v>
      </c>
      <c r="B915" s="289" t="s">
        <v>5005</v>
      </c>
      <c r="C915" s="285"/>
      <c r="D915" s="256" t="s">
        <v>2089</v>
      </c>
      <c r="E915" s="12"/>
      <c r="F915" s="47" t="s">
        <v>2752</v>
      </c>
      <c r="G915" s="285" t="s">
        <v>7605</v>
      </c>
      <c r="H915" s="285" t="s">
        <v>7606</v>
      </c>
      <c r="I915" s="285"/>
      <c r="J915" s="285" t="s">
        <v>1937</v>
      </c>
      <c r="K915" s="14" t="s">
        <v>7607</v>
      </c>
      <c r="L915" s="289" t="s">
        <v>7608</v>
      </c>
      <c r="M915" s="15">
        <v>42023</v>
      </c>
      <c r="N915" s="16">
        <v>4</v>
      </c>
      <c r="O915" s="17">
        <v>4</v>
      </c>
      <c r="P915" s="17">
        <v>4</v>
      </c>
      <c r="Q915" s="17">
        <f t="shared" si="21"/>
        <v>0</v>
      </c>
      <c r="R915" s="285" t="s">
        <v>412</v>
      </c>
      <c r="S915" s="14" t="s">
        <v>413</v>
      </c>
      <c r="T915" s="285">
        <v>798</v>
      </c>
    </row>
    <row r="916" spans="1:20" ht="61.5" customHeight="1" x14ac:dyDescent="0.2">
      <c r="A916" s="21">
        <v>929</v>
      </c>
      <c r="B916" s="289" t="s">
        <v>5006</v>
      </c>
      <c r="C916" s="285"/>
      <c r="D916" s="255" t="s">
        <v>4929</v>
      </c>
      <c r="E916" s="12"/>
      <c r="F916" s="13" t="s">
        <v>1437</v>
      </c>
      <c r="G916" s="285" t="s">
        <v>7605</v>
      </c>
      <c r="H916" s="285" t="s">
        <v>7606</v>
      </c>
      <c r="I916" s="285"/>
      <c r="J916" s="285" t="s">
        <v>1937</v>
      </c>
      <c r="K916" s="14" t="s">
        <v>9894</v>
      </c>
      <c r="L916" s="289" t="s">
        <v>9895</v>
      </c>
      <c r="M916" s="15">
        <v>42023</v>
      </c>
      <c r="N916" s="16">
        <v>1</v>
      </c>
      <c r="O916" s="17">
        <v>1</v>
      </c>
      <c r="P916" s="17">
        <v>1</v>
      </c>
      <c r="Q916" s="17">
        <f t="shared" si="21"/>
        <v>0</v>
      </c>
      <c r="R916" s="285" t="s">
        <v>412</v>
      </c>
      <c r="S916" s="14" t="s">
        <v>413</v>
      </c>
      <c r="T916" s="285">
        <v>798</v>
      </c>
    </row>
    <row r="917" spans="1:20" ht="62.25" customHeight="1" x14ac:dyDescent="0.2">
      <c r="A917" s="21">
        <v>930</v>
      </c>
      <c r="B917" s="289" t="s">
        <v>5007</v>
      </c>
      <c r="C917" s="285"/>
      <c r="D917" s="255" t="s">
        <v>4176</v>
      </c>
      <c r="E917" s="12"/>
      <c r="F917" s="13" t="s">
        <v>4177</v>
      </c>
      <c r="G917" s="285" t="s">
        <v>7605</v>
      </c>
      <c r="H917" s="285" t="s">
        <v>7606</v>
      </c>
      <c r="I917" s="285"/>
      <c r="J917" s="285" t="s">
        <v>1937</v>
      </c>
      <c r="K917" s="14" t="s">
        <v>9894</v>
      </c>
      <c r="L917" s="289" t="s">
        <v>9895</v>
      </c>
      <c r="M917" s="15">
        <v>42023</v>
      </c>
      <c r="N917" s="16">
        <v>1</v>
      </c>
      <c r="O917" s="17">
        <v>1</v>
      </c>
      <c r="P917" s="17">
        <v>1</v>
      </c>
      <c r="Q917" s="17">
        <f t="shared" si="21"/>
        <v>0</v>
      </c>
      <c r="R917" s="285" t="s">
        <v>412</v>
      </c>
      <c r="S917" s="14" t="s">
        <v>413</v>
      </c>
      <c r="T917" s="285">
        <v>798</v>
      </c>
    </row>
    <row r="918" spans="1:20" ht="62.25" customHeight="1" x14ac:dyDescent="0.2">
      <c r="A918" s="21">
        <v>931</v>
      </c>
      <c r="B918" s="289" t="s">
        <v>3939</v>
      </c>
      <c r="C918" s="285"/>
      <c r="D918" s="255" t="s">
        <v>506</v>
      </c>
      <c r="E918" s="12"/>
      <c r="F918" s="13" t="s">
        <v>507</v>
      </c>
      <c r="G918" s="285" t="s">
        <v>7605</v>
      </c>
      <c r="H918" s="285" t="s">
        <v>7606</v>
      </c>
      <c r="I918" s="285"/>
      <c r="J918" s="285" t="s">
        <v>7610</v>
      </c>
      <c r="K918" s="14" t="s">
        <v>7607</v>
      </c>
      <c r="L918" s="289" t="s">
        <v>7608</v>
      </c>
      <c r="M918" s="15">
        <v>42023</v>
      </c>
      <c r="N918" s="16">
        <v>1</v>
      </c>
      <c r="O918" s="17">
        <v>1</v>
      </c>
      <c r="P918" s="17">
        <v>1</v>
      </c>
      <c r="Q918" s="17">
        <f t="shared" si="21"/>
        <v>0</v>
      </c>
      <c r="R918" s="285" t="s">
        <v>412</v>
      </c>
      <c r="S918" s="14" t="s">
        <v>413</v>
      </c>
      <c r="T918" s="285">
        <v>798</v>
      </c>
    </row>
    <row r="919" spans="1:20" ht="62.25" customHeight="1" x14ac:dyDescent="0.2">
      <c r="A919" s="21">
        <v>932</v>
      </c>
      <c r="B919" s="289" t="s">
        <v>3940</v>
      </c>
      <c r="C919" s="285"/>
      <c r="D919" s="254" t="s">
        <v>508</v>
      </c>
      <c r="E919" s="12"/>
      <c r="F919" s="13" t="s">
        <v>183</v>
      </c>
      <c r="G919" s="285" t="s">
        <v>7605</v>
      </c>
      <c r="H919" s="285" t="s">
        <v>7606</v>
      </c>
      <c r="I919" s="285"/>
      <c r="J919" s="285" t="s">
        <v>1937</v>
      </c>
      <c r="K919" s="14" t="s">
        <v>9894</v>
      </c>
      <c r="L919" s="289" t="s">
        <v>9895</v>
      </c>
      <c r="M919" s="15">
        <v>42023</v>
      </c>
      <c r="N919" s="16">
        <v>1</v>
      </c>
      <c r="O919" s="17">
        <v>1</v>
      </c>
      <c r="P919" s="17">
        <v>1</v>
      </c>
      <c r="Q919" s="17">
        <f t="shared" si="21"/>
        <v>0</v>
      </c>
      <c r="R919" s="285" t="s">
        <v>412</v>
      </c>
      <c r="S919" s="14" t="s">
        <v>413</v>
      </c>
      <c r="T919" s="285">
        <v>798</v>
      </c>
    </row>
    <row r="920" spans="1:20" ht="62.25" customHeight="1" x14ac:dyDescent="0.2">
      <c r="A920" s="21">
        <v>933</v>
      </c>
      <c r="B920" s="289" t="s">
        <v>1099</v>
      </c>
      <c r="C920" s="37"/>
      <c r="D920" s="255" t="s">
        <v>182</v>
      </c>
      <c r="E920" s="12"/>
      <c r="F920" s="13" t="s">
        <v>184</v>
      </c>
      <c r="G920" s="285" t="s">
        <v>7605</v>
      </c>
      <c r="H920" s="285" t="s">
        <v>7606</v>
      </c>
      <c r="I920" s="285"/>
      <c r="J920" s="285" t="s">
        <v>1937</v>
      </c>
      <c r="K920" s="14" t="s">
        <v>9894</v>
      </c>
      <c r="L920" s="289" t="s">
        <v>9895</v>
      </c>
      <c r="M920" s="15">
        <v>42023</v>
      </c>
      <c r="N920" s="16">
        <v>1</v>
      </c>
      <c r="O920" s="17">
        <v>1</v>
      </c>
      <c r="P920" s="17">
        <v>1</v>
      </c>
      <c r="Q920" s="17">
        <f t="shared" si="21"/>
        <v>0</v>
      </c>
      <c r="R920" s="285" t="s">
        <v>412</v>
      </c>
      <c r="S920" s="14" t="s">
        <v>413</v>
      </c>
      <c r="T920" s="285">
        <v>798</v>
      </c>
    </row>
    <row r="921" spans="1:20" ht="51" customHeight="1" x14ac:dyDescent="0.2">
      <c r="A921" s="21">
        <v>934</v>
      </c>
      <c r="B921" s="289" t="s">
        <v>1100</v>
      </c>
      <c r="C921" s="37"/>
      <c r="D921" s="254" t="s">
        <v>1908</v>
      </c>
      <c r="E921" s="12"/>
      <c r="F921" s="13" t="s">
        <v>1909</v>
      </c>
      <c r="G921" s="285" t="s">
        <v>7605</v>
      </c>
      <c r="H921" s="285" t="s">
        <v>7606</v>
      </c>
      <c r="I921" s="285"/>
      <c r="J921" s="285" t="s">
        <v>1937</v>
      </c>
      <c r="K921" s="14" t="s">
        <v>9894</v>
      </c>
      <c r="L921" s="289" t="s">
        <v>9895</v>
      </c>
      <c r="M921" s="15">
        <v>42023</v>
      </c>
      <c r="N921" s="16">
        <v>3</v>
      </c>
      <c r="O921" s="17">
        <v>3</v>
      </c>
      <c r="P921" s="17">
        <v>3</v>
      </c>
      <c r="Q921" s="17">
        <f t="shared" si="21"/>
        <v>0</v>
      </c>
      <c r="R921" s="285" t="s">
        <v>412</v>
      </c>
      <c r="S921" s="14" t="s">
        <v>413</v>
      </c>
      <c r="T921" s="285">
        <v>798</v>
      </c>
    </row>
    <row r="922" spans="1:20" ht="51" customHeight="1" x14ac:dyDescent="0.2">
      <c r="A922" s="21">
        <v>935</v>
      </c>
      <c r="B922" s="289" t="s">
        <v>1101</v>
      </c>
      <c r="C922" s="37"/>
      <c r="D922" s="254" t="s">
        <v>1910</v>
      </c>
      <c r="E922" s="12"/>
      <c r="F922" s="13" t="s">
        <v>1911</v>
      </c>
      <c r="G922" s="285" t="s">
        <v>4296</v>
      </c>
      <c r="H922" s="285" t="s">
        <v>3793</v>
      </c>
      <c r="I922" s="285"/>
      <c r="J922" s="285" t="s">
        <v>3136</v>
      </c>
      <c r="K922" s="14">
        <v>42079</v>
      </c>
      <c r="L922" s="289">
        <v>260</v>
      </c>
      <c r="M922" s="15">
        <v>42023</v>
      </c>
      <c r="N922" s="16">
        <v>8</v>
      </c>
      <c r="O922" s="17">
        <v>8</v>
      </c>
      <c r="P922" s="17">
        <v>8</v>
      </c>
      <c r="Q922" s="17">
        <f t="shared" si="21"/>
        <v>0</v>
      </c>
      <c r="R922" s="285" t="s">
        <v>412</v>
      </c>
      <c r="S922" s="14" t="s">
        <v>413</v>
      </c>
      <c r="T922" s="285">
        <v>798</v>
      </c>
    </row>
    <row r="923" spans="1:20" ht="85.5" customHeight="1" x14ac:dyDescent="0.2">
      <c r="A923" s="21">
        <v>936</v>
      </c>
      <c r="B923" s="289" t="s">
        <v>1102</v>
      </c>
      <c r="C923" s="37"/>
      <c r="D923" s="254" t="s">
        <v>1912</v>
      </c>
      <c r="E923" s="12"/>
      <c r="F923" s="13" t="s">
        <v>2244</v>
      </c>
      <c r="G923" s="285" t="s">
        <v>7605</v>
      </c>
      <c r="H923" s="285" t="s">
        <v>7606</v>
      </c>
      <c r="I923" s="285"/>
      <c r="J923" s="285" t="s">
        <v>1937</v>
      </c>
      <c r="K923" s="14" t="s">
        <v>7607</v>
      </c>
      <c r="L923" s="289" t="s">
        <v>7608</v>
      </c>
      <c r="M923" s="15">
        <v>42023</v>
      </c>
      <c r="N923" s="16">
        <v>1</v>
      </c>
      <c r="O923" s="17">
        <v>1</v>
      </c>
      <c r="P923" s="17">
        <v>1</v>
      </c>
      <c r="Q923" s="17">
        <f t="shared" si="21"/>
        <v>0</v>
      </c>
      <c r="R923" s="285" t="s">
        <v>412</v>
      </c>
      <c r="S923" s="14" t="s">
        <v>413</v>
      </c>
      <c r="T923" s="285">
        <v>798</v>
      </c>
    </row>
    <row r="924" spans="1:20" ht="85.5" customHeight="1" x14ac:dyDescent="0.2">
      <c r="A924" s="21">
        <v>937</v>
      </c>
      <c r="B924" s="289" t="s">
        <v>3159</v>
      </c>
      <c r="C924" s="285"/>
      <c r="D924" s="254" t="s">
        <v>107</v>
      </c>
      <c r="E924" s="12"/>
      <c r="F924" s="13" t="s">
        <v>108</v>
      </c>
      <c r="G924" s="285" t="s">
        <v>7605</v>
      </c>
      <c r="H924" s="285" t="s">
        <v>7606</v>
      </c>
      <c r="I924" s="285"/>
      <c r="J924" s="285" t="s">
        <v>1937</v>
      </c>
      <c r="K924" s="14" t="s">
        <v>7607</v>
      </c>
      <c r="L924" s="289" t="s">
        <v>7608</v>
      </c>
      <c r="M924" s="15">
        <v>42023</v>
      </c>
      <c r="N924" s="16">
        <v>1</v>
      </c>
      <c r="O924" s="17">
        <v>1</v>
      </c>
      <c r="P924" s="17">
        <v>1</v>
      </c>
      <c r="Q924" s="17">
        <f t="shared" si="21"/>
        <v>0</v>
      </c>
      <c r="R924" s="285" t="s">
        <v>412</v>
      </c>
      <c r="S924" s="14" t="s">
        <v>413</v>
      </c>
      <c r="T924" s="285">
        <v>798</v>
      </c>
    </row>
    <row r="925" spans="1:20" ht="85.5" customHeight="1" x14ac:dyDescent="0.2">
      <c r="A925" s="21">
        <v>938</v>
      </c>
      <c r="B925" s="289" t="s">
        <v>3160</v>
      </c>
      <c r="C925" s="285"/>
      <c r="D925" s="254" t="s">
        <v>109</v>
      </c>
      <c r="E925" s="12"/>
      <c r="F925" s="13" t="s">
        <v>4465</v>
      </c>
      <c r="G925" s="285" t="s">
        <v>7605</v>
      </c>
      <c r="H925" s="285" t="s">
        <v>7606</v>
      </c>
      <c r="I925" s="285"/>
      <c r="J925" s="285" t="s">
        <v>1937</v>
      </c>
      <c r="K925" s="14" t="s">
        <v>7607</v>
      </c>
      <c r="L925" s="289" t="s">
        <v>7608</v>
      </c>
      <c r="M925" s="15">
        <v>42023</v>
      </c>
      <c r="N925" s="16">
        <v>1</v>
      </c>
      <c r="O925" s="17">
        <v>1</v>
      </c>
      <c r="P925" s="17">
        <v>1</v>
      </c>
      <c r="Q925" s="17">
        <f t="shared" si="21"/>
        <v>0</v>
      </c>
      <c r="R925" s="285" t="s">
        <v>412</v>
      </c>
      <c r="S925" s="14" t="s">
        <v>413</v>
      </c>
      <c r="T925" s="285">
        <v>798</v>
      </c>
    </row>
    <row r="926" spans="1:20" ht="93" customHeight="1" x14ac:dyDescent="0.2">
      <c r="A926" s="21">
        <v>939</v>
      </c>
      <c r="B926" s="289" t="s">
        <v>3161</v>
      </c>
      <c r="C926" s="285"/>
      <c r="D926" s="254" t="s">
        <v>4466</v>
      </c>
      <c r="E926" s="12"/>
      <c r="F926" s="13" t="s">
        <v>4467</v>
      </c>
      <c r="G926" s="285" t="s">
        <v>7605</v>
      </c>
      <c r="H926" s="285" t="s">
        <v>7606</v>
      </c>
      <c r="I926" s="285"/>
      <c r="J926" s="285" t="s">
        <v>1937</v>
      </c>
      <c r="K926" s="14" t="s">
        <v>7607</v>
      </c>
      <c r="L926" s="289" t="s">
        <v>7608</v>
      </c>
      <c r="M926" s="15">
        <v>42023</v>
      </c>
      <c r="N926" s="16">
        <v>1</v>
      </c>
      <c r="O926" s="17">
        <v>1</v>
      </c>
      <c r="P926" s="17">
        <v>1</v>
      </c>
      <c r="Q926" s="17">
        <f t="shared" si="21"/>
        <v>0</v>
      </c>
      <c r="R926" s="285" t="s">
        <v>412</v>
      </c>
      <c r="S926" s="14" t="s">
        <v>413</v>
      </c>
      <c r="T926" s="285">
        <v>798</v>
      </c>
    </row>
    <row r="927" spans="1:20" ht="93" customHeight="1" x14ac:dyDescent="0.2">
      <c r="A927" s="21">
        <v>940</v>
      </c>
      <c r="B927" s="289" t="s">
        <v>3162</v>
      </c>
      <c r="C927" s="285"/>
      <c r="D927" s="254" t="s">
        <v>4342</v>
      </c>
      <c r="E927" s="12"/>
      <c r="F927" s="13" t="s">
        <v>4751</v>
      </c>
      <c r="G927" s="285" t="s">
        <v>7605</v>
      </c>
      <c r="H927" s="285" t="s">
        <v>7606</v>
      </c>
      <c r="I927" s="285"/>
      <c r="J927" s="285" t="s">
        <v>1937</v>
      </c>
      <c r="K927" s="14" t="s">
        <v>7607</v>
      </c>
      <c r="L927" s="289" t="s">
        <v>7608</v>
      </c>
      <c r="M927" s="15">
        <v>42023</v>
      </c>
      <c r="N927" s="16">
        <v>1</v>
      </c>
      <c r="O927" s="17">
        <v>1</v>
      </c>
      <c r="P927" s="17">
        <v>1</v>
      </c>
      <c r="Q927" s="17">
        <f t="shared" si="21"/>
        <v>0</v>
      </c>
      <c r="R927" s="285" t="s">
        <v>412</v>
      </c>
      <c r="S927" s="14" t="s">
        <v>413</v>
      </c>
      <c r="T927" s="285">
        <v>798</v>
      </c>
    </row>
    <row r="928" spans="1:20" ht="81.75" customHeight="1" x14ac:dyDescent="0.2">
      <c r="A928" s="21">
        <v>941</v>
      </c>
      <c r="B928" s="289" t="s">
        <v>3163</v>
      </c>
      <c r="C928" s="285"/>
      <c r="D928" s="255" t="s">
        <v>2602</v>
      </c>
      <c r="E928" s="12"/>
      <c r="F928" s="13" t="s">
        <v>2603</v>
      </c>
      <c r="G928" s="285" t="s">
        <v>7605</v>
      </c>
      <c r="H928" s="285" t="s">
        <v>7606</v>
      </c>
      <c r="I928" s="285"/>
      <c r="J928" s="285" t="s">
        <v>1937</v>
      </c>
      <c r="K928" s="14" t="s">
        <v>7607</v>
      </c>
      <c r="L928" s="289" t="s">
        <v>7608</v>
      </c>
      <c r="M928" s="15">
        <v>42023</v>
      </c>
      <c r="N928" s="16">
        <v>1</v>
      </c>
      <c r="O928" s="17">
        <v>1</v>
      </c>
      <c r="P928" s="17">
        <v>1</v>
      </c>
      <c r="Q928" s="17">
        <f t="shared" si="21"/>
        <v>0</v>
      </c>
      <c r="R928" s="285" t="s">
        <v>412</v>
      </c>
      <c r="S928" s="14" t="s">
        <v>413</v>
      </c>
      <c r="T928" s="285">
        <v>798</v>
      </c>
    </row>
    <row r="929" spans="1:20" ht="81.75" customHeight="1" x14ac:dyDescent="0.2">
      <c r="A929" s="21">
        <v>942</v>
      </c>
      <c r="B929" s="289" t="s">
        <v>3164</v>
      </c>
      <c r="C929" s="285"/>
      <c r="D929" s="255" t="s">
        <v>2604</v>
      </c>
      <c r="E929" s="12"/>
      <c r="F929" s="255" t="s">
        <v>1175</v>
      </c>
      <c r="G929" s="285" t="s">
        <v>7605</v>
      </c>
      <c r="H929" s="285" t="s">
        <v>7606</v>
      </c>
      <c r="I929" s="285"/>
      <c r="J929" s="285" t="s">
        <v>1937</v>
      </c>
      <c r="K929" s="14" t="s">
        <v>7607</v>
      </c>
      <c r="L929" s="289" t="s">
        <v>7608</v>
      </c>
      <c r="M929" s="15">
        <v>42023</v>
      </c>
      <c r="N929" s="16">
        <v>1</v>
      </c>
      <c r="O929" s="17">
        <v>1</v>
      </c>
      <c r="P929" s="17">
        <v>1</v>
      </c>
      <c r="Q929" s="17">
        <f t="shared" si="21"/>
        <v>0</v>
      </c>
      <c r="R929" s="285" t="s">
        <v>412</v>
      </c>
      <c r="S929" s="14" t="s">
        <v>413</v>
      </c>
      <c r="T929" s="285">
        <v>798</v>
      </c>
    </row>
    <row r="930" spans="1:20" ht="81.75" customHeight="1" x14ac:dyDescent="0.2">
      <c r="A930" s="21">
        <v>943</v>
      </c>
      <c r="B930" s="289" t="s">
        <v>3165</v>
      </c>
      <c r="C930" s="285"/>
      <c r="D930" s="255" t="s">
        <v>1176</v>
      </c>
      <c r="E930" s="12"/>
      <c r="F930" s="255" t="s">
        <v>1177</v>
      </c>
      <c r="G930" s="285" t="s">
        <v>7605</v>
      </c>
      <c r="H930" s="285" t="s">
        <v>7606</v>
      </c>
      <c r="I930" s="285"/>
      <c r="J930" s="285" t="s">
        <v>1937</v>
      </c>
      <c r="K930" s="14" t="s">
        <v>7607</v>
      </c>
      <c r="L930" s="289" t="s">
        <v>7608</v>
      </c>
      <c r="M930" s="15">
        <v>42023</v>
      </c>
      <c r="N930" s="16">
        <v>2</v>
      </c>
      <c r="O930" s="17">
        <v>2</v>
      </c>
      <c r="P930" s="17">
        <v>2</v>
      </c>
      <c r="Q930" s="17">
        <f t="shared" si="21"/>
        <v>0</v>
      </c>
      <c r="R930" s="285" t="s">
        <v>412</v>
      </c>
      <c r="S930" s="14" t="s">
        <v>413</v>
      </c>
      <c r="T930" s="285">
        <v>798</v>
      </c>
    </row>
    <row r="931" spans="1:20" ht="81.75" customHeight="1" x14ac:dyDescent="0.2">
      <c r="A931" s="21">
        <v>944</v>
      </c>
      <c r="B931" s="289" t="s">
        <v>3166</v>
      </c>
      <c r="C931" s="285"/>
      <c r="D931" s="255" t="s">
        <v>1178</v>
      </c>
      <c r="E931" s="12"/>
      <c r="F931" s="255" t="s">
        <v>1179</v>
      </c>
      <c r="G931" s="285" t="s">
        <v>7605</v>
      </c>
      <c r="H931" s="285" t="s">
        <v>7606</v>
      </c>
      <c r="I931" s="285"/>
      <c r="J931" s="285" t="s">
        <v>1937</v>
      </c>
      <c r="K931" s="14" t="s">
        <v>7607</v>
      </c>
      <c r="L931" s="289" t="s">
        <v>7608</v>
      </c>
      <c r="M931" s="15">
        <v>42023</v>
      </c>
      <c r="N931" s="16">
        <v>1</v>
      </c>
      <c r="O931" s="17">
        <v>1</v>
      </c>
      <c r="P931" s="17">
        <v>1</v>
      </c>
      <c r="Q931" s="17">
        <f t="shared" si="21"/>
        <v>0</v>
      </c>
      <c r="R931" s="285" t="s">
        <v>412</v>
      </c>
      <c r="S931" s="14" t="s">
        <v>413</v>
      </c>
      <c r="T931" s="285">
        <v>798</v>
      </c>
    </row>
    <row r="932" spans="1:20" ht="80.25" customHeight="1" x14ac:dyDescent="0.2">
      <c r="A932" s="21">
        <v>945</v>
      </c>
      <c r="B932" s="289" t="s">
        <v>3168</v>
      </c>
      <c r="C932" s="285"/>
      <c r="D932" s="255" t="s">
        <v>1180</v>
      </c>
      <c r="E932" s="12"/>
      <c r="F932" s="255" t="s">
        <v>1181</v>
      </c>
      <c r="G932" s="285" t="s">
        <v>7605</v>
      </c>
      <c r="H932" s="285" t="s">
        <v>7606</v>
      </c>
      <c r="I932" s="285"/>
      <c r="J932" s="285" t="s">
        <v>1937</v>
      </c>
      <c r="K932" s="14" t="s">
        <v>7607</v>
      </c>
      <c r="L932" s="289" t="s">
        <v>7608</v>
      </c>
      <c r="M932" s="15">
        <v>42023</v>
      </c>
      <c r="N932" s="16">
        <v>1</v>
      </c>
      <c r="O932" s="17">
        <v>1</v>
      </c>
      <c r="P932" s="17">
        <v>1</v>
      </c>
      <c r="Q932" s="17">
        <f t="shared" ref="Q932:Q995" si="22">O932-P932</f>
        <v>0</v>
      </c>
      <c r="R932" s="285" t="s">
        <v>412</v>
      </c>
      <c r="S932" s="14" t="s">
        <v>413</v>
      </c>
      <c r="T932" s="285">
        <v>798</v>
      </c>
    </row>
    <row r="933" spans="1:20" ht="80.25" customHeight="1" x14ac:dyDescent="0.2">
      <c r="A933" s="21">
        <v>946</v>
      </c>
      <c r="B933" s="289" t="s">
        <v>3169</v>
      </c>
      <c r="C933" s="285"/>
      <c r="D933" s="255" t="s">
        <v>1182</v>
      </c>
      <c r="E933" s="12"/>
      <c r="F933" s="255" t="s">
        <v>1183</v>
      </c>
      <c r="G933" s="285" t="s">
        <v>7605</v>
      </c>
      <c r="H933" s="285" t="s">
        <v>7606</v>
      </c>
      <c r="I933" s="285"/>
      <c r="J933" s="285" t="s">
        <v>1937</v>
      </c>
      <c r="K933" s="14" t="s">
        <v>7607</v>
      </c>
      <c r="L933" s="289" t="s">
        <v>7608</v>
      </c>
      <c r="M933" s="15">
        <v>42023</v>
      </c>
      <c r="N933" s="16">
        <v>1</v>
      </c>
      <c r="O933" s="17">
        <v>1</v>
      </c>
      <c r="P933" s="17">
        <v>1</v>
      </c>
      <c r="Q933" s="17">
        <f t="shared" si="22"/>
        <v>0</v>
      </c>
      <c r="R933" s="285" t="s">
        <v>412</v>
      </c>
      <c r="S933" s="14" t="s">
        <v>413</v>
      </c>
      <c r="T933" s="285">
        <v>798</v>
      </c>
    </row>
    <row r="934" spans="1:20" ht="85.5" customHeight="1" x14ac:dyDescent="0.2">
      <c r="A934" s="21">
        <v>947</v>
      </c>
      <c r="B934" s="289" t="s">
        <v>3170</v>
      </c>
      <c r="C934" s="285"/>
      <c r="D934" s="255" t="s">
        <v>2005</v>
      </c>
      <c r="E934" s="12"/>
      <c r="F934" s="255" t="s">
        <v>6048</v>
      </c>
      <c r="G934" s="285" t="s">
        <v>7605</v>
      </c>
      <c r="H934" s="285" t="s">
        <v>7606</v>
      </c>
      <c r="I934" s="285"/>
      <c r="J934" s="285" t="s">
        <v>1937</v>
      </c>
      <c r="K934" s="14" t="s">
        <v>7607</v>
      </c>
      <c r="L934" s="289" t="s">
        <v>7608</v>
      </c>
      <c r="M934" s="15">
        <v>42023</v>
      </c>
      <c r="N934" s="44">
        <v>1</v>
      </c>
      <c r="O934" s="34">
        <v>1</v>
      </c>
      <c r="P934" s="34">
        <v>1</v>
      </c>
      <c r="Q934" s="17">
        <f t="shared" si="22"/>
        <v>0</v>
      </c>
      <c r="R934" s="285" t="s">
        <v>412</v>
      </c>
      <c r="S934" s="14" t="s">
        <v>413</v>
      </c>
      <c r="T934" s="285">
        <v>798</v>
      </c>
    </row>
    <row r="935" spans="1:20" ht="85.5" customHeight="1" x14ac:dyDescent="0.2">
      <c r="A935" s="21">
        <v>948</v>
      </c>
      <c r="B935" s="289" t="s">
        <v>3171</v>
      </c>
      <c r="C935" s="285"/>
      <c r="D935" s="254" t="s">
        <v>6049</v>
      </c>
      <c r="E935" s="12"/>
      <c r="F935" s="255" t="s">
        <v>5766</v>
      </c>
      <c r="G935" s="285" t="s">
        <v>7605</v>
      </c>
      <c r="H935" s="285" t="s">
        <v>7606</v>
      </c>
      <c r="I935" s="285"/>
      <c r="J935" s="285" t="s">
        <v>1937</v>
      </c>
      <c r="K935" s="14" t="s">
        <v>7607</v>
      </c>
      <c r="L935" s="289" t="s">
        <v>7608</v>
      </c>
      <c r="M935" s="15">
        <v>42023</v>
      </c>
      <c r="N935" s="44">
        <v>1</v>
      </c>
      <c r="O935" s="34">
        <v>1</v>
      </c>
      <c r="P935" s="17">
        <v>1</v>
      </c>
      <c r="Q935" s="17">
        <f t="shared" si="22"/>
        <v>0</v>
      </c>
      <c r="R935" s="285" t="s">
        <v>412</v>
      </c>
      <c r="S935" s="14" t="s">
        <v>413</v>
      </c>
      <c r="T935" s="285">
        <v>798</v>
      </c>
    </row>
    <row r="936" spans="1:20" ht="79.5" customHeight="1" x14ac:dyDescent="0.2">
      <c r="A936" s="21">
        <v>949</v>
      </c>
      <c r="B936" s="289" t="s">
        <v>3172</v>
      </c>
      <c r="C936" s="285"/>
      <c r="D936" s="254" t="s">
        <v>6050</v>
      </c>
      <c r="E936" s="12"/>
      <c r="F936" s="255" t="s">
        <v>6051</v>
      </c>
      <c r="G936" s="285" t="s">
        <v>7605</v>
      </c>
      <c r="H936" s="285" t="s">
        <v>7606</v>
      </c>
      <c r="I936" s="285"/>
      <c r="J936" s="285" t="s">
        <v>1937</v>
      </c>
      <c r="K936" s="14" t="s">
        <v>7607</v>
      </c>
      <c r="L936" s="289" t="s">
        <v>7608</v>
      </c>
      <c r="M936" s="15">
        <v>42023</v>
      </c>
      <c r="N936" s="44">
        <v>1</v>
      </c>
      <c r="O936" s="34">
        <v>1</v>
      </c>
      <c r="P936" s="17">
        <v>1</v>
      </c>
      <c r="Q936" s="17">
        <f t="shared" si="22"/>
        <v>0</v>
      </c>
      <c r="R936" s="285" t="s">
        <v>412</v>
      </c>
      <c r="S936" s="14" t="s">
        <v>413</v>
      </c>
      <c r="T936" s="285">
        <v>798</v>
      </c>
    </row>
    <row r="937" spans="1:20" ht="79.5" customHeight="1" x14ac:dyDescent="0.2">
      <c r="A937" s="21">
        <v>950</v>
      </c>
      <c r="B937" s="289" t="s">
        <v>3173</v>
      </c>
      <c r="C937" s="285"/>
      <c r="D937" s="255" t="s">
        <v>942</v>
      </c>
      <c r="E937" s="12"/>
      <c r="F937" s="255" t="s">
        <v>5150</v>
      </c>
      <c r="G937" s="285" t="s">
        <v>7605</v>
      </c>
      <c r="H937" s="285" t="s">
        <v>7606</v>
      </c>
      <c r="I937" s="285"/>
      <c r="J937" s="285" t="s">
        <v>1937</v>
      </c>
      <c r="K937" s="14" t="s">
        <v>7607</v>
      </c>
      <c r="L937" s="289" t="s">
        <v>7608</v>
      </c>
      <c r="M937" s="15">
        <v>42023</v>
      </c>
      <c r="N937" s="44">
        <v>1</v>
      </c>
      <c r="O937" s="34">
        <v>1</v>
      </c>
      <c r="P937" s="17">
        <v>1</v>
      </c>
      <c r="Q937" s="17">
        <f t="shared" si="22"/>
        <v>0</v>
      </c>
      <c r="R937" s="285" t="s">
        <v>412</v>
      </c>
      <c r="S937" s="14" t="s">
        <v>413</v>
      </c>
      <c r="T937" s="285">
        <v>798</v>
      </c>
    </row>
    <row r="938" spans="1:20" ht="77.25" customHeight="1" x14ac:dyDescent="0.2">
      <c r="A938" s="21">
        <v>951</v>
      </c>
      <c r="B938" s="289" t="s">
        <v>3174</v>
      </c>
      <c r="C938" s="285"/>
      <c r="D938" s="255" t="s">
        <v>5151</v>
      </c>
      <c r="E938" s="12"/>
      <c r="F938" s="255" t="s">
        <v>5152</v>
      </c>
      <c r="G938" s="285" t="s">
        <v>7605</v>
      </c>
      <c r="H938" s="285" t="s">
        <v>7606</v>
      </c>
      <c r="I938" s="285"/>
      <c r="J938" s="285" t="s">
        <v>1937</v>
      </c>
      <c r="K938" s="14" t="s">
        <v>7607</v>
      </c>
      <c r="L938" s="289" t="s">
        <v>7608</v>
      </c>
      <c r="M938" s="15">
        <v>42023</v>
      </c>
      <c r="N938" s="44">
        <v>1</v>
      </c>
      <c r="O938" s="34">
        <v>1</v>
      </c>
      <c r="P938" s="34">
        <v>1</v>
      </c>
      <c r="Q938" s="17">
        <f t="shared" si="22"/>
        <v>0</v>
      </c>
      <c r="R938" s="285" t="s">
        <v>412</v>
      </c>
      <c r="S938" s="14" t="s">
        <v>413</v>
      </c>
      <c r="T938" s="285">
        <v>798</v>
      </c>
    </row>
    <row r="939" spans="1:20" ht="77.25" customHeight="1" x14ac:dyDescent="0.2">
      <c r="A939" s="21">
        <v>952</v>
      </c>
      <c r="B939" s="289" t="s">
        <v>3175</v>
      </c>
      <c r="C939" s="285"/>
      <c r="D939" s="255" t="s">
        <v>5579</v>
      </c>
      <c r="E939" s="12"/>
      <c r="F939" s="255" t="s">
        <v>4071</v>
      </c>
      <c r="G939" s="285" t="s">
        <v>7605</v>
      </c>
      <c r="H939" s="285" t="s">
        <v>7606</v>
      </c>
      <c r="I939" s="285"/>
      <c r="J939" s="285" t="s">
        <v>1937</v>
      </c>
      <c r="K939" s="14" t="s">
        <v>7607</v>
      </c>
      <c r="L939" s="289" t="s">
        <v>7608</v>
      </c>
      <c r="M939" s="15">
        <v>42023</v>
      </c>
      <c r="N939" s="44">
        <v>1</v>
      </c>
      <c r="O939" s="34">
        <v>1</v>
      </c>
      <c r="P939" s="34">
        <v>1</v>
      </c>
      <c r="Q939" s="17">
        <f t="shared" si="22"/>
        <v>0</v>
      </c>
      <c r="R939" s="285" t="s">
        <v>412</v>
      </c>
      <c r="S939" s="14" t="s">
        <v>413</v>
      </c>
      <c r="T939" s="285">
        <v>798</v>
      </c>
    </row>
    <row r="940" spans="1:20" ht="77.25" customHeight="1" x14ac:dyDescent="0.2">
      <c r="A940" s="21">
        <v>953</v>
      </c>
      <c r="B940" s="289" t="s">
        <v>4643</v>
      </c>
      <c r="C940" s="285"/>
      <c r="D940" s="255" t="s">
        <v>3214</v>
      </c>
      <c r="E940" s="12"/>
      <c r="F940" s="255" t="s">
        <v>3215</v>
      </c>
      <c r="G940" s="285" t="s">
        <v>7605</v>
      </c>
      <c r="H940" s="285" t="s">
        <v>7606</v>
      </c>
      <c r="I940" s="285"/>
      <c r="J940" s="285" t="s">
        <v>1937</v>
      </c>
      <c r="K940" s="14" t="s">
        <v>7607</v>
      </c>
      <c r="L940" s="289" t="s">
        <v>7608</v>
      </c>
      <c r="M940" s="15">
        <v>42023</v>
      </c>
      <c r="N940" s="44">
        <v>1</v>
      </c>
      <c r="O940" s="34">
        <v>1</v>
      </c>
      <c r="P940" s="34">
        <v>1</v>
      </c>
      <c r="Q940" s="17">
        <f t="shared" si="22"/>
        <v>0</v>
      </c>
      <c r="R940" s="285" t="s">
        <v>412</v>
      </c>
      <c r="S940" s="14" t="s">
        <v>413</v>
      </c>
      <c r="T940" s="285">
        <v>798</v>
      </c>
    </row>
    <row r="941" spans="1:20" ht="81.75" customHeight="1" x14ac:dyDescent="0.2">
      <c r="A941" s="21">
        <v>954</v>
      </c>
      <c r="B941" s="289" t="s">
        <v>4644</v>
      </c>
      <c r="C941" s="285"/>
      <c r="D941" s="255" t="s">
        <v>1398</v>
      </c>
      <c r="E941" s="12"/>
      <c r="F941" s="255" t="s">
        <v>1399</v>
      </c>
      <c r="G941" s="285" t="s">
        <v>7605</v>
      </c>
      <c r="H941" s="285" t="s">
        <v>7606</v>
      </c>
      <c r="I941" s="285"/>
      <c r="J941" s="285" t="s">
        <v>1937</v>
      </c>
      <c r="K941" s="14" t="s">
        <v>7607</v>
      </c>
      <c r="L941" s="289" t="s">
        <v>7608</v>
      </c>
      <c r="M941" s="15">
        <v>42023</v>
      </c>
      <c r="N941" s="44">
        <v>1</v>
      </c>
      <c r="O941" s="34">
        <v>1</v>
      </c>
      <c r="P941" s="34">
        <v>1</v>
      </c>
      <c r="Q941" s="17">
        <f t="shared" si="22"/>
        <v>0</v>
      </c>
      <c r="R941" s="285" t="s">
        <v>412</v>
      </c>
      <c r="S941" s="14" t="s">
        <v>413</v>
      </c>
      <c r="T941" s="285">
        <v>798</v>
      </c>
    </row>
    <row r="942" spans="1:20" ht="81.75" customHeight="1" x14ac:dyDescent="0.2">
      <c r="A942" s="21">
        <v>955</v>
      </c>
      <c r="B942" s="289" t="s">
        <v>4645</v>
      </c>
      <c r="C942" s="285"/>
      <c r="D942" s="255" t="s">
        <v>1400</v>
      </c>
      <c r="E942" s="12"/>
      <c r="F942" s="255" t="s">
        <v>1401</v>
      </c>
      <c r="G942" s="285" t="s">
        <v>7605</v>
      </c>
      <c r="H942" s="285" t="s">
        <v>7606</v>
      </c>
      <c r="I942" s="285"/>
      <c r="J942" s="285" t="s">
        <v>1937</v>
      </c>
      <c r="K942" s="14" t="s">
        <v>7607</v>
      </c>
      <c r="L942" s="289" t="s">
        <v>7608</v>
      </c>
      <c r="M942" s="15">
        <v>42023</v>
      </c>
      <c r="N942" s="44">
        <v>1</v>
      </c>
      <c r="O942" s="34">
        <v>1</v>
      </c>
      <c r="P942" s="34">
        <v>1</v>
      </c>
      <c r="Q942" s="17">
        <f t="shared" si="22"/>
        <v>0</v>
      </c>
      <c r="R942" s="285" t="s">
        <v>412</v>
      </c>
      <c r="S942" s="14" t="s">
        <v>413</v>
      </c>
      <c r="T942" s="285">
        <v>798</v>
      </c>
    </row>
    <row r="943" spans="1:20" ht="96" customHeight="1" x14ac:dyDescent="0.2">
      <c r="A943" s="21">
        <v>956</v>
      </c>
      <c r="B943" s="289" t="s">
        <v>4646</v>
      </c>
      <c r="C943" s="285"/>
      <c r="D943" s="255" t="s">
        <v>2520</v>
      </c>
      <c r="E943" s="28"/>
      <c r="F943" s="255" t="s">
        <v>2315</v>
      </c>
      <c r="G943" s="285" t="s">
        <v>7605</v>
      </c>
      <c r="H943" s="285" t="s">
        <v>7606</v>
      </c>
      <c r="I943" s="285"/>
      <c r="J943" s="285" t="s">
        <v>1937</v>
      </c>
      <c r="K943" s="14" t="s">
        <v>7607</v>
      </c>
      <c r="L943" s="289" t="s">
        <v>7608</v>
      </c>
      <c r="M943" s="15">
        <v>42023</v>
      </c>
      <c r="N943" s="44">
        <v>1</v>
      </c>
      <c r="O943" s="34">
        <v>1</v>
      </c>
      <c r="P943" s="34">
        <v>1</v>
      </c>
      <c r="Q943" s="17">
        <f t="shared" si="22"/>
        <v>0</v>
      </c>
      <c r="R943" s="285" t="s">
        <v>412</v>
      </c>
      <c r="S943" s="14" t="s">
        <v>413</v>
      </c>
      <c r="T943" s="285">
        <v>798</v>
      </c>
    </row>
    <row r="944" spans="1:20" ht="96" customHeight="1" x14ac:dyDescent="0.2">
      <c r="A944" s="21">
        <v>957</v>
      </c>
      <c r="B944" s="289" t="s">
        <v>760</v>
      </c>
      <c r="C944" s="285"/>
      <c r="D944" s="255" t="s">
        <v>2521</v>
      </c>
      <c r="E944" s="28"/>
      <c r="F944" s="255" t="s">
        <v>2314</v>
      </c>
      <c r="G944" s="285" t="s">
        <v>7605</v>
      </c>
      <c r="H944" s="285" t="s">
        <v>7606</v>
      </c>
      <c r="I944" s="285"/>
      <c r="J944" s="285" t="s">
        <v>1937</v>
      </c>
      <c r="K944" s="14" t="s">
        <v>7607</v>
      </c>
      <c r="L944" s="289" t="s">
        <v>7608</v>
      </c>
      <c r="M944" s="15">
        <v>42023</v>
      </c>
      <c r="N944" s="16">
        <v>1</v>
      </c>
      <c r="O944" s="17">
        <v>1</v>
      </c>
      <c r="P944" s="17">
        <v>1</v>
      </c>
      <c r="Q944" s="17">
        <f t="shared" si="22"/>
        <v>0</v>
      </c>
      <c r="R944" s="285" t="s">
        <v>412</v>
      </c>
      <c r="S944" s="14" t="s">
        <v>413</v>
      </c>
      <c r="T944" s="285">
        <v>798</v>
      </c>
    </row>
    <row r="945" spans="1:20" ht="75" customHeight="1" x14ac:dyDescent="0.2">
      <c r="A945" s="21">
        <v>958</v>
      </c>
      <c r="B945" s="289" t="s">
        <v>761</v>
      </c>
      <c r="C945" s="285"/>
      <c r="D945" s="255" t="s">
        <v>747</v>
      </c>
      <c r="E945" s="28"/>
      <c r="F945" s="255" t="s">
        <v>750</v>
      </c>
      <c r="G945" s="285" t="s">
        <v>7605</v>
      </c>
      <c r="H945" s="285" t="s">
        <v>7606</v>
      </c>
      <c r="I945" s="285"/>
      <c r="J945" s="285" t="s">
        <v>1937</v>
      </c>
      <c r="K945" s="14" t="s">
        <v>7607</v>
      </c>
      <c r="L945" s="289" t="s">
        <v>7608</v>
      </c>
      <c r="M945" s="15">
        <v>42023</v>
      </c>
      <c r="N945" s="16">
        <v>1</v>
      </c>
      <c r="O945" s="17">
        <v>1</v>
      </c>
      <c r="P945" s="17">
        <v>1</v>
      </c>
      <c r="Q945" s="17">
        <f t="shared" si="22"/>
        <v>0</v>
      </c>
      <c r="R945" s="285" t="s">
        <v>412</v>
      </c>
      <c r="S945" s="14" t="s">
        <v>413</v>
      </c>
      <c r="T945" s="285">
        <v>798</v>
      </c>
    </row>
    <row r="946" spans="1:20" ht="81.75" customHeight="1" x14ac:dyDescent="0.2">
      <c r="A946" s="21">
        <v>959</v>
      </c>
      <c r="B946" s="289" t="s">
        <v>124</v>
      </c>
      <c r="C946" s="285"/>
      <c r="D946" s="255" t="s">
        <v>748</v>
      </c>
      <c r="E946" s="28"/>
      <c r="F946" s="255" t="s">
        <v>3658</v>
      </c>
      <c r="G946" s="285" t="s">
        <v>7605</v>
      </c>
      <c r="H946" s="285" t="s">
        <v>7606</v>
      </c>
      <c r="I946" s="285"/>
      <c r="J946" s="285" t="s">
        <v>1937</v>
      </c>
      <c r="K946" s="14" t="s">
        <v>7607</v>
      </c>
      <c r="L946" s="289" t="s">
        <v>7608</v>
      </c>
      <c r="M946" s="15">
        <v>42023</v>
      </c>
      <c r="N946" s="16">
        <v>1</v>
      </c>
      <c r="O946" s="17">
        <v>1</v>
      </c>
      <c r="P946" s="17">
        <v>1</v>
      </c>
      <c r="Q946" s="17">
        <f t="shared" si="22"/>
        <v>0</v>
      </c>
      <c r="R946" s="285" t="s">
        <v>412</v>
      </c>
      <c r="S946" s="14" t="s">
        <v>413</v>
      </c>
      <c r="T946" s="285">
        <v>798</v>
      </c>
    </row>
    <row r="947" spans="1:20" ht="80.25" customHeight="1" x14ac:dyDescent="0.2">
      <c r="A947" s="21">
        <v>960</v>
      </c>
      <c r="B947" s="289" t="s">
        <v>125</v>
      </c>
      <c r="C947" s="285"/>
      <c r="D947" s="255" t="s">
        <v>749</v>
      </c>
      <c r="E947" s="28"/>
      <c r="F947" s="255" t="s">
        <v>3659</v>
      </c>
      <c r="G947" s="285" t="s">
        <v>7605</v>
      </c>
      <c r="H947" s="285" t="s">
        <v>7606</v>
      </c>
      <c r="I947" s="285"/>
      <c r="J947" s="285" t="s">
        <v>1937</v>
      </c>
      <c r="K947" s="14" t="s">
        <v>7607</v>
      </c>
      <c r="L947" s="289" t="s">
        <v>7608</v>
      </c>
      <c r="M947" s="15">
        <v>42023</v>
      </c>
      <c r="N947" s="16">
        <v>1</v>
      </c>
      <c r="O947" s="17">
        <v>1</v>
      </c>
      <c r="P947" s="17">
        <v>1</v>
      </c>
      <c r="Q947" s="17">
        <f t="shared" si="22"/>
        <v>0</v>
      </c>
      <c r="R947" s="285" t="s">
        <v>412</v>
      </c>
      <c r="S947" s="14" t="s">
        <v>413</v>
      </c>
      <c r="T947" s="285">
        <v>798</v>
      </c>
    </row>
    <row r="948" spans="1:20" ht="80.25" customHeight="1" x14ac:dyDescent="0.2">
      <c r="A948" s="21">
        <v>961</v>
      </c>
      <c r="B948" s="289" t="s">
        <v>126</v>
      </c>
      <c r="C948" s="285"/>
      <c r="D948" s="255" t="s">
        <v>5309</v>
      </c>
      <c r="E948" s="28"/>
      <c r="F948" s="255" t="s">
        <v>3660</v>
      </c>
      <c r="G948" s="285" t="s">
        <v>7605</v>
      </c>
      <c r="H948" s="285" t="s">
        <v>7606</v>
      </c>
      <c r="I948" s="285"/>
      <c r="J948" s="285" t="s">
        <v>1937</v>
      </c>
      <c r="K948" s="14" t="s">
        <v>7607</v>
      </c>
      <c r="L948" s="289" t="s">
        <v>7608</v>
      </c>
      <c r="M948" s="15">
        <v>42023</v>
      </c>
      <c r="N948" s="16">
        <v>1</v>
      </c>
      <c r="O948" s="17">
        <v>1</v>
      </c>
      <c r="P948" s="17">
        <v>1</v>
      </c>
      <c r="Q948" s="17">
        <f t="shared" si="22"/>
        <v>0</v>
      </c>
      <c r="R948" s="285" t="s">
        <v>412</v>
      </c>
      <c r="S948" s="14" t="s">
        <v>413</v>
      </c>
      <c r="T948" s="285">
        <v>798</v>
      </c>
    </row>
    <row r="949" spans="1:20" ht="81.75" customHeight="1" x14ac:dyDescent="0.2">
      <c r="A949" s="21">
        <v>962</v>
      </c>
      <c r="B949" s="289" t="s">
        <v>127</v>
      </c>
      <c r="C949" s="285"/>
      <c r="D949" s="255" t="s">
        <v>3661</v>
      </c>
      <c r="E949" s="28"/>
      <c r="F949" s="255" t="s">
        <v>4270</v>
      </c>
      <c r="G949" s="285" t="s">
        <v>7605</v>
      </c>
      <c r="H949" s="285" t="s">
        <v>7606</v>
      </c>
      <c r="I949" s="285"/>
      <c r="J949" s="285" t="s">
        <v>1937</v>
      </c>
      <c r="K949" s="14" t="s">
        <v>7607</v>
      </c>
      <c r="L949" s="289" t="s">
        <v>7608</v>
      </c>
      <c r="M949" s="15">
        <v>42023</v>
      </c>
      <c r="N949" s="16">
        <v>1</v>
      </c>
      <c r="O949" s="17">
        <v>1</v>
      </c>
      <c r="P949" s="17">
        <v>1</v>
      </c>
      <c r="Q949" s="17">
        <f t="shared" si="22"/>
        <v>0</v>
      </c>
      <c r="R949" s="285" t="s">
        <v>412</v>
      </c>
      <c r="S949" s="14" t="s">
        <v>413</v>
      </c>
      <c r="T949" s="285">
        <v>798</v>
      </c>
    </row>
    <row r="950" spans="1:20" ht="82.5" customHeight="1" x14ac:dyDescent="0.2">
      <c r="A950" s="21">
        <v>963</v>
      </c>
      <c r="B950" s="289" t="s">
        <v>128</v>
      </c>
      <c r="C950" s="285"/>
      <c r="D950" s="255" t="s">
        <v>2103</v>
      </c>
      <c r="E950" s="28"/>
      <c r="F950" s="255" t="s">
        <v>2104</v>
      </c>
      <c r="G950" s="285" t="s">
        <v>7605</v>
      </c>
      <c r="H950" s="285" t="s">
        <v>7606</v>
      </c>
      <c r="I950" s="285"/>
      <c r="J950" s="285" t="s">
        <v>1937</v>
      </c>
      <c r="K950" s="14" t="s">
        <v>7607</v>
      </c>
      <c r="L950" s="289" t="s">
        <v>7608</v>
      </c>
      <c r="M950" s="15">
        <v>42023</v>
      </c>
      <c r="N950" s="16">
        <v>1</v>
      </c>
      <c r="O950" s="17">
        <v>1</v>
      </c>
      <c r="P950" s="17">
        <v>1</v>
      </c>
      <c r="Q950" s="17">
        <f t="shared" si="22"/>
        <v>0</v>
      </c>
      <c r="R950" s="285" t="s">
        <v>412</v>
      </c>
      <c r="S950" s="14" t="s">
        <v>413</v>
      </c>
      <c r="T950" s="285">
        <v>798</v>
      </c>
    </row>
    <row r="951" spans="1:20" ht="82.5" customHeight="1" x14ac:dyDescent="0.2">
      <c r="A951" s="21">
        <v>964</v>
      </c>
      <c r="B951" s="289" t="s">
        <v>129</v>
      </c>
      <c r="C951" s="285"/>
      <c r="D951" s="255" t="s">
        <v>5310</v>
      </c>
      <c r="E951" s="28"/>
      <c r="F951" s="255" t="s">
        <v>2965</v>
      </c>
      <c r="G951" s="285" t="s">
        <v>7605</v>
      </c>
      <c r="H951" s="285" t="s">
        <v>7606</v>
      </c>
      <c r="I951" s="285"/>
      <c r="J951" s="285" t="s">
        <v>1937</v>
      </c>
      <c r="K951" s="14" t="s">
        <v>7607</v>
      </c>
      <c r="L951" s="289" t="s">
        <v>7608</v>
      </c>
      <c r="M951" s="15">
        <v>42023</v>
      </c>
      <c r="N951" s="16">
        <v>1</v>
      </c>
      <c r="O951" s="17">
        <v>1</v>
      </c>
      <c r="P951" s="17">
        <v>1</v>
      </c>
      <c r="Q951" s="17">
        <f t="shared" si="22"/>
        <v>0</v>
      </c>
      <c r="R951" s="285" t="s">
        <v>412</v>
      </c>
      <c r="S951" s="14" t="s">
        <v>413</v>
      </c>
      <c r="T951" s="285">
        <v>798</v>
      </c>
    </row>
    <row r="952" spans="1:20" ht="75.75" customHeight="1" x14ac:dyDescent="0.2">
      <c r="A952" s="21">
        <v>965</v>
      </c>
      <c r="B952" s="289" t="s">
        <v>130</v>
      </c>
      <c r="C952" s="285"/>
      <c r="D952" s="255" t="s">
        <v>5954</v>
      </c>
      <c r="E952" s="28"/>
      <c r="F952" s="255" t="s">
        <v>5761</v>
      </c>
      <c r="G952" s="285" t="s">
        <v>7605</v>
      </c>
      <c r="H952" s="285" t="s">
        <v>7606</v>
      </c>
      <c r="I952" s="285"/>
      <c r="J952" s="285" t="s">
        <v>1937</v>
      </c>
      <c r="K952" s="14" t="s">
        <v>7607</v>
      </c>
      <c r="L952" s="289" t="s">
        <v>7608</v>
      </c>
      <c r="M952" s="15">
        <v>42023</v>
      </c>
      <c r="N952" s="16">
        <v>1</v>
      </c>
      <c r="O952" s="17">
        <v>1</v>
      </c>
      <c r="P952" s="17">
        <v>1</v>
      </c>
      <c r="Q952" s="17">
        <f t="shared" si="22"/>
        <v>0</v>
      </c>
      <c r="R952" s="285" t="s">
        <v>412</v>
      </c>
      <c r="S952" s="14" t="s">
        <v>413</v>
      </c>
      <c r="T952" s="285">
        <v>798</v>
      </c>
    </row>
    <row r="953" spans="1:20" ht="75.75" customHeight="1" x14ac:dyDescent="0.2">
      <c r="A953" s="21">
        <v>966</v>
      </c>
      <c r="B953" s="289" t="s">
        <v>131</v>
      </c>
      <c r="C953" s="285"/>
      <c r="D953" s="255" t="s">
        <v>5762</v>
      </c>
      <c r="E953" s="28"/>
      <c r="F953" s="255" t="s">
        <v>5763</v>
      </c>
      <c r="G953" s="285" t="s">
        <v>7605</v>
      </c>
      <c r="H953" s="285" t="s">
        <v>7606</v>
      </c>
      <c r="I953" s="285"/>
      <c r="J953" s="285" t="s">
        <v>1937</v>
      </c>
      <c r="K953" s="14" t="s">
        <v>9898</v>
      </c>
      <c r="L953" s="289" t="s">
        <v>9895</v>
      </c>
      <c r="M953" s="15">
        <v>42023</v>
      </c>
      <c r="N953" s="16">
        <v>2</v>
      </c>
      <c r="O953" s="17">
        <v>2</v>
      </c>
      <c r="P953" s="17">
        <v>2</v>
      </c>
      <c r="Q953" s="17">
        <f t="shared" si="22"/>
        <v>0</v>
      </c>
      <c r="R953" s="285" t="s">
        <v>412</v>
      </c>
      <c r="S953" s="14" t="s">
        <v>413</v>
      </c>
      <c r="T953" s="285">
        <v>798</v>
      </c>
    </row>
    <row r="954" spans="1:20" ht="75.75" customHeight="1" x14ac:dyDescent="0.2">
      <c r="A954" s="21">
        <v>967</v>
      </c>
      <c r="B954" s="289" t="s">
        <v>132</v>
      </c>
      <c r="C954" s="285"/>
      <c r="D954" s="255" t="s">
        <v>5764</v>
      </c>
      <c r="E954" s="28"/>
      <c r="F954" s="255" t="s">
        <v>5765</v>
      </c>
      <c r="G954" s="285" t="s">
        <v>7605</v>
      </c>
      <c r="H954" s="285" t="s">
        <v>7606</v>
      </c>
      <c r="I954" s="285"/>
      <c r="J954" s="285" t="s">
        <v>1937</v>
      </c>
      <c r="K954" s="14" t="s">
        <v>9898</v>
      </c>
      <c r="L954" s="289" t="s">
        <v>9895</v>
      </c>
      <c r="M954" s="15">
        <v>42023</v>
      </c>
      <c r="N954" s="16">
        <v>2</v>
      </c>
      <c r="O954" s="17">
        <v>2</v>
      </c>
      <c r="P954" s="17">
        <v>2</v>
      </c>
      <c r="Q954" s="17">
        <f t="shared" si="22"/>
        <v>0</v>
      </c>
      <c r="R954" s="285" t="s">
        <v>412</v>
      </c>
      <c r="S954" s="14" t="s">
        <v>413</v>
      </c>
      <c r="T954" s="285">
        <v>798</v>
      </c>
    </row>
    <row r="955" spans="1:20" ht="75.75" customHeight="1" x14ac:dyDescent="0.2">
      <c r="A955" s="21">
        <v>968</v>
      </c>
      <c r="B955" s="289" t="s">
        <v>133</v>
      </c>
      <c r="C955" s="285"/>
      <c r="D955" s="255" t="s">
        <v>3943</v>
      </c>
      <c r="E955" s="28"/>
      <c r="F955" s="255" t="s">
        <v>3944</v>
      </c>
      <c r="G955" s="285" t="s">
        <v>7605</v>
      </c>
      <c r="H955" s="285" t="s">
        <v>7606</v>
      </c>
      <c r="I955" s="289"/>
      <c r="J955" s="285" t="s">
        <v>7610</v>
      </c>
      <c r="K955" s="14" t="s">
        <v>9894</v>
      </c>
      <c r="L955" s="289" t="s">
        <v>9895</v>
      </c>
      <c r="M955" s="15">
        <v>42023</v>
      </c>
      <c r="N955" s="16">
        <v>1</v>
      </c>
      <c r="O955" s="17">
        <v>1</v>
      </c>
      <c r="P955" s="17">
        <v>1</v>
      </c>
      <c r="Q955" s="17">
        <f t="shared" si="22"/>
        <v>0</v>
      </c>
      <c r="R955" s="285" t="s">
        <v>412</v>
      </c>
      <c r="S955" s="14" t="s">
        <v>413</v>
      </c>
      <c r="T955" s="285">
        <v>798</v>
      </c>
    </row>
    <row r="956" spans="1:20" ht="75.75" customHeight="1" x14ac:dyDescent="0.2">
      <c r="A956" s="21">
        <v>969</v>
      </c>
      <c r="B956" s="289" t="s">
        <v>134</v>
      </c>
      <c r="C956" s="285"/>
      <c r="D956" s="255" t="s">
        <v>3945</v>
      </c>
      <c r="E956" s="28"/>
      <c r="F956" s="255" t="s">
        <v>1304</v>
      </c>
      <c r="G956" s="285" t="s">
        <v>7605</v>
      </c>
      <c r="H956" s="285" t="s">
        <v>7606</v>
      </c>
      <c r="I956" s="285"/>
      <c r="J956" s="285" t="s">
        <v>7610</v>
      </c>
      <c r="K956" s="14" t="s">
        <v>7607</v>
      </c>
      <c r="L956" s="289" t="s">
        <v>7608</v>
      </c>
      <c r="M956" s="15">
        <v>42023</v>
      </c>
      <c r="N956" s="16">
        <v>1</v>
      </c>
      <c r="O956" s="17">
        <v>1</v>
      </c>
      <c r="P956" s="17">
        <v>1</v>
      </c>
      <c r="Q956" s="17">
        <f t="shared" si="22"/>
        <v>0</v>
      </c>
      <c r="R956" s="285" t="s">
        <v>412</v>
      </c>
      <c r="S956" s="14" t="s">
        <v>413</v>
      </c>
      <c r="T956" s="285">
        <v>798</v>
      </c>
    </row>
    <row r="957" spans="1:20" ht="75.75" customHeight="1" x14ac:dyDescent="0.2">
      <c r="A957" s="21">
        <v>970</v>
      </c>
      <c r="B957" s="289" t="s">
        <v>135</v>
      </c>
      <c r="C957" s="285"/>
      <c r="D957" s="255" t="s">
        <v>1305</v>
      </c>
      <c r="E957" s="28"/>
      <c r="F957" s="255" t="s">
        <v>1306</v>
      </c>
      <c r="G957" s="285" t="s">
        <v>7605</v>
      </c>
      <c r="H957" s="285" t="s">
        <v>7606</v>
      </c>
      <c r="I957" s="285"/>
      <c r="J957" s="285" t="s">
        <v>1937</v>
      </c>
      <c r="K957" s="14" t="s">
        <v>7607</v>
      </c>
      <c r="L957" s="289" t="s">
        <v>7608</v>
      </c>
      <c r="M957" s="15">
        <v>42023</v>
      </c>
      <c r="N957" s="16">
        <v>1</v>
      </c>
      <c r="O957" s="17">
        <v>1</v>
      </c>
      <c r="P957" s="17">
        <v>1</v>
      </c>
      <c r="Q957" s="17">
        <f t="shared" si="22"/>
        <v>0</v>
      </c>
      <c r="R957" s="285" t="s">
        <v>412</v>
      </c>
      <c r="S957" s="14" t="s">
        <v>413</v>
      </c>
      <c r="T957" s="285">
        <v>798</v>
      </c>
    </row>
    <row r="958" spans="1:20" ht="77.25" customHeight="1" x14ac:dyDescent="0.2">
      <c r="A958" s="21">
        <v>971</v>
      </c>
      <c r="B958" s="289" t="s">
        <v>136</v>
      </c>
      <c r="C958" s="285"/>
      <c r="D958" s="255" t="s">
        <v>1307</v>
      </c>
      <c r="E958" s="28"/>
      <c r="F958" s="255" t="s">
        <v>2179</v>
      </c>
      <c r="G958" s="285" t="s">
        <v>7605</v>
      </c>
      <c r="H958" s="285" t="s">
        <v>7606</v>
      </c>
      <c r="I958" s="285"/>
      <c r="J958" s="285" t="s">
        <v>1937</v>
      </c>
      <c r="K958" s="14" t="s">
        <v>7607</v>
      </c>
      <c r="L958" s="289" t="s">
        <v>7608</v>
      </c>
      <c r="M958" s="15">
        <v>42023</v>
      </c>
      <c r="N958" s="16">
        <v>1</v>
      </c>
      <c r="O958" s="17">
        <v>1</v>
      </c>
      <c r="P958" s="17">
        <v>1</v>
      </c>
      <c r="Q958" s="17">
        <f t="shared" si="22"/>
        <v>0</v>
      </c>
      <c r="R958" s="285" t="s">
        <v>412</v>
      </c>
      <c r="S958" s="14" t="s">
        <v>413</v>
      </c>
      <c r="T958" s="285">
        <v>798</v>
      </c>
    </row>
    <row r="959" spans="1:20" ht="75.75" customHeight="1" x14ac:dyDescent="0.2">
      <c r="A959" s="21">
        <v>972</v>
      </c>
      <c r="B959" s="289" t="s">
        <v>137</v>
      </c>
      <c r="C959" s="285"/>
      <c r="D959" s="255" t="s">
        <v>3292</v>
      </c>
      <c r="E959" s="28"/>
      <c r="F959" s="255" t="s">
        <v>3293</v>
      </c>
      <c r="G959" s="285" t="s">
        <v>7605</v>
      </c>
      <c r="H959" s="285" t="s">
        <v>7606</v>
      </c>
      <c r="I959" s="285"/>
      <c r="J959" s="285" t="s">
        <v>1937</v>
      </c>
      <c r="K959" s="14" t="s">
        <v>7607</v>
      </c>
      <c r="L959" s="289" t="s">
        <v>7608</v>
      </c>
      <c r="M959" s="15">
        <v>42023</v>
      </c>
      <c r="N959" s="16">
        <v>1</v>
      </c>
      <c r="O959" s="17">
        <v>1</v>
      </c>
      <c r="P959" s="17">
        <v>1</v>
      </c>
      <c r="Q959" s="17">
        <f t="shared" si="22"/>
        <v>0</v>
      </c>
      <c r="R959" s="285" t="s">
        <v>412</v>
      </c>
      <c r="S959" s="14" t="s">
        <v>413</v>
      </c>
      <c r="T959" s="285">
        <v>798</v>
      </c>
    </row>
    <row r="960" spans="1:20" ht="72" customHeight="1" x14ac:dyDescent="0.2">
      <c r="A960" s="21">
        <v>973</v>
      </c>
      <c r="B960" s="289" t="s">
        <v>138</v>
      </c>
      <c r="C960" s="285"/>
      <c r="D960" s="255" t="s">
        <v>4000</v>
      </c>
      <c r="E960" s="28"/>
      <c r="F960" s="255" t="s">
        <v>4001</v>
      </c>
      <c r="G960" s="285" t="s">
        <v>7605</v>
      </c>
      <c r="H960" s="285" t="s">
        <v>7606</v>
      </c>
      <c r="I960" s="285"/>
      <c r="J960" s="285" t="s">
        <v>1937</v>
      </c>
      <c r="K960" s="14" t="s">
        <v>7607</v>
      </c>
      <c r="L960" s="289" t="s">
        <v>7608</v>
      </c>
      <c r="M960" s="15">
        <v>42023</v>
      </c>
      <c r="N960" s="16">
        <v>1</v>
      </c>
      <c r="O960" s="17">
        <v>1</v>
      </c>
      <c r="P960" s="17">
        <v>1</v>
      </c>
      <c r="Q960" s="17">
        <f t="shared" si="22"/>
        <v>0</v>
      </c>
      <c r="R960" s="285" t="s">
        <v>412</v>
      </c>
      <c r="S960" s="14" t="s">
        <v>413</v>
      </c>
      <c r="T960" s="285">
        <v>798</v>
      </c>
    </row>
    <row r="961" spans="1:20" ht="78" customHeight="1" x14ac:dyDescent="0.2">
      <c r="A961" s="21">
        <v>974</v>
      </c>
      <c r="B961" s="289" t="s">
        <v>139</v>
      </c>
      <c r="C961" s="285"/>
      <c r="D961" s="255" t="s">
        <v>4002</v>
      </c>
      <c r="E961" s="28"/>
      <c r="F961" s="255" t="s">
        <v>4115</v>
      </c>
      <c r="G961" s="285" t="s">
        <v>7605</v>
      </c>
      <c r="H961" s="285" t="s">
        <v>7606</v>
      </c>
      <c r="I961" s="285"/>
      <c r="J961" s="285" t="s">
        <v>1937</v>
      </c>
      <c r="K961" s="14" t="s">
        <v>7607</v>
      </c>
      <c r="L961" s="289" t="s">
        <v>7608</v>
      </c>
      <c r="M961" s="15">
        <v>42023</v>
      </c>
      <c r="N961" s="16">
        <v>1</v>
      </c>
      <c r="O961" s="17">
        <v>1</v>
      </c>
      <c r="P961" s="17">
        <v>1</v>
      </c>
      <c r="Q961" s="17">
        <f t="shared" si="22"/>
        <v>0</v>
      </c>
      <c r="R961" s="285" t="s">
        <v>412</v>
      </c>
      <c r="S961" s="14" t="s">
        <v>413</v>
      </c>
      <c r="T961" s="285">
        <v>798</v>
      </c>
    </row>
    <row r="962" spans="1:20" ht="78" customHeight="1" x14ac:dyDescent="0.2">
      <c r="A962" s="21">
        <v>975</v>
      </c>
      <c r="B962" s="289" t="s">
        <v>140</v>
      </c>
      <c r="C962" s="285"/>
      <c r="D962" s="255" t="s">
        <v>4116</v>
      </c>
      <c r="E962" s="18"/>
      <c r="F962" s="255" t="s">
        <v>4117</v>
      </c>
      <c r="G962" s="285" t="s">
        <v>7605</v>
      </c>
      <c r="H962" s="285" t="s">
        <v>7606</v>
      </c>
      <c r="I962" s="285"/>
      <c r="J962" s="285" t="s">
        <v>1937</v>
      </c>
      <c r="K962" s="14" t="s">
        <v>7607</v>
      </c>
      <c r="L962" s="289" t="s">
        <v>7608</v>
      </c>
      <c r="M962" s="15">
        <v>42023</v>
      </c>
      <c r="N962" s="16">
        <v>1</v>
      </c>
      <c r="O962" s="17">
        <v>1</v>
      </c>
      <c r="P962" s="17">
        <v>1</v>
      </c>
      <c r="Q962" s="17">
        <f t="shared" si="22"/>
        <v>0</v>
      </c>
      <c r="R962" s="285" t="s">
        <v>412</v>
      </c>
      <c r="S962" s="14" t="s">
        <v>413</v>
      </c>
      <c r="T962" s="285">
        <v>798</v>
      </c>
    </row>
    <row r="963" spans="1:20" ht="78" customHeight="1" x14ac:dyDescent="0.2">
      <c r="A963" s="21">
        <v>976</v>
      </c>
      <c r="B963" s="289" t="s">
        <v>141</v>
      </c>
      <c r="C963" s="285"/>
      <c r="D963" s="255" t="s">
        <v>7609</v>
      </c>
      <c r="E963" s="18"/>
      <c r="F963" s="255" t="s">
        <v>3757</v>
      </c>
      <c r="G963" s="285" t="s">
        <v>7605</v>
      </c>
      <c r="H963" s="285" t="s">
        <v>7606</v>
      </c>
      <c r="I963" s="285"/>
      <c r="J963" s="285" t="s">
        <v>1937</v>
      </c>
      <c r="K963" s="14" t="s">
        <v>7607</v>
      </c>
      <c r="L963" s="289" t="s">
        <v>7608</v>
      </c>
      <c r="M963" s="15">
        <v>42023</v>
      </c>
      <c r="N963" s="16">
        <v>1</v>
      </c>
      <c r="O963" s="17">
        <v>1</v>
      </c>
      <c r="P963" s="17">
        <v>1</v>
      </c>
      <c r="Q963" s="17">
        <f t="shared" si="22"/>
        <v>0</v>
      </c>
      <c r="R963" s="285" t="s">
        <v>412</v>
      </c>
      <c r="S963" s="14" t="s">
        <v>413</v>
      </c>
      <c r="T963" s="285">
        <v>798</v>
      </c>
    </row>
    <row r="964" spans="1:20" ht="78" customHeight="1" x14ac:dyDescent="0.2">
      <c r="A964" s="21">
        <v>977</v>
      </c>
      <c r="B964" s="289" t="s">
        <v>142</v>
      </c>
      <c r="C964" s="285"/>
      <c r="D964" s="255" t="s">
        <v>1042</v>
      </c>
      <c r="E964" s="18"/>
      <c r="F964" s="255" t="s">
        <v>1043</v>
      </c>
      <c r="G964" s="285" t="s">
        <v>7605</v>
      </c>
      <c r="H964" s="285" t="s">
        <v>7606</v>
      </c>
      <c r="I964" s="285"/>
      <c r="J964" s="285" t="s">
        <v>1937</v>
      </c>
      <c r="K964" s="14" t="s">
        <v>7607</v>
      </c>
      <c r="L964" s="289" t="s">
        <v>7608</v>
      </c>
      <c r="M964" s="15">
        <v>42023</v>
      </c>
      <c r="N964" s="16">
        <v>1</v>
      </c>
      <c r="O964" s="17">
        <v>1</v>
      </c>
      <c r="P964" s="17">
        <v>1</v>
      </c>
      <c r="Q964" s="17">
        <f t="shared" si="22"/>
        <v>0</v>
      </c>
      <c r="R964" s="285" t="s">
        <v>412</v>
      </c>
      <c r="S964" s="14" t="s">
        <v>413</v>
      </c>
      <c r="T964" s="285">
        <v>798</v>
      </c>
    </row>
    <row r="965" spans="1:20" ht="78" customHeight="1" x14ac:dyDescent="0.2">
      <c r="A965" s="21">
        <v>978</v>
      </c>
      <c r="B965" s="289" t="s">
        <v>143</v>
      </c>
      <c r="C965" s="285"/>
      <c r="D965" s="255" t="s">
        <v>1044</v>
      </c>
      <c r="E965" s="18"/>
      <c r="F965" s="255" t="s">
        <v>5311</v>
      </c>
      <c r="G965" s="285" t="s">
        <v>7605</v>
      </c>
      <c r="H965" s="285" t="s">
        <v>7606</v>
      </c>
      <c r="I965" s="285"/>
      <c r="J965" s="285" t="s">
        <v>1937</v>
      </c>
      <c r="K965" s="14" t="s">
        <v>7607</v>
      </c>
      <c r="L965" s="289" t="s">
        <v>7608</v>
      </c>
      <c r="M965" s="15">
        <v>42023</v>
      </c>
      <c r="N965" s="16">
        <v>1</v>
      </c>
      <c r="O965" s="17">
        <v>1</v>
      </c>
      <c r="P965" s="17">
        <v>1</v>
      </c>
      <c r="Q965" s="17">
        <f t="shared" si="22"/>
        <v>0</v>
      </c>
      <c r="R965" s="285" t="s">
        <v>412</v>
      </c>
      <c r="S965" s="14" t="s">
        <v>413</v>
      </c>
      <c r="T965" s="285">
        <v>798</v>
      </c>
    </row>
    <row r="966" spans="1:20" ht="84.75" customHeight="1" x14ac:dyDescent="0.2">
      <c r="A966" s="21">
        <v>979</v>
      </c>
      <c r="B966" s="289" t="s">
        <v>144</v>
      </c>
      <c r="C966" s="285"/>
      <c r="D966" s="255" t="s">
        <v>1045</v>
      </c>
      <c r="E966" s="18"/>
      <c r="F966" s="255" t="s">
        <v>78</v>
      </c>
      <c r="G966" s="285" t="s">
        <v>7605</v>
      </c>
      <c r="H966" s="285" t="s">
        <v>7606</v>
      </c>
      <c r="I966" s="285"/>
      <c r="J966" s="285" t="s">
        <v>1937</v>
      </c>
      <c r="K966" s="14" t="s">
        <v>7607</v>
      </c>
      <c r="L966" s="289" t="s">
        <v>7608</v>
      </c>
      <c r="M966" s="15">
        <v>42023</v>
      </c>
      <c r="N966" s="16">
        <v>1</v>
      </c>
      <c r="O966" s="17">
        <v>1</v>
      </c>
      <c r="P966" s="17">
        <v>1</v>
      </c>
      <c r="Q966" s="17">
        <f t="shared" si="22"/>
        <v>0</v>
      </c>
      <c r="R966" s="285" t="s">
        <v>412</v>
      </c>
      <c r="S966" s="14" t="s">
        <v>413</v>
      </c>
      <c r="T966" s="285">
        <v>798</v>
      </c>
    </row>
    <row r="967" spans="1:20" ht="84.75" customHeight="1" x14ac:dyDescent="0.2">
      <c r="A967" s="21">
        <v>980</v>
      </c>
      <c r="B967" s="289" t="s">
        <v>145</v>
      </c>
      <c r="C967" s="285"/>
      <c r="D967" s="255" t="s">
        <v>1354</v>
      </c>
      <c r="E967" s="18"/>
      <c r="F967" s="255" t="s">
        <v>1355</v>
      </c>
      <c r="G967" s="285" t="s">
        <v>7605</v>
      </c>
      <c r="H967" s="285" t="s">
        <v>7606</v>
      </c>
      <c r="I967" s="285"/>
      <c r="J967" s="285" t="s">
        <v>1937</v>
      </c>
      <c r="K967" s="14" t="s">
        <v>7607</v>
      </c>
      <c r="L967" s="289" t="s">
        <v>7608</v>
      </c>
      <c r="M967" s="15">
        <v>42023</v>
      </c>
      <c r="N967" s="16">
        <v>2</v>
      </c>
      <c r="O967" s="17">
        <v>2</v>
      </c>
      <c r="P967" s="17">
        <v>2</v>
      </c>
      <c r="Q967" s="17">
        <f t="shared" si="22"/>
        <v>0</v>
      </c>
      <c r="R967" s="285" t="s">
        <v>412</v>
      </c>
      <c r="S967" s="14" t="s">
        <v>413</v>
      </c>
      <c r="T967" s="285">
        <v>798</v>
      </c>
    </row>
    <row r="968" spans="1:20" ht="84.75" customHeight="1" x14ac:dyDescent="0.2">
      <c r="A968" s="21">
        <v>981</v>
      </c>
      <c r="B968" s="289" t="s">
        <v>146</v>
      </c>
      <c r="C968" s="285"/>
      <c r="D968" s="255" t="s">
        <v>337</v>
      </c>
      <c r="E968" s="18"/>
      <c r="F968" s="255" t="s">
        <v>5041</v>
      </c>
      <c r="G968" s="285" t="s">
        <v>7605</v>
      </c>
      <c r="H968" s="285" t="s">
        <v>7606</v>
      </c>
      <c r="I968" s="285"/>
      <c r="J968" s="285" t="s">
        <v>1937</v>
      </c>
      <c r="K968" s="14" t="s">
        <v>7607</v>
      </c>
      <c r="L968" s="289" t="s">
        <v>7608</v>
      </c>
      <c r="M968" s="15">
        <v>42023</v>
      </c>
      <c r="N968" s="16">
        <v>1</v>
      </c>
      <c r="O968" s="17">
        <v>1</v>
      </c>
      <c r="P968" s="17">
        <v>1</v>
      </c>
      <c r="Q968" s="17">
        <f t="shared" si="22"/>
        <v>0</v>
      </c>
      <c r="R968" s="285" t="s">
        <v>412</v>
      </c>
      <c r="S968" s="14" t="s">
        <v>413</v>
      </c>
      <c r="T968" s="285">
        <v>798</v>
      </c>
    </row>
    <row r="969" spans="1:20" ht="84.75" customHeight="1" x14ac:dyDescent="0.2">
      <c r="A969" s="21">
        <v>982</v>
      </c>
      <c r="B969" s="289" t="s">
        <v>147</v>
      </c>
      <c r="C969" s="285"/>
      <c r="D969" s="255" t="s">
        <v>1356</v>
      </c>
      <c r="E969" s="18"/>
      <c r="F969" s="255" t="s">
        <v>2874</v>
      </c>
      <c r="G969" s="285" t="s">
        <v>7605</v>
      </c>
      <c r="H969" s="285" t="s">
        <v>7606</v>
      </c>
      <c r="I969" s="285"/>
      <c r="J969" s="285" t="s">
        <v>1937</v>
      </c>
      <c r="K969" s="14" t="s">
        <v>7607</v>
      </c>
      <c r="L969" s="289" t="s">
        <v>7608</v>
      </c>
      <c r="M969" s="15">
        <v>42023</v>
      </c>
      <c r="N969" s="16">
        <v>1</v>
      </c>
      <c r="O969" s="17">
        <v>1</v>
      </c>
      <c r="P969" s="17">
        <v>1</v>
      </c>
      <c r="Q969" s="17">
        <f t="shared" si="22"/>
        <v>0</v>
      </c>
      <c r="R969" s="285" t="s">
        <v>412</v>
      </c>
      <c r="S969" s="14" t="s">
        <v>413</v>
      </c>
      <c r="T969" s="285">
        <v>798</v>
      </c>
    </row>
    <row r="970" spans="1:20" ht="86.25" customHeight="1" x14ac:dyDescent="0.2">
      <c r="A970" s="21">
        <v>983</v>
      </c>
      <c r="B970" s="289" t="s">
        <v>148</v>
      </c>
      <c r="C970" s="285"/>
      <c r="D970" s="255" t="s">
        <v>5373</v>
      </c>
      <c r="E970" s="18"/>
      <c r="F970" s="255" t="s">
        <v>5042</v>
      </c>
      <c r="G970" s="285" t="s">
        <v>7605</v>
      </c>
      <c r="H970" s="285" t="s">
        <v>7606</v>
      </c>
      <c r="I970" s="285"/>
      <c r="J970" s="285" t="s">
        <v>1937</v>
      </c>
      <c r="K970" s="14" t="s">
        <v>7607</v>
      </c>
      <c r="L970" s="289" t="s">
        <v>7608</v>
      </c>
      <c r="M970" s="15">
        <v>42023</v>
      </c>
      <c r="N970" s="16">
        <v>1</v>
      </c>
      <c r="O970" s="17">
        <v>1</v>
      </c>
      <c r="P970" s="17">
        <v>1</v>
      </c>
      <c r="Q970" s="17">
        <f t="shared" si="22"/>
        <v>0</v>
      </c>
      <c r="R970" s="285" t="s">
        <v>412</v>
      </c>
      <c r="S970" s="14" t="s">
        <v>413</v>
      </c>
      <c r="T970" s="285">
        <v>798</v>
      </c>
    </row>
    <row r="971" spans="1:20" ht="86.25" customHeight="1" x14ac:dyDescent="0.2">
      <c r="A971" s="21">
        <v>984</v>
      </c>
      <c r="B971" s="289" t="s">
        <v>149</v>
      </c>
      <c r="C971" s="285"/>
      <c r="D971" s="255" t="s">
        <v>5219</v>
      </c>
      <c r="E971" s="18"/>
      <c r="F971" s="255" t="s">
        <v>5288</v>
      </c>
      <c r="G971" s="285" t="s">
        <v>7605</v>
      </c>
      <c r="H971" s="285" t="s">
        <v>7606</v>
      </c>
      <c r="I971" s="285"/>
      <c r="J971" s="285" t="s">
        <v>1937</v>
      </c>
      <c r="K971" s="14" t="s">
        <v>7607</v>
      </c>
      <c r="L971" s="289" t="s">
        <v>7608</v>
      </c>
      <c r="M971" s="15">
        <v>42023</v>
      </c>
      <c r="N971" s="16">
        <v>1</v>
      </c>
      <c r="O971" s="17">
        <v>1</v>
      </c>
      <c r="P971" s="17">
        <v>1</v>
      </c>
      <c r="Q971" s="17">
        <f t="shared" si="22"/>
        <v>0</v>
      </c>
      <c r="R971" s="285" t="s">
        <v>412</v>
      </c>
      <c r="S971" s="14" t="s">
        <v>413</v>
      </c>
      <c r="T971" s="285">
        <v>798</v>
      </c>
    </row>
    <row r="972" spans="1:20" ht="86.25" customHeight="1" x14ac:dyDescent="0.2">
      <c r="A972" s="21">
        <v>985</v>
      </c>
      <c r="B972" s="289" t="s">
        <v>150</v>
      </c>
      <c r="C972" s="285"/>
      <c r="D972" s="255" t="s">
        <v>1964</v>
      </c>
      <c r="E972" s="18"/>
      <c r="F972" s="255" t="s">
        <v>5043</v>
      </c>
      <c r="G972" s="285" t="s">
        <v>7605</v>
      </c>
      <c r="H972" s="285" t="s">
        <v>7606</v>
      </c>
      <c r="I972" s="285"/>
      <c r="J972" s="285" t="s">
        <v>1937</v>
      </c>
      <c r="K972" s="14" t="s">
        <v>7607</v>
      </c>
      <c r="L972" s="289" t="s">
        <v>7608</v>
      </c>
      <c r="M972" s="15">
        <v>42023</v>
      </c>
      <c r="N972" s="16">
        <v>1</v>
      </c>
      <c r="O972" s="17">
        <v>1</v>
      </c>
      <c r="P972" s="17">
        <v>1</v>
      </c>
      <c r="Q972" s="17">
        <f t="shared" si="22"/>
        <v>0</v>
      </c>
      <c r="R972" s="285" t="s">
        <v>412</v>
      </c>
      <c r="S972" s="14" t="s">
        <v>413</v>
      </c>
      <c r="T972" s="285">
        <v>798</v>
      </c>
    </row>
    <row r="973" spans="1:20" ht="86.25" customHeight="1" x14ac:dyDescent="0.2">
      <c r="A973" s="21">
        <v>986</v>
      </c>
      <c r="B973" s="289" t="s">
        <v>151</v>
      </c>
      <c r="C973" s="285"/>
      <c r="D973" s="255" t="s">
        <v>5425</v>
      </c>
      <c r="E973" s="18"/>
      <c r="F973" s="255" t="s">
        <v>1698</v>
      </c>
      <c r="G973" s="285" t="s">
        <v>7605</v>
      </c>
      <c r="H973" s="285" t="s">
        <v>7606</v>
      </c>
      <c r="I973" s="285"/>
      <c r="J973" s="285" t="s">
        <v>1937</v>
      </c>
      <c r="K973" s="14" t="s">
        <v>7607</v>
      </c>
      <c r="L973" s="289" t="s">
        <v>7608</v>
      </c>
      <c r="M973" s="15">
        <v>42023</v>
      </c>
      <c r="N973" s="16">
        <v>1</v>
      </c>
      <c r="O973" s="17">
        <v>1</v>
      </c>
      <c r="P973" s="17">
        <v>1</v>
      </c>
      <c r="Q973" s="17">
        <f t="shared" si="22"/>
        <v>0</v>
      </c>
      <c r="R973" s="285" t="s">
        <v>412</v>
      </c>
      <c r="S973" s="14" t="s">
        <v>413</v>
      </c>
      <c r="T973" s="285">
        <v>798</v>
      </c>
    </row>
    <row r="974" spans="1:20" ht="86.25" customHeight="1" x14ac:dyDescent="0.2">
      <c r="A974" s="21">
        <v>987</v>
      </c>
      <c r="B974" s="289" t="s">
        <v>152</v>
      </c>
      <c r="C974" s="285"/>
      <c r="D974" s="255" t="s">
        <v>3177</v>
      </c>
      <c r="E974" s="18"/>
      <c r="F974" s="255" t="s">
        <v>2783</v>
      </c>
      <c r="G974" s="285" t="s">
        <v>7605</v>
      </c>
      <c r="H974" s="285" t="s">
        <v>7606</v>
      </c>
      <c r="I974" s="285"/>
      <c r="J974" s="285" t="s">
        <v>1937</v>
      </c>
      <c r="K974" s="14" t="s">
        <v>7607</v>
      </c>
      <c r="L974" s="289" t="s">
        <v>7608</v>
      </c>
      <c r="M974" s="15">
        <v>42023</v>
      </c>
      <c r="N974" s="16">
        <v>1</v>
      </c>
      <c r="O974" s="17">
        <v>1</v>
      </c>
      <c r="P974" s="17">
        <v>1</v>
      </c>
      <c r="Q974" s="17">
        <f t="shared" si="22"/>
        <v>0</v>
      </c>
      <c r="R974" s="285" t="s">
        <v>412</v>
      </c>
      <c r="S974" s="14" t="s">
        <v>413</v>
      </c>
      <c r="T974" s="285">
        <v>798</v>
      </c>
    </row>
    <row r="975" spans="1:20" ht="78.75" customHeight="1" x14ac:dyDescent="0.2">
      <c r="A975" s="21">
        <v>988</v>
      </c>
      <c r="B975" s="289" t="s">
        <v>153</v>
      </c>
      <c r="C975" s="285"/>
      <c r="D975" s="255" t="s">
        <v>2784</v>
      </c>
      <c r="E975" s="18"/>
      <c r="F975" s="255" t="s">
        <v>2785</v>
      </c>
      <c r="G975" s="285" t="s">
        <v>7605</v>
      </c>
      <c r="H975" s="285" t="s">
        <v>7606</v>
      </c>
      <c r="I975" s="285"/>
      <c r="J975" s="285" t="s">
        <v>1937</v>
      </c>
      <c r="K975" s="14" t="s">
        <v>7607</v>
      </c>
      <c r="L975" s="289" t="s">
        <v>7608</v>
      </c>
      <c r="M975" s="15">
        <v>42023</v>
      </c>
      <c r="N975" s="16">
        <v>1</v>
      </c>
      <c r="O975" s="17">
        <v>1</v>
      </c>
      <c r="P975" s="17">
        <v>1</v>
      </c>
      <c r="Q975" s="17">
        <f t="shared" si="22"/>
        <v>0</v>
      </c>
      <c r="R975" s="285" t="s">
        <v>412</v>
      </c>
      <c r="S975" s="14" t="s">
        <v>413</v>
      </c>
      <c r="T975" s="285">
        <v>798</v>
      </c>
    </row>
    <row r="976" spans="1:20" ht="78.75" customHeight="1" x14ac:dyDescent="0.2">
      <c r="A976" s="21">
        <v>989</v>
      </c>
      <c r="B976" s="289" t="s">
        <v>154</v>
      </c>
      <c r="C976" s="285"/>
      <c r="D976" s="255" t="s">
        <v>4066</v>
      </c>
      <c r="E976" s="18"/>
      <c r="F976" s="255" t="s">
        <v>4936</v>
      </c>
      <c r="G976" s="285" t="s">
        <v>7605</v>
      </c>
      <c r="H976" s="285" t="s">
        <v>7606</v>
      </c>
      <c r="I976" s="285"/>
      <c r="J976" s="285" t="s">
        <v>1937</v>
      </c>
      <c r="K976" s="14" t="s">
        <v>7607</v>
      </c>
      <c r="L976" s="289" t="s">
        <v>7608</v>
      </c>
      <c r="M976" s="15">
        <v>42023</v>
      </c>
      <c r="N976" s="16">
        <v>1</v>
      </c>
      <c r="O976" s="17">
        <v>1</v>
      </c>
      <c r="P976" s="17">
        <v>1</v>
      </c>
      <c r="Q976" s="17">
        <f t="shared" si="22"/>
        <v>0</v>
      </c>
      <c r="R976" s="285" t="s">
        <v>412</v>
      </c>
      <c r="S976" s="14" t="s">
        <v>413</v>
      </c>
      <c r="T976" s="285">
        <v>798</v>
      </c>
    </row>
    <row r="977" spans="1:20" ht="78.75" customHeight="1" x14ac:dyDescent="0.2">
      <c r="A977" s="21">
        <v>990</v>
      </c>
      <c r="B977" s="289" t="s">
        <v>155</v>
      </c>
      <c r="C977" s="285"/>
      <c r="D977" s="255" t="s">
        <v>2242</v>
      </c>
      <c r="E977" s="18"/>
      <c r="F977" s="255" t="s">
        <v>2243</v>
      </c>
      <c r="G977" s="285" t="s">
        <v>7605</v>
      </c>
      <c r="H977" s="285" t="s">
        <v>7606</v>
      </c>
      <c r="I977" s="285"/>
      <c r="J977" s="285" t="s">
        <v>1937</v>
      </c>
      <c r="K977" s="14" t="s">
        <v>7607</v>
      </c>
      <c r="L977" s="289" t="s">
        <v>7608</v>
      </c>
      <c r="M977" s="15">
        <v>42023</v>
      </c>
      <c r="N977" s="16">
        <v>2</v>
      </c>
      <c r="O977" s="17">
        <v>2</v>
      </c>
      <c r="P977" s="17">
        <v>2</v>
      </c>
      <c r="Q977" s="17">
        <f t="shared" si="22"/>
        <v>0</v>
      </c>
      <c r="R977" s="285" t="s">
        <v>412</v>
      </c>
      <c r="S977" s="14" t="s">
        <v>413</v>
      </c>
      <c r="T977" s="285">
        <v>798</v>
      </c>
    </row>
    <row r="978" spans="1:20" ht="78.75" customHeight="1" x14ac:dyDescent="0.2">
      <c r="A978" s="21">
        <v>991</v>
      </c>
      <c r="B978" s="289" t="s">
        <v>156</v>
      </c>
      <c r="C978" s="285"/>
      <c r="D978" s="254" t="s">
        <v>3453</v>
      </c>
      <c r="E978" s="18"/>
      <c r="F978" s="255" t="s">
        <v>4866</v>
      </c>
      <c r="G978" s="285" t="s">
        <v>7605</v>
      </c>
      <c r="H978" s="285" t="s">
        <v>7606</v>
      </c>
      <c r="I978" s="285"/>
      <c r="J978" s="285" t="s">
        <v>7610</v>
      </c>
      <c r="K978" s="14" t="s">
        <v>7607</v>
      </c>
      <c r="L978" s="289" t="s">
        <v>7611</v>
      </c>
      <c r="M978" s="15">
        <v>42023</v>
      </c>
      <c r="N978" s="16">
        <v>2</v>
      </c>
      <c r="O978" s="17">
        <v>2</v>
      </c>
      <c r="P978" s="17">
        <v>2</v>
      </c>
      <c r="Q978" s="17">
        <f t="shared" si="22"/>
        <v>0</v>
      </c>
      <c r="R978" s="285" t="s">
        <v>412</v>
      </c>
      <c r="S978" s="14" t="s">
        <v>413</v>
      </c>
      <c r="T978" s="285">
        <v>798</v>
      </c>
    </row>
    <row r="979" spans="1:20" ht="78.75" customHeight="1" x14ac:dyDescent="0.2">
      <c r="A979" s="21">
        <v>992</v>
      </c>
      <c r="B979" s="289" t="s">
        <v>157</v>
      </c>
      <c r="C979" s="285"/>
      <c r="D979" s="254" t="s">
        <v>5304</v>
      </c>
      <c r="E979" s="18"/>
      <c r="F979" s="255" t="s">
        <v>5895</v>
      </c>
      <c r="G979" s="285" t="s">
        <v>7605</v>
      </c>
      <c r="H979" s="285" t="s">
        <v>7606</v>
      </c>
      <c r="I979" s="285"/>
      <c r="J979" s="285" t="s">
        <v>1937</v>
      </c>
      <c r="K979" s="14" t="s">
        <v>7607</v>
      </c>
      <c r="L979" s="289" t="s">
        <v>7608</v>
      </c>
      <c r="M979" s="15">
        <v>42023</v>
      </c>
      <c r="N979" s="16">
        <v>2</v>
      </c>
      <c r="O979" s="17">
        <v>2</v>
      </c>
      <c r="P979" s="17">
        <v>2</v>
      </c>
      <c r="Q979" s="17">
        <f t="shared" si="22"/>
        <v>0</v>
      </c>
      <c r="R979" s="285" t="s">
        <v>412</v>
      </c>
      <c r="S979" s="14" t="s">
        <v>413</v>
      </c>
      <c r="T979" s="285">
        <v>798</v>
      </c>
    </row>
    <row r="980" spans="1:20" ht="80.25" customHeight="1" x14ac:dyDescent="0.2">
      <c r="A980" s="21">
        <v>993</v>
      </c>
      <c r="B980" s="289" t="s">
        <v>158</v>
      </c>
      <c r="C980" s="285"/>
      <c r="D980" s="255" t="s">
        <v>5327</v>
      </c>
      <c r="E980" s="18"/>
      <c r="F980" s="255" t="s">
        <v>5328</v>
      </c>
      <c r="G980" s="285" t="s">
        <v>4296</v>
      </c>
      <c r="H980" s="285" t="s">
        <v>3793</v>
      </c>
      <c r="I980" s="285"/>
      <c r="J980" s="285" t="s">
        <v>3136</v>
      </c>
      <c r="K980" s="14">
        <v>42079</v>
      </c>
      <c r="L980" s="289">
        <v>260</v>
      </c>
      <c r="M980" s="15">
        <v>42023</v>
      </c>
      <c r="N980" s="16">
        <v>1</v>
      </c>
      <c r="O980" s="17">
        <v>1</v>
      </c>
      <c r="P980" s="17">
        <v>1</v>
      </c>
      <c r="Q980" s="17">
        <f t="shared" si="22"/>
        <v>0</v>
      </c>
      <c r="R980" s="285" t="s">
        <v>412</v>
      </c>
      <c r="S980" s="14" t="s">
        <v>413</v>
      </c>
      <c r="T980" s="285">
        <v>798</v>
      </c>
    </row>
    <row r="981" spans="1:20" ht="80.25" customHeight="1" x14ac:dyDescent="0.2">
      <c r="A981" s="21">
        <v>994</v>
      </c>
      <c r="B981" s="289" t="s">
        <v>159</v>
      </c>
      <c r="C981" s="285"/>
      <c r="D981" s="255" t="s">
        <v>5329</v>
      </c>
      <c r="E981" s="18"/>
      <c r="F981" s="9" t="s">
        <v>4706</v>
      </c>
      <c r="G981" s="285" t="s">
        <v>7605</v>
      </c>
      <c r="H981" s="285" t="s">
        <v>7606</v>
      </c>
      <c r="I981" s="285"/>
      <c r="J981" s="285" t="s">
        <v>1937</v>
      </c>
      <c r="K981" s="14" t="s">
        <v>7607</v>
      </c>
      <c r="L981" s="289" t="s">
        <v>7608</v>
      </c>
      <c r="M981" s="15">
        <v>42023</v>
      </c>
      <c r="N981" s="16">
        <v>1</v>
      </c>
      <c r="O981" s="17">
        <v>1</v>
      </c>
      <c r="P981" s="17">
        <v>1</v>
      </c>
      <c r="Q981" s="17">
        <f t="shared" si="22"/>
        <v>0</v>
      </c>
      <c r="R981" s="285" t="s">
        <v>412</v>
      </c>
      <c r="S981" s="14" t="s">
        <v>413</v>
      </c>
      <c r="T981" s="285">
        <v>798</v>
      </c>
    </row>
    <row r="982" spans="1:20" ht="80.25" customHeight="1" x14ac:dyDescent="0.2">
      <c r="A982" s="21">
        <v>995</v>
      </c>
      <c r="B982" s="289" t="s">
        <v>160</v>
      </c>
      <c r="C982" s="285"/>
      <c r="D982" s="255" t="s">
        <v>4707</v>
      </c>
      <c r="E982" s="18"/>
      <c r="F982" s="9" t="s">
        <v>6275</v>
      </c>
      <c r="G982" s="285" t="s">
        <v>7605</v>
      </c>
      <c r="H982" s="285" t="s">
        <v>7606</v>
      </c>
      <c r="I982" s="285"/>
      <c r="J982" s="285" t="s">
        <v>1937</v>
      </c>
      <c r="K982" s="14" t="s">
        <v>7607</v>
      </c>
      <c r="L982" s="289" t="s">
        <v>7608</v>
      </c>
      <c r="M982" s="15">
        <v>42023</v>
      </c>
      <c r="N982" s="16">
        <v>1</v>
      </c>
      <c r="O982" s="17">
        <v>1</v>
      </c>
      <c r="P982" s="17">
        <v>1</v>
      </c>
      <c r="Q982" s="17">
        <f t="shared" si="22"/>
        <v>0</v>
      </c>
      <c r="R982" s="285" t="s">
        <v>412</v>
      </c>
      <c r="S982" s="14" t="s">
        <v>413</v>
      </c>
      <c r="T982" s="285">
        <v>798</v>
      </c>
    </row>
    <row r="983" spans="1:20" ht="80.25" customHeight="1" x14ac:dyDescent="0.2">
      <c r="A983" s="21">
        <v>996</v>
      </c>
      <c r="B983" s="289" t="s">
        <v>161</v>
      </c>
      <c r="C983" s="285"/>
      <c r="D983" s="255" t="s">
        <v>4927</v>
      </c>
      <c r="E983" s="18"/>
      <c r="F983" s="9" t="s">
        <v>386</v>
      </c>
      <c r="G983" s="285" t="s">
        <v>7605</v>
      </c>
      <c r="H983" s="285" t="s">
        <v>7606</v>
      </c>
      <c r="I983" s="285"/>
      <c r="J983" s="285" t="s">
        <v>1937</v>
      </c>
      <c r="K983" s="14" t="s">
        <v>7607</v>
      </c>
      <c r="L983" s="289" t="s">
        <v>7608</v>
      </c>
      <c r="M983" s="15">
        <v>42023</v>
      </c>
      <c r="N983" s="16">
        <v>2</v>
      </c>
      <c r="O983" s="17">
        <v>2</v>
      </c>
      <c r="P983" s="17">
        <v>2</v>
      </c>
      <c r="Q983" s="17">
        <f t="shared" si="22"/>
        <v>0</v>
      </c>
      <c r="R983" s="285" t="s">
        <v>412</v>
      </c>
      <c r="S983" s="14" t="s">
        <v>413</v>
      </c>
      <c r="T983" s="285">
        <v>798</v>
      </c>
    </row>
    <row r="984" spans="1:20" ht="78.75" customHeight="1" x14ac:dyDescent="0.2">
      <c r="A984" s="21">
        <v>997</v>
      </c>
      <c r="B984" s="289" t="s">
        <v>162</v>
      </c>
      <c r="C984" s="285"/>
      <c r="D984" s="255" t="s">
        <v>387</v>
      </c>
      <c r="E984" s="18"/>
      <c r="F984" s="9" t="s">
        <v>3691</v>
      </c>
      <c r="G984" s="285" t="s">
        <v>7605</v>
      </c>
      <c r="H984" s="285" t="s">
        <v>7606</v>
      </c>
      <c r="I984" s="285"/>
      <c r="J984" s="285" t="s">
        <v>7610</v>
      </c>
      <c r="K984" s="14" t="s">
        <v>9899</v>
      </c>
      <c r="L984" s="289" t="s">
        <v>9895</v>
      </c>
      <c r="M984" s="15">
        <v>42023</v>
      </c>
      <c r="N984" s="16">
        <v>1</v>
      </c>
      <c r="O984" s="17">
        <v>1</v>
      </c>
      <c r="P984" s="17">
        <v>1</v>
      </c>
      <c r="Q984" s="17">
        <f t="shared" si="22"/>
        <v>0</v>
      </c>
      <c r="R984" s="285" t="s">
        <v>412</v>
      </c>
      <c r="S984" s="14" t="s">
        <v>413</v>
      </c>
      <c r="T984" s="285">
        <v>798</v>
      </c>
    </row>
    <row r="985" spans="1:20" ht="78.75" customHeight="1" x14ac:dyDescent="0.2">
      <c r="A985" s="21">
        <v>998</v>
      </c>
      <c r="B985" s="289" t="s">
        <v>163</v>
      </c>
      <c r="C985" s="285"/>
      <c r="D985" s="255" t="s">
        <v>5502</v>
      </c>
      <c r="E985" s="18"/>
      <c r="F985" s="9" t="s">
        <v>5540</v>
      </c>
      <c r="G985" s="285" t="s">
        <v>7605</v>
      </c>
      <c r="H985" s="285" t="s">
        <v>7606</v>
      </c>
      <c r="I985" s="285"/>
      <c r="J985" s="285" t="s">
        <v>1937</v>
      </c>
      <c r="K985" s="14" t="s">
        <v>7607</v>
      </c>
      <c r="L985" s="289" t="s">
        <v>7608</v>
      </c>
      <c r="M985" s="15">
        <v>42023</v>
      </c>
      <c r="N985" s="16">
        <v>1</v>
      </c>
      <c r="O985" s="17">
        <v>1</v>
      </c>
      <c r="P985" s="17">
        <v>1</v>
      </c>
      <c r="Q985" s="17">
        <f t="shared" si="22"/>
        <v>0</v>
      </c>
      <c r="R985" s="285" t="s">
        <v>412</v>
      </c>
      <c r="S985" s="14" t="s">
        <v>413</v>
      </c>
      <c r="T985" s="285">
        <v>798</v>
      </c>
    </row>
    <row r="986" spans="1:20" ht="78.75" customHeight="1" x14ac:dyDescent="0.2">
      <c r="A986" s="21">
        <v>999</v>
      </c>
      <c r="B986" s="289" t="s">
        <v>164</v>
      </c>
      <c r="C986" s="285"/>
      <c r="D986" s="255" t="s">
        <v>5541</v>
      </c>
      <c r="E986" s="18"/>
      <c r="F986" s="9" t="s">
        <v>3076</v>
      </c>
      <c r="G986" s="285" t="s">
        <v>7605</v>
      </c>
      <c r="H986" s="285" t="s">
        <v>7606</v>
      </c>
      <c r="I986" s="285"/>
      <c r="J986" s="285" t="s">
        <v>1937</v>
      </c>
      <c r="K986" s="14" t="s">
        <v>7607</v>
      </c>
      <c r="L986" s="289" t="s">
        <v>7608</v>
      </c>
      <c r="M986" s="15">
        <v>42023</v>
      </c>
      <c r="N986" s="16">
        <v>1</v>
      </c>
      <c r="O986" s="17">
        <v>1</v>
      </c>
      <c r="P986" s="17">
        <v>1</v>
      </c>
      <c r="Q986" s="17">
        <f t="shared" si="22"/>
        <v>0</v>
      </c>
      <c r="R986" s="285" t="s">
        <v>412</v>
      </c>
      <c r="S986" s="14" t="s">
        <v>413</v>
      </c>
      <c r="T986" s="285">
        <v>798</v>
      </c>
    </row>
    <row r="987" spans="1:20" ht="78.75" customHeight="1" x14ac:dyDescent="0.2">
      <c r="A987" s="21">
        <v>1000</v>
      </c>
      <c r="B987" s="289" t="s">
        <v>165</v>
      </c>
      <c r="C987" s="285"/>
      <c r="D987" s="255" t="s">
        <v>5542</v>
      </c>
      <c r="E987" s="18"/>
      <c r="F987" s="9" t="s">
        <v>3077</v>
      </c>
      <c r="G987" s="285" t="s">
        <v>7605</v>
      </c>
      <c r="H987" s="285" t="s">
        <v>7606</v>
      </c>
      <c r="I987" s="285"/>
      <c r="J987" s="285" t="s">
        <v>1937</v>
      </c>
      <c r="K987" s="14" t="s">
        <v>7607</v>
      </c>
      <c r="L987" s="289" t="s">
        <v>7608</v>
      </c>
      <c r="M987" s="15">
        <v>42023</v>
      </c>
      <c r="N987" s="16">
        <v>1</v>
      </c>
      <c r="O987" s="17">
        <v>1</v>
      </c>
      <c r="P987" s="17">
        <v>1</v>
      </c>
      <c r="Q987" s="17">
        <f t="shared" si="22"/>
        <v>0</v>
      </c>
      <c r="R987" s="285" t="s">
        <v>412</v>
      </c>
      <c r="S987" s="14" t="s">
        <v>413</v>
      </c>
      <c r="T987" s="285">
        <v>798</v>
      </c>
    </row>
    <row r="988" spans="1:20" ht="78.75" customHeight="1" x14ac:dyDescent="0.2">
      <c r="A988" s="21">
        <v>1001</v>
      </c>
      <c r="B988" s="289" t="s">
        <v>166</v>
      </c>
      <c r="C988" s="285"/>
      <c r="D988" s="254" t="s">
        <v>3079</v>
      </c>
      <c r="E988" s="18"/>
      <c r="F988" s="9" t="s">
        <v>3078</v>
      </c>
      <c r="G988" s="285" t="s">
        <v>7605</v>
      </c>
      <c r="H988" s="285" t="s">
        <v>7606</v>
      </c>
      <c r="I988" s="285"/>
      <c r="J988" s="285" t="s">
        <v>1937</v>
      </c>
      <c r="K988" s="14" t="s">
        <v>7607</v>
      </c>
      <c r="L988" s="289" t="s">
        <v>7608</v>
      </c>
      <c r="M988" s="15">
        <v>42023</v>
      </c>
      <c r="N988" s="16">
        <v>1</v>
      </c>
      <c r="O988" s="17">
        <v>1</v>
      </c>
      <c r="P988" s="17">
        <v>1</v>
      </c>
      <c r="Q988" s="17">
        <f t="shared" si="22"/>
        <v>0</v>
      </c>
      <c r="R988" s="285" t="s">
        <v>412</v>
      </c>
      <c r="S988" s="14" t="s">
        <v>413</v>
      </c>
      <c r="T988" s="285">
        <v>798</v>
      </c>
    </row>
    <row r="989" spans="1:20" ht="77.25" customHeight="1" x14ac:dyDescent="0.2">
      <c r="A989" s="21">
        <v>1002</v>
      </c>
      <c r="B989" s="289" t="s">
        <v>2536</v>
      </c>
      <c r="C989" s="285"/>
      <c r="D989" s="254" t="s">
        <v>3080</v>
      </c>
      <c r="E989" s="18"/>
      <c r="F989" s="9" t="s">
        <v>3081</v>
      </c>
      <c r="G989" s="285" t="s">
        <v>7605</v>
      </c>
      <c r="H989" s="285" t="s">
        <v>7606</v>
      </c>
      <c r="I989" s="285"/>
      <c r="J989" s="285" t="s">
        <v>1937</v>
      </c>
      <c r="K989" s="14" t="s">
        <v>7607</v>
      </c>
      <c r="L989" s="289" t="s">
        <v>7608</v>
      </c>
      <c r="M989" s="15">
        <v>42023</v>
      </c>
      <c r="N989" s="16">
        <v>1</v>
      </c>
      <c r="O989" s="17">
        <v>1</v>
      </c>
      <c r="P989" s="17">
        <v>1</v>
      </c>
      <c r="Q989" s="17">
        <f t="shared" si="22"/>
        <v>0</v>
      </c>
      <c r="R989" s="285" t="s">
        <v>412</v>
      </c>
      <c r="S989" s="14" t="s">
        <v>413</v>
      </c>
      <c r="T989" s="285">
        <v>798</v>
      </c>
    </row>
    <row r="990" spans="1:20" ht="77.25" customHeight="1" x14ac:dyDescent="0.2">
      <c r="A990" s="21">
        <v>1003</v>
      </c>
      <c r="B990" s="289" t="s">
        <v>2537</v>
      </c>
      <c r="C990" s="285"/>
      <c r="D990" s="255" t="s">
        <v>3610</v>
      </c>
      <c r="E990" s="18"/>
      <c r="F990" s="9" t="s">
        <v>3611</v>
      </c>
      <c r="G990" s="285" t="s">
        <v>7605</v>
      </c>
      <c r="H990" s="285" t="s">
        <v>7606</v>
      </c>
      <c r="I990" s="285"/>
      <c r="J990" s="285" t="s">
        <v>1937</v>
      </c>
      <c r="K990" s="14" t="s">
        <v>7607</v>
      </c>
      <c r="L990" s="289" t="s">
        <v>7608</v>
      </c>
      <c r="M990" s="15">
        <v>42023</v>
      </c>
      <c r="N990" s="16">
        <v>1</v>
      </c>
      <c r="O990" s="17">
        <v>1</v>
      </c>
      <c r="P990" s="17">
        <v>1</v>
      </c>
      <c r="Q990" s="17">
        <f t="shared" si="22"/>
        <v>0</v>
      </c>
      <c r="R990" s="285" t="s">
        <v>412</v>
      </c>
      <c r="S990" s="14" t="s">
        <v>413</v>
      </c>
      <c r="T990" s="285">
        <v>798</v>
      </c>
    </row>
    <row r="991" spans="1:20" ht="77.25" customHeight="1" x14ac:dyDescent="0.2">
      <c r="A991" s="21">
        <v>1004</v>
      </c>
      <c r="B991" s="289" t="s">
        <v>2538</v>
      </c>
      <c r="C991" s="285"/>
      <c r="D991" s="255" t="s">
        <v>1765</v>
      </c>
      <c r="E991" s="18"/>
      <c r="F991" s="9" t="s">
        <v>1766</v>
      </c>
      <c r="G991" s="285" t="s">
        <v>7605</v>
      </c>
      <c r="H991" s="285" t="s">
        <v>7606</v>
      </c>
      <c r="I991" s="285"/>
      <c r="J991" s="285" t="s">
        <v>1937</v>
      </c>
      <c r="K991" s="14" t="s">
        <v>7607</v>
      </c>
      <c r="L991" s="289" t="s">
        <v>7608</v>
      </c>
      <c r="M991" s="15">
        <v>42023</v>
      </c>
      <c r="N991" s="16">
        <v>1</v>
      </c>
      <c r="O991" s="17">
        <v>1</v>
      </c>
      <c r="P991" s="17">
        <v>1</v>
      </c>
      <c r="Q991" s="17">
        <f t="shared" si="22"/>
        <v>0</v>
      </c>
      <c r="R991" s="285" t="s">
        <v>412</v>
      </c>
      <c r="S991" s="14" t="s">
        <v>413</v>
      </c>
      <c r="T991" s="285">
        <v>798</v>
      </c>
    </row>
    <row r="992" spans="1:20" ht="77.25" customHeight="1" x14ac:dyDescent="0.2">
      <c r="A992" s="21">
        <v>1005</v>
      </c>
      <c r="B992" s="289" t="s">
        <v>2539</v>
      </c>
      <c r="C992" s="285"/>
      <c r="D992" s="255" t="s">
        <v>1767</v>
      </c>
      <c r="E992" s="18"/>
      <c r="F992" s="9" t="s">
        <v>176</v>
      </c>
      <c r="G992" s="285" t="s">
        <v>7605</v>
      </c>
      <c r="H992" s="285" t="s">
        <v>7606</v>
      </c>
      <c r="I992" s="285"/>
      <c r="J992" s="285" t="s">
        <v>1937</v>
      </c>
      <c r="K992" s="14" t="s">
        <v>7607</v>
      </c>
      <c r="L992" s="289" t="s">
        <v>7608</v>
      </c>
      <c r="M992" s="15">
        <v>42023</v>
      </c>
      <c r="N992" s="16">
        <v>1</v>
      </c>
      <c r="O992" s="17">
        <v>1</v>
      </c>
      <c r="P992" s="17">
        <v>1</v>
      </c>
      <c r="Q992" s="17">
        <f t="shared" si="22"/>
        <v>0</v>
      </c>
      <c r="R992" s="285" t="s">
        <v>412</v>
      </c>
      <c r="S992" s="14" t="s">
        <v>413</v>
      </c>
      <c r="T992" s="285">
        <v>798</v>
      </c>
    </row>
    <row r="993" spans="1:20" ht="77.25" customHeight="1" x14ac:dyDescent="0.2">
      <c r="A993" s="21">
        <v>1006</v>
      </c>
      <c r="B993" s="289" t="s">
        <v>2540</v>
      </c>
      <c r="C993" s="285"/>
      <c r="D993" s="255" t="s">
        <v>178</v>
      </c>
      <c r="E993" s="18"/>
      <c r="F993" s="9" t="s">
        <v>177</v>
      </c>
      <c r="G993" s="285" t="s">
        <v>7605</v>
      </c>
      <c r="H993" s="285" t="s">
        <v>7606</v>
      </c>
      <c r="I993" s="285"/>
      <c r="J993" s="285" t="s">
        <v>7610</v>
      </c>
      <c r="K993" s="14" t="s">
        <v>7607</v>
      </c>
      <c r="L993" s="289" t="s">
        <v>7608</v>
      </c>
      <c r="M993" s="15">
        <v>42023</v>
      </c>
      <c r="N993" s="16">
        <v>1</v>
      </c>
      <c r="O993" s="17">
        <v>1</v>
      </c>
      <c r="P993" s="17">
        <v>1</v>
      </c>
      <c r="Q993" s="17">
        <f t="shared" si="22"/>
        <v>0</v>
      </c>
      <c r="R993" s="285" t="s">
        <v>412</v>
      </c>
      <c r="S993" s="14" t="s">
        <v>413</v>
      </c>
      <c r="T993" s="285">
        <v>798</v>
      </c>
    </row>
    <row r="994" spans="1:20" ht="77.25" customHeight="1" x14ac:dyDescent="0.2">
      <c r="A994" s="21">
        <v>1007</v>
      </c>
      <c r="B994" s="289" t="s">
        <v>1540</v>
      </c>
      <c r="C994" s="285"/>
      <c r="D994" s="255" t="s">
        <v>179</v>
      </c>
      <c r="E994" s="18"/>
      <c r="F994" s="9" t="s">
        <v>180</v>
      </c>
      <c r="G994" s="285" t="s">
        <v>7605</v>
      </c>
      <c r="H994" s="285" t="s">
        <v>7606</v>
      </c>
      <c r="I994" s="285"/>
      <c r="J994" s="285" t="s">
        <v>7610</v>
      </c>
      <c r="K994" s="14" t="s">
        <v>7607</v>
      </c>
      <c r="L994" s="289" t="s">
        <v>7608</v>
      </c>
      <c r="M994" s="15">
        <v>42023</v>
      </c>
      <c r="N994" s="16">
        <v>1</v>
      </c>
      <c r="O994" s="17">
        <v>1</v>
      </c>
      <c r="P994" s="17">
        <v>1</v>
      </c>
      <c r="Q994" s="17">
        <f t="shared" si="22"/>
        <v>0</v>
      </c>
      <c r="R994" s="285" t="s">
        <v>412</v>
      </c>
      <c r="S994" s="14" t="s">
        <v>413</v>
      </c>
      <c r="T994" s="285">
        <v>798</v>
      </c>
    </row>
    <row r="995" spans="1:20" ht="84" customHeight="1" x14ac:dyDescent="0.2">
      <c r="A995" s="21">
        <v>1008</v>
      </c>
      <c r="B995" s="289" t="s">
        <v>1541</v>
      </c>
      <c r="C995" s="285"/>
      <c r="D995" s="255" t="s">
        <v>181</v>
      </c>
      <c r="E995" s="18"/>
      <c r="F995" s="9" t="s">
        <v>2907</v>
      </c>
      <c r="G995" s="285" t="s">
        <v>7605</v>
      </c>
      <c r="H995" s="285" t="s">
        <v>7606</v>
      </c>
      <c r="I995" s="285"/>
      <c r="J995" s="285" t="s">
        <v>1937</v>
      </c>
      <c r="K995" s="14" t="s">
        <v>7607</v>
      </c>
      <c r="L995" s="289" t="s">
        <v>7608</v>
      </c>
      <c r="M995" s="15">
        <v>42023</v>
      </c>
      <c r="N995" s="16">
        <v>1</v>
      </c>
      <c r="O995" s="17">
        <v>1</v>
      </c>
      <c r="P995" s="17">
        <v>1</v>
      </c>
      <c r="Q995" s="17">
        <f t="shared" si="22"/>
        <v>0</v>
      </c>
      <c r="R995" s="285" t="s">
        <v>412</v>
      </c>
      <c r="S995" s="14" t="s">
        <v>413</v>
      </c>
      <c r="T995" s="285">
        <v>798</v>
      </c>
    </row>
    <row r="996" spans="1:20" ht="84" customHeight="1" x14ac:dyDescent="0.2">
      <c r="A996" s="21">
        <v>1009</v>
      </c>
      <c r="B996" s="289" t="s">
        <v>1542</v>
      </c>
      <c r="C996" s="285"/>
      <c r="D996" s="255" t="s">
        <v>3975</v>
      </c>
      <c r="E996" s="18"/>
      <c r="F996" s="9" t="s">
        <v>2908</v>
      </c>
      <c r="G996" s="285" t="s">
        <v>7605</v>
      </c>
      <c r="H996" s="285" t="s">
        <v>7606</v>
      </c>
      <c r="I996" s="285"/>
      <c r="J996" s="285" t="s">
        <v>1937</v>
      </c>
      <c r="K996" s="14" t="s">
        <v>7607</v>
      </c>
      <c r="L996" s="289" t="s">
        <v>7608</v>
      </c>
      <c r="M996" s="15">
        <v>42023</v>
      </c>
      <c r="N996" s="16">
        <v>1</v>
      </c>
      <c r="O996" s="17">
        <v>1</v>
      </c>
      <c r="P996" s="17">
        <v>1</v>
      </c>
      <c r="Q996" s="17">
        <f t="shared" ref="Q996:Q1059" si="23">O996-P996</f>
        <v>0</v>
      </c>
      <c r="R996" s="285" t="s">
        <v>412</v>
      </c>
      <c r="S996" s="14" t="s">
        <v>413</v>
      </c>
      <c r="T996" s="285">
        <v>798</v>
      </c>
    </row>
    <row r="997" spans="1:20" ht="84" customHeight="1" x14ac:dyDescent="0.2">
      <c r="A997" s="21">
        <v>1010</v>
      </c>
      <c r="B997" s="289" t="s">
        <v>1543</v>
      </c>
      <c r="C997" s="285"/>
      <c r="D997" s="255" t="s">
        <v>1056</v>
      </c>
      <c r="E997" s="18"/>
      <c r="F997" s="9" t="s">
        <v>3603</v>
      </c>
      <c r="G997" s="285" t="s">
        <v>7605</v>
      </c>
      <c r="H997" s="285" t="s">
        <v>7606</v>
      </c>
      <c r="I997" s="285"/>
      <c r="J997" s="285" t="s">
        <v>7610</v>
      </c>
      <c r="K997" s="14" t="s">
        <v>7607</v>
      </c>
      <c r="L997" s="289" t="s">
        <v>7608</v>
      </c>
      <c r="M997" s="15">
        <v>42023</v>
      </c>
      <c r="N997" s="16">
        <v>3</v>
      </c>
      <c r="O997" s="17">
        <v>3</v>
      </c>
      <c r="P997" s="17">
        <v>3</v>
      </c>
      <c r="Q997" s="17">
        <f t="shared" si="23"/>
        <v>0</v>
      </c>
      <c r="R997" s="285" t="s">
        <v>412</v>
      </c>
      <c r="S997" s="14" t="s">
        <v>413</v>
      </c>
      <c r="T997" s="285">
        <v>798</v>
      </c>
    </row>
    <row r="998" spans="1:20" ht="84" customHeight="1" x14ac:dyDescent="0.2">
      <c r="A998" s="21">
        <v>1011</v>
      </c>
      <c r="B998" s="289" t="s">
        <v>1544</v>
      </c>
      <c r="C998" s="285"/>
      <c r="D998" s="255" t="s">
        <v>4952</v>
      </c>
      <c r="E998" s="18"/>
      <c r="F998" s="9" t="s">
        <v>4953</v>
      </c>
      <c r="G998" s="285" t="s">
        <v>7605</v>
      </c>
      <c r="H998" s="285" t="s">
        <v>7606</v>
      </c>
      <c r="I998" s="285"/>
      <c r="J998" s="285" t="s">
        <v>1937</v>
      </c>
      <c r="K998" s="14" t="s">
        <v>7607</v>
      </c>
      <c r="L998" s="289" t="s">
        <v>7608</v>
      </c>
      <c r="M998" s="15">
        <v>42023</v>
      </c>
      <c r="N998" s="16">
        <v>1</v>
      </c>
      <c r="O998" s="17">
        <v>1</v>
      </c>
      <c r="P998" s="17">
        <v>1</v>
      </c>
      <c r="Q998" s="17">
        <f t="shared" si="23"/>
        <v>0</v>
      </c>
      <c r="R998" s="285" t="s">
        <v>412</v>
      </c>
      <c r="S998" s="14" t="s">
        <v>413</v>
      </c>
      <c r="T998" s="285">
        <v>798</v>
      </c>
    </row>
    <row r="999" spans="1:20" ht="84" customHeight="1" x14ac:dyDescent="0.2">
      <c r="A999" s="21">
        <v>1012</v>
      </c>
      <c r="B999" s="289" t="s">
        <v>1545</v>
      </c>
      <c r="C999" s="285"/>
      <c r="D999" s="255" t="s">
        <v>4954</v>
      </c>
      <c r="E999" s="18"/>
      <c r="F999" s="9" t="s">
        <v>4955</v>
      </c>
      <c r="G999" s="285" t="s">
        <v>7605</v>
      </c>
      <c r="H999" s="285" t="s">
        <v>7606</v>
      </c>
      <c r="I999" s="285"/>
      <c r="J999" s="285" t="s">
        <v>1937</v>
      </c>
      <c r="K999" s="14" t="s">
        <v>7607</v>
      </c>
      <c r="L999" s="289" t="s">
        <v>7608</v>
      </c>
      <c r="M999" s="15">
        <v>42023</v>
      </c>
      <c r="N999" s="16">
        <v>2</v>
      </c>
      <c r="O999" s="17">
        <v>2</v>
      </c>
      <c r="P999" s="17">
        <v>2</v>
      </c>
      <c r="Q999" s="17">
        <f t="shared" si="23"/>
        <v>0</v>
      </c>
      <c r="R999" s="285" t="s">
        <v>412</v>
      </c>
      <c r="S999" s="14" t="s">
        <v>413</v>
      </c>
      <c r="T999" s="285">
        <v>798</v>
      </c>
    </row>
    <row r="1000" spans="1:20" ht="84" customHeight="1" x14ac:dyDescent="0.2">
      <c r="A1000" s="21">
        <v>1013</v>
      </c>
      <c r="B1000" s="289" t="s">
        <v>1546</v>
      </c>
      <c r="C1000" s="285"/>
      <c r="D1000" s="255" t="s">
        <v>567</v>
      </c>
      <c r="E1000" s="18"/>
      <c r="F1000" s="9" t="s">
        <v>4271</v>
      </c>
      <c r="G1000" s="285" t="s">
        <v>7605</v>
      </c>
      <c r="H1000" s="285" t="s">
        <v>7606</v>
      </c>
      <c r="I1000" s="285"/>
      <c r="J1000" s="285" t="s">
        <v>1937</v>
      </c>
      <c r="K1000" s="14" t="s">
        <v>7607</v>
      </c>
      <c r="L1000" s="289" t="s">
        <v>7608</v>
      </c>
      <c r="M1000" s="15">
        <v>42023</v>
      </c>
      <c r="N1000" s="16">
        <v>1</v>
      </c>
      <c r="O1000" s="17">
        <v>1</v>
      </c>
      <c r="P1000" s="17">
        <v>1</v>
      </c>
      <c r="Q1000" s="17">
        <f t="shared" si="23"/>
        <v>0</v>
      </c>
      <c r="R1000" s="285" t="s">
        <v>412</v>
      </c>
      <c r="S1000" s="14" t="s">
        <v>413</v>
      </c>
      <c r="T1000" s="285">
        <v>798</v>
      </c>
    </row>
    <row r="1001" spans="1:20" ht="80.25" customHeight="1" x14ac:dyDescent="0.2">
      <c r="A1001" s="21">
        <v>1014</v>
      </c>
      <c r="B1001" s="289" t="s">
        <v>1547</v>
      </c>
      <c r="C1001" s="285"/>
      <c r="D1001" s="254" t="s">
        <v>4269</v>
      </c>
      <c r="E1001" s="18"/>
      <c r="F1001" s="9" t="s">
        <v>2746</v>
      </c>
      <c r="G1001" s="285" t="s">
        <v>7605</v>
      </c>
      <c r="H1001" s="285" t="s">
        <v>7606</v>
      </c>
      <c r="I1001" s="285"/>
      <c r="J1001" s="285" t="s">
        <v>7610</v>
      </c>
      <c r="K1001" s="14" t="s">
        <v>7607</v>
      </c>
      <c r="L1001" s="289" t="s">
        <v>7608</v>
      </c>
      <c r="M1001" s="15">
        <v>42023</v>
      </c>
      <c r="N1001" s="16">
        <v>3</v>
      </c>
      <c r="O1001" s="17">
        <v>3</v>
      </c>
      <c r="P1001" s="17">
        <v>3</v>
      </c>
      <c r="Q1001" s="17">
        <f t="shared" si="23"/>
        <v>0</v>
      </c>
      <c r="R1001" s="285" t="s">
        <v>412</v>
      </c>
      <c r="S1001" s="14" t="s">
        <v>413</v>
      </c>
      <c r="T1001" s="285">
        <v>798</v>
      </c>
    </row>
    <row r="1002" spans="1:20" ht="80.25" customHeight="1" x14ac:dyDescent="0.2">
      <c r="A1002" s="21">
        <v>1015</v>
      </c>
      <c r="B1002" s="289" t="s">
        <v>1548</v>
      </c>
      <c r="C1002" s="285"/>
      <c r="D1002" s="254" t="s">
        <v>486</v>
      </c>
      <c r="E1002" s="18"/>
      <c r="F1002" s="9" t="s">
        <v>487</v>
      </c>
      <c r="G1002" s="285" t="s">
        <v>7605</v>
      </c>
      <c r="H1002" s="285" t="s">
        <v>7606</v>
      </c>
      <c r="I1002" s="285"/>
      <c r="J1002" s="285" t="s">
        <v>1937</v>
      </c>
      <c r="K1002" s="14" t="s">
        <v>7607</v>
      </c>
      <c r="L1002" s="289" t="s">
        <v>7608</v>
      </c>
      <c r="M1002" s="15">
        <v>42023</v>
      </c>
      <c r="N1002" s="16">
        <v>1</v>
      </c>
      <c r="O1002" s="17">
        <v>1</v>
      </c>
      <c r="P1002" s="17">
        <v>1</v>
      </c>
      <c r="Q1002" s="17">
        <f t="shared" si="23"/>
        <v>0</v>
      </c>
      <c r="R1002" s="285" t="s">
        <v>412</v>
      </c>
      <c r="S1002" s="14" t="s">
        <v>413</v>
      </c>
      <c r="T1002" s="285">
        <v>798</v>
      </c>
    </row>
    <row r="1003" spans="1:20" ht="80.25" customHeight="1" x14ac:dyDescent="0.2">
      <c r="A1003" s="21">
        <v>1016</v>
      </c>
      <c r="B1003" s="289" t="s">
        <v>1549</v>
      </c>
      <c r="C1003" s="285"/>
      <c r="D1003" s="254" t="s">
        <v>5740</v>
      </c>
      <c r="E1003" s="18"/>
      <c r="F1003" s="9" t="s">
        <v>488</v>
      </c>
      <c r="G1003" s="285" t="s">
        <v>7605</v>
      </c>
      <c r="H1003" s="285" t="s">
        <v>7606</v>
      </c>
      <c r="I1003" s="285"/>
      <c r="J1003" s="285" t="s">
        <v>1937</v>
      </c>
      <c r="K1003" s="14" t="s">
        <v>7607</v>
      </c>
      <c r="L1003" s="289" t="s">
        <v>7608</v>
      </c>
      <c r="M1003" s="15">
        <v>42023</v>
      </c>
      <c r="N1003" s="16">
        <v>1</v>
      </c>
      <c r="O1003" s="17">
        <v>1</v>
      </c>
      <c r="P1003" s="17">
        <v>1</v>
      </c>
      <c r="Q1003" s="17">
        <f t="shared" si="23"/>
        <v>0</v>
      </c>
      <c r="R1003" s="285" t="s">
        <v>412</v>
      </c>
      <c r="S1003" s="14" t="s">
        <v>413</v>
      </c>
      <c r="T1003" s="285">
        <v>798</v>
      </c>
    </row>
    <row r="1004" spans="1:20" ht="80.25" customHeight="1" x14ac:dyDescent="0.2">
      <c r="A1004" s="21">
        <v>1017</v>
      </c>
      <c r="B1004" s="289" t="s">
        <v>1550</v>
      </c>
      <c r="C1004" s="285"/>
      <c r="D1004" s="254" t="s">
        <v>2582</v>
      </c>
      <c r="E1004" s="18"/>
      <c r="F1004" s="9" t="s">
        <v>489</v>
      </c>
      <c r="G1004" s="285" t="s">
        <v>7605</v>
      </c>
      <c r="H1004" s="285" t="s">
        <v>7606</v>
      </c>
      <c r="I1004" s="285"/>
      <c r="J1004" s="285" t="s">
        <v>1937</v>
      </c>
      <c r="K1004" s="14" t="s">
        <v>7607</v>
      </c>
      <c r="L1004" s="289" t="s">
        <v>7608</v>
      </c>
      <c r="M1004" s="15">
        <v>42023</v>
      </c>
      <c r="N1004" s="16">
        <v>1</v>
      </c>
      <c r="O1004" s="17">
        <v>1</v>
      </c>
      <c r="P1004" s="17">
        <v>1</v>
      </c>
      <c r="Q1004" s="17">
        <f t="shared" si="23"/>
        <v>0</v>
      </c>
      <c r="R1004" s="285" t="s">
        <v>412</v>
      </c>
      <c r="S1004" s="14" t="s">
        <v>413</v>
      </c>
      <c r="T1004" s="285">
        <v>798</v>
      </c>
    </row>
    <row r="1005" spans="1:20" ht="80.25" customHeight="1" x14ac:dyDescent="0.2">
      <c r="A1005" s="21">
        <v>1018</v>
      </c>
      <c r="B1005" s="289" t="s">
        <v>349</v>
      </c>
      <c r="C1005" s="285"/>
      <c r="D1005" s="254" t="s">
        <v>2733</v>
      </c>
      <c r="E1005" s="18"/>
      <c r="F1005" s="9" t="s">
        <v>2734</v>
      </c>
      <c r="G1005" s="285" t="s">
        <v>7605</v>
      </c>
      <c r="H1005" s="285" t="s">
        <v>7606</v>
      </c>
      <c r="I1005" s="285"/>
      <c r="J1005" s="285" t="s">
        <v>1937</v>
      </c>
      <c r="K1005" s="14" t="s">
        <v>7607</v>
      </c>
      <c r="L1005" s="289" t="s">
        <v>7608</v>
      </c>
      <c r="M1005" s="15">
        <v>42023</v>
      </c>
      <c r="N1005" s="16">
        <v>1</v>
      </c>
      <c r="O1005" s="17">
        <v>1</v>
      </c>
      <c r="P1005" s="17">
        <v>1</v>
      </c>
      <c r="Q1005" s="17">
        <f t="shared" si="23"/>
        <v>0</v>
      </c>
      <c r="R1005" s="285" t="s">
        <v>412</v>
      </c>
      <c r="S1005" s="14" t="s">
        <v>413</v>
      </c>
      <c r="T1005" s="285">
        <v>798</v>
      </c>
    </row>
    <row r="1006" spans="1:20" ht="80.25" customHeight="1" x14ac:dyDescent="0.2">
      <c r="A1006" s="21">
        <v>1019</v>
      </c>
      <c r="B1006" s="289" t="s">
        <v>350</v>
      </c>
      <c r="C1006" s="285"/>
      <c r="D1006" s="254" t="s">
        <v>5687</v>
      </c>
      <c r="E1006" s="18"/>
      <c r="F1006" s="9" t="s">
        <v>3596</v>
      </c>
      <c r="G1006" s="285" t="s">
        <v>7605</v>
      </c>
      <c r="H1006" s="285" t="s">
        <v>7606</v>
      </c>
      <c r="I1006" s="285"/>
      <c r="J1006" s="285" t="s">
        <v>1937</v>
      </c>
      <c r="K1006" s="14" t="s">
        <v>7607</v>
      </c>
      <c r="L1006" s="289" t="s">
        <v>7608</v>
      </c>
      <c r="M1006" s="15">
        <v>42023</v>
      </c>
      <c r="N1006" s="16">
        <v>1</v>
      </c>
      <c r="O1006" s="17">
        <v>1</v>
      </c>
      <c r="P1006" s="17">
        <v>1</v>
      </c>
      <c r="Q1006" s="17">
        <f t="shared" si="23"/>
        <v>0</v>
      </c>
      <c r="R1006" s="285" t="s">
        <v>412</v>
      </c>
      <c r="S1006" s="14" t="s">
        <v>413</v>
      </c>
      <c r="T1006" s="285">
        <v>798</v>
      </c>
    </row>
    <row r="1007" spans="1:20" ht="83.25" customHeight="1" x14ac:dyDescent="0.2">
      <c r="A1007" s="21">
        <v>1020</v>
      </c>
      <c r="B1007" s="289" t="s">
        <v>351</v>
      </c>
      <c r="C1007" s="285"/>
      <c r="D1007" s="254" t="s">
        <v>3597</v>
      </c>
      <c r="E1007" s="18"/>
      <c r="F1007" s="9" t="s">
        <v>713</v>
      </c>
      <c r="G1007" s="285" t="s">
        <v>7605</v>
      </c>
      <c r="H1007" s="285" t="s">
        <v>7606</v>
      </c>
      <c r="I1007" s="285"/>
      <c r="J1007" s="285" t="s">
        <v>1937</v>
      </c>
      <c r="K1007" s="14" t="s">
        <v>7607</v>
      </c>
      <c r="L1007" s="289" t="s">
        <v>7608</v>
      </c>
      <c r="M1007" s="15">
        <v>42023</v>
      </c>
      <c r="N1007" s="16">
        <v>1</v>
      </c>
      <c r="O1007" s="17">
        <v>1</v>
      </c>
      <c r="P1007" s="17">
        <v>1</v>
      </c>
      <c r="Q1007" s="17">
        <f t="shared" si="23"/>
        <v>0</v>
      </c>
      <c r="R1007" s="285" t="s">
        <v>412</v>
      </c>
      <c r="S1007" s="14" t="s">
        <v>413</v>
      </c>
      <c r="T1007" s="285">
        <v>798</v>
      </c>
    </row>
    <row r="1008" spans="1:20" ht="83.25" customHeight="1" x14ac:dyDescent="0.2">
      <c r="A1008" s="21">
        <v>1021</v>
      </c>
      <c r="B1008" s="289" t="s">
        <v>4777</v>
      </c>
      <c r="C1008" s="285"/>
      <c r="D1008" s="254" t="s">
        <v>1075</v>
      </c>
      <c r="E1008" s="18"/>
      <c r="F1008" s="9" t="s">
        <v>3598</v>
      </c>
      <c r="G1008" s="285" t="s">
        <v>7605</v>
      </c>
      <c r="H1008" s="285" t="s">
        <v>7606</v>
      </c>
      <c r="I1008" s="285"/>
      <c r="J1008" s="285" t="s">
        <v>1937</v>
      </c>
      <c r="K1008" s="14" t="s">
        <v>7607</v>
      </c>
      <c r="L1008" s="289" t="s">
        <v>7608</v>
      </c>
      <c r="M1008" s="15">
        <v>42023</v>
      </c>
      <c r="N1008" s="16">
        <v>1</v>
      </c>
      <c r="O1008" s="17">
        <v>1</v>
      </c>
      <c r="P1008" s="17">
        <v>1</v>
      </c>
      <c r="Q1008" s="17">
        <f t="shared" si="23"/>
        <v>0</v>
      </c>
      <c r="R1008" s="285" t="s">
        <v>412</v>
      </c>
      <c r="S1008" s="14" t="s">
        <v>413</v>
      </c>
      <c r="T1008" s="285">
        <v>798</v>
      </c>
    </row>
    <row r="1009" spans="1:20" ht="83.25" customHeight="1" x14ac:dyDescent="0.2">
      <c r="A1009" s="21">
        <v>1022</v>
      </c>
      <c r="B1009" s="289" t="s">
        <v>4778</v>
      </c>
      <c r="C1009" s="285"/>
      <c r="D1009" s="254" t="s">
        <v>2457</v>
      </c>
      <c r="E1009" s="18"/>
      <c r="F1009" s="9" t="s">
        <v>2458</v>
      </c>
      <c r="G1009" s="285" t="s">
        <v>7605</v>
      </c>
      <c r="H1009" s="285" t="s">
        <v>7606</v>
      </c>
      <c r="I1009" s="285"/>
      <c r="J1009" s="285" t="s">
        <v>1937</v>
      </c>
      <c r="K1009" s="14" t="s">
        <v>7607</v>
      </c>
      <c r="L1009" s="289" t="s">
        <v>7608</v>
      </c>
      <c r="M1009" s="15">
        <v>42023</v>
      </c>
      <c r="N1009" s="16">
        <v>1</v>
      </c>
      <c r="O1009" s="17">
        <v>1</v>
      </c>
      <c r="P1009" s="17">
        <v>1</v>
      </c>
      <c r="Q1009" s="17">
        <f t="shared" si="23"/>
        <v>0</v>
      </c>
      <c r="R1009" s="285" t="s">
        <v>412</v>
      </c>
      <c r="S1009" s="14" t="s">
        <v>413</v>
      </c>
      <c r="T1009" s="285">
        <v>798</v>
      </c>
    </row>
    <row r="1010" spans="1:20" ht="83.25" customHeight="1" x14ac:dyDescent="0.2">
      <c r="A1010" s="21">
        <v>1023</v>
      </c>
      <c r="B1010" s="289" t="s">
        <v>4779</v>
      </c>
      <c r="C1010" s="285"/>
      <c r="D1010" s="254" t="s">
        <v>762</v>
      </c>
      <c r="E1010" s="18"/>
      <c r="F1010" s="9" t="s">
        <v>2459</v>
      </c>
      <c r="G1010" s="285" t="s">
        <v>7605</v>
      </c>
      <c r="H1010" s="285" t="s">
        <v>3793</v>
      </c>
      <c r="I1010" s="285"/>
      <c r="J1010" s="285" t="s">
        <v>7610</v>
      </c>
      <c r="K1010" s="14" t="s">
        <v>9894</v>
      </c>
      <c r="L1010" s="289" t="s">
        <v>9895</v>
      </c>
      <c r="M1010" s="15">
        <v>42023</v>
      </c>
      <c r="N1010" s="16">
        <v>1</v>
      </c>
      <c r="O1010" s="17">
        <v>1</v>
      </c>
      <c r="P1010" s="17">
        <v>1</v>
      </c>
      <c r="Q1010" s="17">
        <f t="shared" si="23"/>
        <v>0</v>
      </c>
      <c r="R1010" s="285" t="s">
        <v>412</v>
      </c>
      <c r="S1010" s="14" t="s">
        <v>413</v>
      </c>
      <c r="T1010" s="285">
        <v>798</v>
      </c>
    </row>
    <row r="1011" spans="1:20" ht="83.25" customHeight="1" x14ac:dyDescent="0.2">
      <c r="A1011" s="21">
        <v>1024</v>
      </c>
      <c r="B1011" s="289" t="s">
        <v>4780</v>
      </c>
      <c r="C1011" s="285"/>
      <c r="D1011" s="254" t="s">
        <v>763</v>
      </c>
      <c r="E1011" s="18"/>
      <c r="F1011" s="9" t="s">
        <v>3454</v>
      </c>
      <c r="G1011" s="285" t="s">
        <v>7605</v>
      </c>
      <c r="H1011" s="285" t="s">
        <v>7606</v>
      </c>
      <c r="I1011" s="285"/>
      <c r="J1011" s="285" t="s">
        <v>7610</v>
      </c>
      <c r="K1011" s="14" t="s">
        <v>7607</v>
      </c>
      <c r="L1011" s="289" t="s">
        <v>7608</v>
      </c>
      <c r="M1011" s="15">
        <v>42023</v>
      </c>
      <c r="N1011" s="16">
        <v>1</v>
      </c>
      <c r="O1011" s="17">
        <v>1</v>
      </c>
      <c r="P1011" s="17">
        <v>1</v>
      </c>
      <c r="Q1011" s="17">
        <f t="shared" si="23"/>
        <v>0</v>
      </c>
      <c r="R1011" s="285" t="s">
        <v>412</v>
      </c>
      <c r="S1011" s="14" t="s">
        <v>413</v>
      </c>
      <c r="T1011" s="285">
        <v>798</v>
      </c>
    </row>
    <row r="1012" spans="1:20" ht="83.25" customHeight="1" x14ac:dyDescent="0.2">
      <c r="A1012" s="21">
        <v>1025</v>
      </c>
      <c r="B1012" s="289" t="s">
        <v>4781</v>
      </c>
      <c r="C1012" s="285"/>
      <c r="D1012" s="254" t="s">
        <v>764</v>
      </c>
      <c r="E1012" s="18"/>
      <c r="F1012" s="9" t="s">
        <v>714</v>
      </c>
      <c r="G1012" s="285" t="s">
        <v>7605</v>
      </c>
      <c r="H1012" s="285" t="s">
        <v>7606</v>
      </c>
      <c r="I1012" s="285"/>
      <c r="J1012" s="285" t="s">
        <v>1937</v>
      </c>
      <c r="K1012" s="14" t="s">
        <v>7607</v>
      </c>
      <c r="L1012" s="289" t="s">
        <v>7608</v>
      </c>
      <c r="M1012" s="15">
        <v>42023</v>
      </c>
      <c r="N1012" s="16">
        <v>1</v>
      </c>
      <c r="O1012" s="17">
        <v>1</v>
      </c>
      <c r="P1012" s="17">
        <v>1</v>
      </c>
      <c r="Q1012" s="17">
        <f t="shared" si="23"/>
        <v>0</v>
      </c>
      <c r="R1012" s="285" t="s">
        <v>412</v>
      </c>
      <c r="S1012" s="14" t="s">
        <v>413</v>
      </c>
      <c r="T1012" s="285">
        <v>798</v>
      </c>
    </row>
    <row r="1013" spans="1:20" ht="76.5" customHeight="1" x14ac:dyDescent="0.2">
      <c r="A1013" s="21">
        <v>1026</v>
      </c>
      <c r="B1013" s="289" t="s">
        <v>4782</v>
      </c>
      <c r="C1013" s="285"/>
      <c r="D1013" s="254" t="s">
        <v>364</v>
      </c>
      <c r="E1013" s="18"/>
      <c r="F1013" s="9" t="s">
        <v>365</v>
      </c>
      <c r="G1013" s="285" t="s">
        <v>7605</v>
      </c>
      <c r="H1013" s="285" t="s">
        <v>7606</v>
      </c>
      <c r="I1013" s="285"/>
      <c r="J1013" s="285" t="s">
        <v>1937</v>
      </c>
      <c r="K1013" s="14" t="s">
        <v>7607</v>
      </c>
      <c r="L1013" s="289" t="s">
        <v>7608</v>
      </c>
      <c r="M1013" s="15">
        <v>42023</v>
      </c>
      <c r="N1013" s="16">
        <v>1</v>
      </c>
      <c r="O1013" s="17">
        <v>1</v>
      </c>
      <c r="P1013" s="17">
        <v>1</v>
      </c>
      <c r="Q1013" s="17">
        <f t="shared" si="23"/>
        <v>0</v>
      </c>
      <c r="R1013" s="285" t="s">
        <v>412</v>
      </c>
      <c r="S1013" s="14" t="s">
        <v>413</v>
      </c>
      <c r="T1013" s="285">
        <v>798</v>
      </c>
    </row>
    <row r="1014" spans="1:20" ht="76.5" customHeight="1" x14ac:dyDescent="0.2">
      <c r="A1014" s="21">
        <v>1027</v>
      </c>
      <c r="B1014" s="289" t="s">
        <v>4783</v>
      </c>
      <c r="C1014" s="285"/>
      <c r="D1014" s="255" t="s">
        <v>5221</v>
      </c>
      <c r="E1014" s="18"/>
      <c r="F1014" s="9" t="s">
        <v>1563</v>
      </c>
      <c r="G1014" s="285" t="s">
        <v>7605</v>
      </c>
      <c r="H1014" s="285" t="s">
        <v>7606</v>
      </c>
      <c r="I1014" s="285"/>
      <c r="J1014" s="285" t="s">
        <v>1937</v>
      </c>
      <c r="K1014" s="14" t="s">
        <v>7607</v>
      </c>
      <c r="L1014" s="289" t="s">
        <v>7608</v>
      </c>
      <c r="M1014" s="15">
        <v>42023</v>
      </c>
      <c r="N1014" s="16">
        <v>1</v>
      </c>
      <c r="O1014" s="17">
        <v>1</v>
      </c>
      <c r="P1014" s="17">
        <v>1</v>
      </c>
      <c r="Q1014" s="17">
        <f t="shared" si="23"/>
        <v>0</v>
      </c>
      <c r="R1014" s="285" t="s">
        <v>412</v>
      </c>
      <c r="S1014" s="14" t="s">
        <v>413</v>
      </c>
      <c r="T1014" s="285">
        <v>798</v>
      </c>
    </row>
    <row r="1015" spans="1:20" ht="76.5" customHeight="1" x14ac:dyDescent="0.2">
      <c r="A1015" s="21">
        <v>1028</v>
      </c>
      <c r="B1015" s="289" t="s">
        <v>4784</v>
      </c>
      <c r="C1015" s="285"/>
      <c r="D1015" s="255" t="s">
        <v>1222</v>
      </c>
      <c r="E1015" s="18"/>
      <c r="F1015" s="9" t="s">
        <v>2519</v>
      </c>
      <c r="G1015" s="285" t="s">
        <v>7605</v>
      </c>
      <c r="H1015" s="285" t="s">
        <v>7606</v>
      </c>
      <c r="I1015" s="285"/>
      <c r="J1015" s="285" t="s">
        <v>1937</v>
      </c>
      <c r="K1015" s="14" t="s">
        <v>7607</v>
      </c>
      <c r="L1015" s="289" t="s">
        <v>7608</v>
      </c>
      <c r="M1015" s="15">
        <v>42023</v>
      </c>
      <c r="N1015" s="16">
        <v>1</v>
      </c>
      <c r="O1015" s="17">
        <v>1</v>
      </c>
      <c r="P1015" s="17">
        <v>1</v>
      </c>
      <c r="Q1015" s="17">
        <f t="shared" si="23"/>
        <v>0</v>
      </c>
      <c r="R1015" s="285" t="s">
        <v>412</v>
      </c>
      <c r="S1015" s="14" t="s">
        <v>413</v>
      </c>
      <c r="T1015" s="285">
        <v>798</v>
      </c>
    </row>
    <row r="1016" spans="1:20" ht="76.5" customHeight="1" x14ac:dyDescent="0.2">
      <c r="A1016" s="21">
        <v>1029</v>
      </c>
      <c r="B1016" s="289" t="s">
        <v>4785</v>
      </c>
      <c r="C1016" s="285"/>
      <c r="D1016" s="255" t="s">
        <v>3277</v>
      </c>
      <c r="E1016" s="18"/>
      <c r="F1016" s="9" t="s">
        <v>3278</v>
      </c>
      <c r="G1016" s="285" t="s">
        <v>7605</v>
      </c>
      <c r="H1016" s="285" t="s">
        <v>7606</v>
      </c>
      <c r="I1016" s="285"/>
      <c r="J1016" s="285" t="s">
        <v>1937</v>
      </c>
      <c r="K1016" s="14" t="s">
        <v>7607</v>
      </c>
      <c r="L1016" s="289" t="s">
        <v>7608</v>
      </c>
      <c r="M1016" s="15">
        <v>42023</v>
      </c>
      <c r="N1016" s="16">
        <v>1</v>
      </c>
      <c r="O1016" s="17">
        <v>1</v>
      </c>
      <c r="P1016" s="17">
        <v>1</v>
      </c>
      <c r="Q1016" s="17">
        <f t="shared" si="23"/>
        <v>0</v>
      </c>
      <c r="R1016" s="285" t="s">
        <v>412</v>
      </c>
      <c r="S1016" s="14" t="s">
        <v>413</v>
      </c>
      <c r="T1016" s="285">
        <v>798</v>
      </c>
    </row>
    <row r="1017" spans="1:20" ht="76.5" customHeight="1" x14ac:dyDescent="0.2">
      <c r="A1017" s="21">
        <v>1030</v>
      </c>
      <c r="B1017" s="289" t="s">
        <v>4786</v>
      </c>
      <c r="C1017" s="285"/>
      <c r="D1017" s="255" t="s">
        <v>4692</v>
      </c>
      <c r="E1017" s="18"/>
      <c r="F1017" s="9" t="s">
        <v>4693</v>
      </c>
      <c r="G1017" s="285" t="s">
        <v>7605</v>
      </c>
      <c r="H1017" s="285" t="s">
        <v>7606</v>
      </c>
      <c r="I1017" s="285"/>
      <c r="J1017" s="285" t="s">
        <v>1937</v>
      </c>
      <c r="K1017" s="14" t="s">
        <v>7607</v>
      </c>
      <c r="L1017" s="289" t="s">
        <v>7608</v>
      </c>
      <c r="M1017" s="15">
        <v>42023</v>
      </c>
      <c r="N1017" s="16">
        <v>1</v>
      </c>
      <c r="O1017" s="17">
        <v>1</v>
      </c>
      <c r="P1017" s="17">
        <v>1</v>
      </c>
      <c r="Q1017" s="17">
        <f t="shared" si="23"/>
        <v>0</v>
      </c>
      <c r="R1017" s="285" t="s">
        <v>412</v>
      </c>
      <c r="S1017" s="14" t="s">
        <v>413</v>
      </c>
      <c r="T1017" s="285">
        <v>798</v>
      </c>
    </row>
    <row r="1018" spans="1:20" ht="79.5" customHeight="1" x14ac:dyDescent="0.2">
      <c r="A1018" s="21">
        <v>1031</v>
      </c>
      <c r="B1018" s="289" t="s">
        <v>4787</v>
      </c>
      <c r="C1018" s="285"/>
      <c r="D1018" s="255" t="s">
        <v>4694</v>
      </c>
      <c r="E1018" s="18"/>
      <c r="F1018" s="9" t="s">
        <v>4695</v>
      </c>
      <c r="G1018" s="285" t="s">
        <v>7605</v>
      </c>
      <c r="H1018" s="285" t="s">
        <v>7606</v>
      </c>
      <c r="I1018" s="285"/>
      <c r="J1018" s="285" t="s">
        <v>1937</v>
      </c>
      <c r="K1018" s="14" t="s">
        <v>7607</v>
      </c>
      <c r="L1018" s="289" t="s">
        <v>7608</v>
      </c>
      <c r="M1018" s="15">
        <v>42023</v>
      </c>
      <c r="N1018" s="16">
        <v>1</v>
      </c>
      <c r="O1018" s="17">
        <v>1</v>
      </c>
      <c r="P1018" s="17">
        <v>1</v>
      </c>
      <c r="Q1018" s="17">
        <f t="shared" si="23"/>
        <v>0</v>
      </c>
      <c r="R1018" s="285" t="s">
        <v>412</v>
      </c>
      <c r="S1018" s="14" t="s">
        <v>413</v>
      </c>
      <c r="T1018" s="285">
        <v>798</v>
      </c>
    </row>
    <row r="1019" spans="1:20" ht="79.5" customHeight="1" x14ac:dyDescent="0.2">
      <c r="A1019" s="21">
        <v>1032</v>
      </c>
      <c r="B1019" s="289" t="s">
        <v>4842</v>
      </c>
      <c r="C1019" s="285"/>
      <c r="D1019" s="255" t="s">
        <v>4696</v>
      </c>
      <c r="E1019" s="18"/>
      <c r="F1019" s="9" t="s">
        <v>1048</v>
      </c>
      <c r="G1019" s="285" t="s">
        <v>7605</v>
      </c>
      <c r="H1019" s="285" t="s">
        <v>7606</v>
      </c>
      <c r="I1019" s="285"/>
      <c r="J1019" s="285" t="s">
        <v>7610</v>
      </c>
      <c r="K1019" s="14" t="s">
        <v>7607</v>
      </c>
      <c r="L1019" s="289" t="s">
        <v>7608</v>
      </c>
      <c r="M1019" s="15">
        <v>42023</v>
      </c>
      <c r="N1019" s="16">
        <v>1</v>
      </c>
      <c r="O1019" s="17">
        <v>1</v>
      </c>
      <c r="P1019" s="17">
        <v>1</v>
      </c>
      <c r="Q1019" s="17">
        <f t="shared" si="23"/>
        <v>0</v>
      </c>
      <c r="R1019" s="285" t="s">
        <v>412</v>
      </c>
      <c r="S1019" s="14" t="s">
        <v>413</v>
      </c>
      <c r="T1019" s="285">
        <v>798</v>
      </c>
    </row>
    <row r="1020" spans="1:20" ht="79.5" customHeight="1" x14ac:dyDescent="0.2">
      <c r="A1020" s="21">
        <v>1033</v>
      </c>
      <c r="B1020" s="289" t="s">
        <v>1425</v>
      </c>
      <c r="C1020" s="285"/>
      <c r="D1020" s="255" t="s">
        <v>6088</v>
      </c>
      <c r="E1020" s="18"/>
      <c r="F1020" s="41" t="s">
        <v>6089</v>
      </c>
      <c r="G1020" s="285" t="s">
        <v>4296</v>
      </c>
      <c r="H1020" s="285" t="s">
        <v>3793</v>
      </c>
      <c r="I1020" s="285"/>
      <c r="J1020" s="285" t="s">
        <v>3136</v>
      </c>
      <c r="K1020" s="14">
        <v>42079</v>
      </c>
      <c r="L1020" s="289">
        <v>260</v>
      </c>
      <c r="M1020" s="15">
        <v>42023</v>
      </c>
      <c r="N1020" s="16">
        <v>1</v>
      </c>
      <c r="O1020" s="17">
        <v>1</v>
      </c>
      <c r="P1020" s="17">
        <v>1</v>
      </c>
      <c r="Q1020" s="17">
        <f t="shared" si="23"/>
        <v>0</v>
      </c>
      <c r="R1020" s="285" t="s">
        <v>412</v>
      </c>
      <c r="S1020" s="14" t="s">
        <v>413</v>
      </c>
      <c r="T1020" s="285">
        <v>798</v>
      </c>
    </row>
    <row r="1021" spans="1:20" ht="79.5" customHeight="1" x14ac:dyDescent="0.2">
      <c r="A1021" s="21">
        <v>1034</v>
      </c>
      <c r="B1021" s="289" t="s">
        <v>1426</v>
      </c>
      <c r="C1021" s="285"/>
      <c r="D1021" s="255" t="s">
        <v>1026</v>
      </c>
      <c r="E1021" s="18"/>
      <c r="F1021" s="9" t="s">
        <v>6090</v>
      </c>
      <c r="G1021" s="285" t="s">
        <v>7605</v>
      </c>
      <c r="H1021" s="285" t="s">
        <v>7606</v>
      </c>
      <c r="I1021" s="285"/>
      <c r="J1021" s="285" t="s">
        <v>7610</v>
      </c>
      <c r="K1021" s="14" t="s">
        <v>7607</v>
      </c>
      <c r="L1021" s="289" t="s">
        <v>7608</v>
      </c>
      <c r="M1021" s="15">
        <v>42023</v>
      </c>
      <c r="N1021" s="16">
        <v>1</v>
      </c>
      <c r="O1021" s="17">
        <v>1</v>
      </c>
      <c r="P1021" s="17">
        <v>1</v>
      </c>
      <c r="Q1021" s="17">
        <f t="shared" si="23"/>
        <v>0</v>
      </c>
      <c r="R1021" s="285" t="s">
        <v>412</v>
      </c>
      <c r="S1021" s="14" t="s">
        <v>413</v>
      </c>
      <c r="T1021" s="285">
        <v>798</v>
      </c>
    </row>
    <row r="1022" spans="1:20" ht="80.25" customHeight="1" x14ac:dyDescent="0.2">
      <c r="A1022" s="21">
        <v>1035</v>
      </c>
      <c r="B1022" s="289" t="s">
        <v>1427</v>
      </c>
      <c r="C1022" s="285"/>
      <c r="D1022" s="255" t="s">
        <v>418</v>
      </c>
      <c r="E1022" s="18"/>
      <c r="F1022" s="9" t="s">
        <v>419</v>
      </c>
      <c r="G1022" s="285" t="s">
        <v>7605</v>
      </c>
      <c r="H1022" s="285" t="s">
        <v>7606</v>
      </c>
      <c r="I1022" s="285"/>
      <c r="J1022" s="285" t="s">
        <v>1937</v>
      </c>
      <c r="K1022" s="14" t="s">
        <v>7607</v>
      </c>
      <c r="L1022" s="289" t="s">
        <v>7608</v>
      </c>
      <c r="M1022" s="15">
        <v>42023</v>
      </c>
      <c r="N1022" s="16">
        <v>1</v>
      </c>
      <c r="O1022" s="17">
        <v>1</v>
      </c>
      <c r="P1022" s="17">
        <v>1</v>
      </c>
      <c r="Q1022" s="17">
        <f t="shared" si="23"/>
        <v>0</v>
      </c>
      <c r="R1022" s="285" t="s">
        <v>412</v>
      </c>
      <c r="S1022" s="14" t="s">
        <v>413</v>
      </c>
      <c r="T1022" s="285">
        <v>798</v>
      </c>
    </row>
    <row r="1023" spans="1:20" ht="80.25" customHeight="1" x14ac:dyDescent="0.2">
      <c r="A1023" s="21">
        <v>1036</v>
      </c>
      <c r="B1023" s="289" t="s">
        <v>1428</v>
      </c>
      <c r="C1023" s="285"/>
      <c r="D1023" s="255" t="s">
        <v>421</v>
      </c>
      <c r="E1023" s="18"/>
      <c r="F1023" s="9" t="s">
        <v>88</v>
      </c>
      <c r="G1023" s="285" t="s">
        <v>7605</v>
      </c>
      <c r="H1023" s="285" t="s">
        <v>7606</v>
      </c>
      <c r="I1023" s="285"/>
      <c r="J1023" s="285" t="s">
        <v>1937</v>
      </c>
      <c r="K1023" s="14" t="s">
        <v>7607</v>
      </c>
      <c r="L1023" s="289" t="s">
        <v>7608</v>
      </c>
      <c r="M1023" s="15">
        <v>42023</v>
      </c>
      <c r="N1023" s="16">
        <v>1</v>
      </c>
      <c r="O1023" s="17">
        <v>1</v>
      </c>
      <c r="P1023" s="17">
        <v>1</v>
      </c>
      <c r="Q1023" s="17">
        <f t="shared" si="23"/>
        <v>0</v>
      </c>
      <c r="R1023" s="285" t="s">
        <v>412</v>
      </c>
      <c r="S1023" s="14" t="s">
        <v>413</v>
      </c>
      <c r="T1023" s="285">
        <v>798</v>
      </c>
    </row>
    <row r="1024" spans="1:20" ht="80.25" customHeight="1" x14ac:dyDescent="0.2">
      <c r="A1024" s="21">
        <v>1037</v>
      </c>
      <c r="B1024" s="289" t="s">
        <v>1429</v>
      </c>
      <c r="C1024" s="285"/>
      <c r="D1024" s="255" t="s">
        <v>422</v>
      </c>
      <c r="E1024" s="18"/>
      <c r="F1024" s="9" t="s">
        <v>420</v>
      </c>
      <c r="G1024" s="285" t="s">
        <v>7605</v>
      </c>
      <c r="H1024" s="285" t="s">
        <v>7606</v>
      </c>
      <c r="I1024" s="285"/>
      <c r="J1024" s="285" t="s">
        <v>1937</v>
      </c>
      <c r="K1024" s="14" t="s">
        <v>7607</v>
      </c>
      <c r="L1024" s="289" t="s">
        <v>7608</v>
      </c>
      <c r="M1024" s="15">
        <v>42023</v>
      </c>
      <c r="N1024" s="16">
        <v>1</v>
      </c>
      <c r="O1024" s="17">
        <v>1</v>
      </c>
      <c r="P1024" s="17">
        <v>1</v>
      </c>
      <c r="Q1024" s="17">
        <f t="shared" si="23"/>
        <v>0</v>
      </c>
      <c r="R1024" s="285" t="s">
        <v>412</v>
      </c>
      <c r="S1024" s="14" t="s">
        <v>413</v>
      </c>
      <c r="T1024" s="285">
        <v>798</v>
      </c>
    </row>
    <row r="1025" spans="1:20" ht="80.25" customHeight="1" x14ac:dyDescent="0.2">
      <c r="A1025" s="21">
        <v>1038</v>
      </c>
      <c r="B1025" s="289" t="s">
        <v>1430</v>
      </c>
      <c r="C1025" s="285"/>
      <c r="D1025" s="255" t="s">
        <v>423</v>
      </c>
      <c r="E1025" s="18"/>
      <c r="F1025" s="9" t="s">
        <v>4867</v>
      </c>
      <c r="G1025" s="285" t="s">
        <v>7605</v>
      </c>
      <c r="H1025" s="285" t="s">
        <v>7606</v>
      </c>
      <c r="I1025" s="285"/>
      <c r="J1025" s="285" t="s">
        <v>1937</v>
      </c>
      <c r="K1025" s="14" t="s">
        <v>7607</v>
      </c>
      <c r="L1025" s="289" t="s">
        <v>7608</v>
      </c>
      <c r="M1025" s="15">
        <v>42023</v>
      </c>
      <c r="N1025" s="16">
        <v>1</v>
      </c>
      <c r="O1025" s="17">
        <v>1</v>
      </c>
      <c r="P1025" s="17">
        <v>1</v>
      </c>
      <c r="Q1025" s="17">
        <f t="shared" si="23"/>
        <v>0</v>
      </c>
      <c r="R1025" s="285" t="s">
        <v>412</v>
      </c>
      <c r="S1025" s="14" t="s">
        <v>413</v>
      </c>
      <c r="T1025" s="285">
        <v>798</v>
      </c>
    </row>
    <row r="1026" spans="1:20" ht="80.25" customHeight="1" x14ac:dyDescent="0.2">
      <c r="A1026" s="21">
        <v>1039</v>
      </c>
      <c r="B1026" s="289" t="s">
        <v>1431</v>
      </c>
      <c r="C1026" s="285"/>
      <c r="D1026" s="255" t="s">
        <v>424</v>
      </c>
      <c r="E1026" s="18"/>
      <c r="F1026" s="9" t="s">
        <v>2088</v>
      </c>
      <c r="G1026" s="285" t="s">
        <v>7605</v>
      </c>
      <c r="H1026" s="285" t="s">
        <v>7606</v>
      </c>
      <c r="I1026" s="285"/>
      <c r="J1026" s="285" t="s">
        <v>7610</v>
      </c>
      <c r="K1026" s="14" t="s">
        <v>7607</v>
      </c>
      <c r="L1026" s="289" t="s">
        <v>7608</v>
      </c>
      <c r="M1026" s="15">
        <v>42023</v>
      </c>
      <c r="N1026" s="16">
        <v>1</v>
      </c>
      <c r="O1026" s="17">
        <v>1</v>
      </c>
      <c r="P1026" s="17">
        <v>1</v>
      </c>
      <c r="Q1026" s="17">
        <f t="shared" si="23"/>
        <v>0</v>
      </c>
      <c r="R1026" s="285" t="s">
        <v>412</v>
      </c>
      <c r="S1026" s="14" t="s">
        <v>413</v>
      </c>
      <c r="T1026" s="285">
        <v>798</v>
      </c>
    </row>
    <row r="1027" spans="1:20" ht="75" customHeight="1" x14ac:dyDescent="0.2">
      <c r="A1027" s="21">
        <v>1040</v>
      </c>
      <c r="B1027" s="289" t="s">
        <v>1432</v>
      </c>
      <c r="C1027" s="285"/>
      <c r="D1027" s="255" t="s">
        <v>5630</v>
      </c>
      <c r="E1027" s="18"/>
      <c r="F1027" s="9" t="s">
        <v>5631</v>
      </c>
      <c r="G1027" s="285" t="s">
        <v>7605</v>
      </c>
      <c r="H1027" s="285" t="s">
        <v>7606</v>
      </c>
      <c r="I1027" s="285"/>
      <c r="J1027" s="285" t="s">
        <v>1937</v>
      </c>
      <c r="K1027" s="14" t="s">
        <v>7607</v>
      </c>
      <c r="L1027" s="289" t="s">
        <v>7608</v>
      </c>
      <c r="M1027" s="15">
        <v>42023</v>
      </c>
      <c r="N1027" s="16">
        <v>1</v>
      </c>
      <c r="O1027" s="17">
        <v>1</v>
      </c>
      <c r="P1027" s="17">
        <v>1</v>
      </c>
      <c r="Q1027" s="17">
        <f t="shared" si="23"/>
        <v>0</v>
      </c>
      <c r="R1027" s="285" t="s">
        <v>412</v>
      </c>
      <c r="S1027" s="14" t="s">
        <v>413</v>
      </c>
      <c r="T1027" s="285">
        <v>798</v>
      </c>
    </row>
    <row r="1028" spans="1:20" ht="75" customHeight="1" x14ac:dyDescent="0.2">
      <c r="A1028" s="21">
        <v>1041</v>
      </c>
      <c r="B1028" s="289" t="s">
        <v>1433</v>
      </c>
      <c r="C1028" s="285"/>
      <c r="D1028" s="255" t="s">
        <v>3816</v>
      </c>
      <c r="E1028" s="18"/>
      <c r="F1028" s="9" t="s">
        <v>5784</v>
      </c>
      <c r="G1028" s="285" t="s">
        <v>7605</v>
      </c>
      <c r="H1028" s="285" t="s">
        <v>7606</v>
      </c>
      <c r="I1028" s="285"/>
      <c r="J1028" s="285" t="s">
        <v>1937</v>
      </c>
      <c r="K1028" s="14" t="s">
        <v>7607</v>
      </c>
      <c r="L1028" s="289" t="s">
        <v>7608</v>
      </c>
      <c r="M1028" s="15">
        <v>42023</v>
      </c>
      <c r="N1028" s="16">
        <v>1</v>
      </c>
      <c r="O1028" s="17">
        <v>1</v>
      </c>
      <c r="P1028" s="17">
        <v>1</v>
      </c>
      <c r="Q1028" s="17">
        <f t="shared" si="23"/>
        <v>0</v>
      </c>
      <c r="R1028" s="285" t="s">
        <v>412</v>
      </c>
      <c r="S1028" s="14" t="s">
        <v>413</v>
      </c>
      <c r="T1028" s="285">
        <v>798</v>
      </c>
    </row>
    <row r="1029" spans="1:20" ht="75" customHeight="1" x14ac:dyDescent="0.2">
      <c r="A1029" s="21">
        <v>1042</v>
      </c>
      <c r="B1029" s="289" t="s">
        <v>1434</v>
      </c>
      <c r="C1029" s="285"/>
      <c r="D1029" s="255" t="s">
        <v>5785</v>
      </c>
      <c r="E1029" s="18"/>
      <c r="F1029" s="9" t="s">
        <v>5786</v>
      </c>
      <c r="G1029" s="285" t="s">
        <v>7605</v>
      </c>
      <c r="H1029" s="285" t="s">
        <v>7606</v>
      </c>
      <c r="I1029" s="285"/>
      <c r="J1029" s="285" t="s">
        <v>1937</v>
      </c>
      <c r="K1029" s="14" t="s">
        <v>7607</v>
      </c>
      <c r="L1029" s="289" t="s">
        <v>7608</v>
      </c>
      <c r="M1029" s="15">
        <v>42023</v>
      </c>
      <c r="N1029" s="16">
        <v>1</v>
      </c>
      <c r="O1029" s="17">
        <v>1</v>
      </c>
      <c r="P1029" s="17">
        <v>1</v>
      </c>
      <c r="Q1029" s="17">
        <f t="shared" si="23"/>
        <v>0</v>
      </c>
      <c r="R1029" s="285" t="s">
        <v>412</v>
      </c>
      <c r="S1029" s="14" t="s">
        <v>413</v>
      </c>
      <c r="T1029" s="285">
        <v>798</v>
      </c>
    </row>
    <row r="1030" spans="1:20" ht="75" customHeight="1" x14ac:dyDescent="0.2">
      <c r="A1030" s="21">
        <v>1043</v>
      </c>
      <c r="B1030" s="289" t="s">
        <v>4798</v>
      </c>
      <c r="C1030" s="285"/>
      <c r="D1030" s="255" t="s">
        <v>3951</v>
      </c>
      <c r="E1030" s="18"/>
      <c r="F1030" s="9" t="s">
        <v>5787</v>
      </c>
      <c r="G1030" s="285" t="s">
        <v>7605</v>
      </c>
      <c r="H1030" s="285" t="s">
        <v>7606</v>
      </c>
      <c r="I1030" s="285"/>
      <c r="J1030" s="285" t="s">
        <v>1937</v>
      </c>
      <c r="K1030" s="14" t="s">
        <v>7607</v>
      </c>
      <c r="L1030" s="289" t="s">
        <v>7608</v>
      </c>
      <c r="M1030" s="15">
        <v>42023</v>
      </c>
      <c r="N1030" s="16">
        <v>1</v>
      </c>
      <c r="O1030" s="17">
        <v>1</v>
      </c>
      <c r="P1030" s="17">
        <v>1</v>
      </c>
      <c r="Q1030" s="17">
        <f t="shared" si="23"/>
        <v>0</v>
      </c>
      <c r="R1030" s="285" t="s">
        <v>412</v>
      </c>
      <c r="S1030" s="14" t="s">
        <v>413</v>
      </c>
      <c r="T1030" s="285">
        <v>798</v>
      </c>
    </row>
    <row r="1031" spans="1:20" ht="75" customHeight="1" x14ac:dyDescent="0.2">
      <c r="A1031" s="21">
        <v>1044</v>
      </c>
      <c r="B1031" s="289" t="s">
        <v>4799</v>
      </c>
      <c r="C1031" s="285"/>
      <c r="D1031" s="254" t="s">
        <v>1681</v>
      </c>
      <c r="E1031" s="18"/>
      <c r="F1031" s="9" t="s">
        <v>1682</v>
      </c>
      <c r="G1031" s="285" t="s">
        <v>7605</v>
      </c>
      <c r="H1031" s="285" t="s">
        <v>7606</v>
      </c>
      <c r="I1031" s="285"/>
      <c r="J1031" s="285" t="s">
        <v>1937</v>
      </c>
      <c r="K1031" s="14" t="s">
        <v>7607</v>
      </c>
      <c r="L1031" s="289" t="s">
        <v>7608</v>
      </c>
      <c r="M1031" s="15">
        <v>42023</v>
      </c>
      <c r="N1031" s="16">
        <v>1</v>
      </c>
      <c r="O1031" s="17">
        <v>1</v>
      </c>
      <c r="P1031" s="17">
        <v>1</v>
      </c>
      <c r="Q1031" s="17">
        <f t="shared" si="23"/>
        <v>0</v>
      </c>
      <c r="R1031" s="285" t="s">
        <v>412</v>
      </c>
      <c r="S1031" s="14" t="s">
        <v>413</v>
      </c>
      <c r="T1031" s="285">
        <v>798</v>
      </c>
    </row>
    <row r="1032" spans="1:20" ht="75" customHeight="1" x14ac:dyDescent="0.2">
      <c r="A1032" s="21">
        <v>1045</v>
      </c>
      <c r="B1032" s="45" t="s">
        <v>4800</v>
      </c>
      <c r="C1032" s="285"/>
      <c r="D1032" s="254" t="s">
        <v>1683</v>
      </c>
      <c r="E1032" s="18"/>
      <c r="F1032" s="9" t="s">
        <v>4153</v>
      </c>
      <c r="G1032" s="285" t="s">
        <v>7605</v>
      </c>
      <c r="H1032" s="285" t="s">
        <v>7606</v>
      </c>
      <c r="I1032" s="285"/>
      <c r="J1032" s="285" t="s">
        <v>1937</v>
      </c>
      <c r="K1032" s="14" t="s">
        <v>7607</v>
      </c>
      <c r="L1032" s="289" t="s">
        <v>7608</v>
      </c>
      <c r="M1032" s="15">
        <v>42023</v>
      </c>
      <c r="N1032" s="16">
        <v>1</v>
      </c>
      <c r="O1032" s="17">
        <v>1</v>
      </c>
      <c r="P1032" s="17">
        <v>1</v>
      </c>
      <c r="Q1032" s="17">
        <f t="shared" si="23"/>
        <v>0</v>
      </c>
      <c r="R1032" s="285" t="s">
        <v>412</v>
      </c>
      <c r="S1032" s="14" t="s">
        <v>413</v>
      </c>
      <c r="T1032" s="285">
        <v>798</v>
      </c>
    </row>
    <row r="1033" spans="1:20" ht="74.25" customHeight="1" x14ac:dyDescent="0.2">
      <c r="A1033" s="21">
        <v>1046</v>
      </c>
      <c r="B1033" s="289" t="s">
        <v>4801</v>
      </c>
      <c r="C1033" s="285"/>
      <c r="D1033" s="254" t="s">
        <v>4154</v>
      </c>
      <c r="E1033" s="18"/>
      <c r="F1033" s="9" t="s">
        <v>2129</v>
      </c>
      <c r="G1033" s="285" t="s">
        <v>7605</v>
      </c>
      <c r="H1033" s="285" t="s">
        <v>7606</v>
      </c>
      <c r="I1033" s="285"/>
      <c r="J1033" s="285" t="s">
        <v>1937</v>
      </c>
      <c r="K1033" s="14" t="s">
        <v>7607</v>
      </c>
      <c r="L1033" s="289" t="s">
        <v>7608</v>
      </c>
      <c r="M1033" s="15">
        <v>42023</v>
      </c>
      <c r="N1033" s="16">
        <v>1</v>
      </c>
      <c r="O1033" s="17">
        <v>1</v>
      </c>
      <c r="P1033" s="17">
        <v>1</v>
      </c>
      <c r="Q1033" s="17">
        <f t="shared" si="23"/>
        <v>0</v>
      </c>
      <c r="R1033" s="285" t="s">
        <v>412</v>
      </c>
      <c r="S1033" s="14" t="s">
        <v>413</v>
      </c>
      <c r="T1033" s="285">
        <v>798</v>
      </c>
    </row>
    <row r="1034" spans="1:20" ht="74.25" customHeight="1" x14ac:dyDescent="0.2">
      <c r="A1034" s="21">
        <v>1047</v>
      </c>
      <c r="B1034" s="289" t="s">
        <v>4802</v>
      </c>
      <c r="C1034" s="285"/>
      <c r="D1034" s="254" t="s">
        <v>3687</v>
      </c>
      <c r="E1034" s="18"/>
      <c r="F1034" s="255" t="s">
        <v>5323</v>
      </c>
      <c r="G1034" s="285" t="s">
        <v>7605</v>
      </c>
      <c r="H1034" s="285" t="s">
        <v>7606</v>
      </c>
      <c r="I1034" s="285"/>
      <c r="J1034" s="285" t="s">
        <v>1937</v>
      </c>
      <c r="K1034" s="14" t="s">
        <v>9898</v>
      </c>
      <c r="L1034" s="289" t="s">
        <v>9895</v>
      </c>
      <c r="M1034" s="15">
        <v>42023</v>
      </c>
      <c r="N1034" s="16">
        <v>1</v>
      </c>
      <c r="O1034" s="17">
        <v>1</v>
      </c>
      <c r="P1034" s="17">
        <v>1</v>
      </c>
      <c r="Q1034" s="17">
        <f t="shared" si="23"/>
        <v>0</v>
      </c>
      <c r="R1034" s="285" t="s">
        <v>412</v>
      </c>
      <c r="S1034" s="14" t="s">
        <v>413</v>
      </c>
      <c r="T1034" s="285">
        <v>798</v>
      </c>
    </row>
    <row r="1035" spans="1:20" ht="74.25" customHeight="1" x14ac:dyDescent="0.2">
      <c r="A1035" s="21">
        <v>1048</v>
      </c>
      <c r="B1035" s="289" t="s">
        <v>4803</v>
      </c>
      <c r="C1035" s="285"/>
      <c r="D1035" s="254" t="s">
        <v>5324</v>
      </c>
      <c r="E1035" s="18"/>
      <c r="F1035" s="9" t="s">
        <v>4819</v>
      </c>
      <c r="G1035" s="285" t="s">
        <v>7605</v>
      </c>
      <c r="H1035" s="285" t="s">
        <v>7606</v>
      </c>
      <c r="I1035" s="285"/>
      <c r="J1035" s="285" t="s">
        <v>1937</v>
      </c>
      <c r="K1035" s="14" t="s">
        <v>7607</v>
      </c>
      <c r="L1035" s="289" t="s">
        <v>7608</v>
      </c>
      <c r="M1035" s="15">
        <v>42023</v>
      </c>
      <c r="N1035" s="16">
        <v>1</v>
      </c>
      <c r="O1035" s="17">
        <v>1</v>
      </c>
      <c r="P1035" s="17">
        <v>1</v>
      </c>
      <c r="Q1035" s="17">
        <f t="shared" si="23"/>
        <v>0</v>
      </c>
      <c r="R1035" s="285" t="s">
        <v>412</v>
      </c>
      <c r="S1035" s="14" t="s">
        <v>413</v>
      </c>
      <c r="T1035" s="285">
        <v>798</v>
      </c>
    </row>
    <row r="1036" spans="1:20" ht="74.25" customHeight="1" x14ac:dyDescent="0.2">
      <c r="A1036" s="21">
        <v>1049</v>
      </c>
      <c r="B1036" s="289" t="s">
        <v>4804</v>
      </c>
      <c r="C1036" s="285"/>
      <c r="D1036" s="254" t="s">
        <v>1812</v>
      </c>
      <c r="E1036" s="18"/>
      <c r="F1036" s="9" t="s">
        <v>4818</v>
      </c>
      <c r="G1036" s="285" t="s">
        <v>7605</v>
      </c>
      <c r="H1036" s="285" t="s">
        <v>7606</v>
      </c>
      <c r="I1036" s="285"/>
      <c r="J1036" s="285" t="s">
        <v>7610</v>
      </c>
      <c r="K1036" s="14" t="s">
        <v>7607</v>
      </c>
      <c r="L1036" s="289" t="s">
        <v>7608</v>
      </c>
      <c r="M1036" s="15">
        <v>42023</v>
      </c>
      <c r="N1036" s="16">
        <v>1</v>
      </c>
      <c r="O1036" s="17">
        <v>1</v>
      </c>
      <c r="P1036" s="17">
        <v>1</v>
      </c>
      <c r="Q1036" s="17">
        <f t="shared" si="23"/>
        <v>0</v>
      </c>
      <c r="R1036" s="285" t="s">
        <v>412</v>
      </c>
      <c r="S1036" s="14" t="s">
        <v>413</v>
      </c>
      <c r="T1036" s="285">
        <v>798</v>
      </c>
    </row>
    <row r="1037" spans="1:20" ht="74.25" customHeight="1" x14ac:dyDescent="0.2">
      <c r="A1037" s="21">
        <v>1050</v>
      </c>
      <c r="B1037" s="289" t="s">
        <v>4805</v>
      </c>
      <c r="C1037" s="285"/>
      <c r="D1037" s="254" t="s">
        <v>1813</v>
      </c>
      <c r="E1037" s="18"/>
      <c r="F1037" s="9" t="s">
        <v>1757</v>
      </c>
      <c r="G1037" s="285" t="s">
        <v>7605</v>
      </c>
      <c r="H1037" s="285" t="s">
        <v>7606</v>
      </c>
      <c r="I1037" s="285"/>
      <c r="J1037" s="285" t="s">
        <v>7610</v>
      </c>
      <c r="K1037" s="14" t="s">
        <v>7607</v>
      </c>
      <c r="L1037" s="289" t="s">
        <v>7608</v>
      </c>
      <c r="M1037" s="15">
        <v>42023</v>
      </c>
      <c r="N1037" s="16">
        <v>1</v>
      </c>
      <c r="O1037" s="17">
        <v>1</v>
      </c>
      <c r="P1037" s="17">
        <v>1</v>
      </c>
      <c r="Q1037" s="17">
        <f t="shared" si="23"/>
        <v>0</v>
      </c>
      <c r="R1037" s="285" t="s">
        <v>412</v>
      </c>
      <c r="S1037" s="14" t="s">
        <v>413</v>
      </c>
      <c r="T1037" s="285">
        <v>798</v>
      </c>
    </row>
    <row r="1038" spans="1:20" ht="74.25" customHeight="1" x14ac:dyDescent="0.2">
      <c r="A1038" s="21">
        <v>1051</v>
      </c>
      <c r="B1038" s="289" t="s">
        <v>4806</v>
      </c>
      <c r="C1038" s="285"/>
      <c r="D1038" s="255" t="s">
        <v>1758</v>
      </c>
      <c r="E1038" s="18"/>
      <c r="F1038" s="9" t="s">
        <v>1759</v>
      </c>
      <c r="G1038" s="285" t="s">
        <v>7605</v>
      </c>
      <c r="H1038" s="285" t="s">
        <v>7606</v>
      </c>
      <c r="I1038" s="285"/>
      <c r="J1038" s="285" t="s">
        <v>1937</v>
      </c>
      <c r="K1038" s="14" t="s">
        <v>7607</v>
      </c>
      <c r="L1038" s="289" t="s">
        <v>7608</v>
      </c>
      <c r="M1038" s="15">
        <v>42023</v>
      </c>
      <c r="N1038" s="16">
        <v>2</v>
      </c>
      <c r="O1038" s="17">
        <v>2</v>
      </c>
      <c r="P1038" s="17">
        <v>2</v>
      </c>
      <c r="Q1038" s="17">
        <f t="shared" si="23"/>
        <v>0</v>
      </c>
      <c r="R1038" s="285" t="s">
        <v>412</v>
      </c>
      <c r="S1038" s="14" t="s">
        <v>413</v>
      </c>
      <c r="T1038" s="285">
        <v>798</v>
      </c>
    </row>
    <row r="1039" spans="1:20" ht="79.5" customHeight="1" x14ac:dyDescent="0.2">
      <c r="A1039" s="21">
        <v>1052</v>
      </c>
      <c r="B1039" s="289" t="s">
        <v>4807</v>
      </c>
      <c r="C1039" s="285"/>
      <c r="D1039" s="255" t="s">
        <v>3227</v>
      </c>
      <c r="E1039" s="18"/>
      <c r="F1039" s="9" t="s">
        <v>3228</v>
      </c>
      <c r="G1039" s="285" t="s">
        <v>7605</v>
      </c>
      <c r="H1039" s="285" t="s">
        <v>7606</v>
      </c>
      <c r="I1039" s="285"/>
      <c r="J1039" s="285" t="s">
        <v>1937</v>
      </c>
      <c r="K1039" s="14" t="s">
        <v>9899</v>
      </c>
      <c r="L1039" s="289" t="s">
        <v>9895</v>
      </c>
      <c r="M1039" s="15">
        <v>42023</v>
      </c>
      <c r="N1039" s="16">
        <v>1</v>
      </c>
      <c r="O1039" s="17">
        <v>1</v>
      </c>
      <c r="P1039" s="17">
        <v>1</v>
      </c>
      <c r="Q1039" s="17">
        <f t="shared" si="23"/>
        <v>0</v>
      </c>
      <c r="R1039" s="285" t="s">
        <v>412</v>
      </c>
      <c r="S1039" s="14" t="s">
        <v>413</v>
      </c>
      <c r="T1039" s="285">
        <v>798</v>
      </c>
    </row>
    <row r="1040" spans="1:20" ht="79.5" customHeight="1" x14ac:dyDescent="0.2">
      <c r="A1040" s="21">
        <v>1053</v>
      </c>
      <c r="B1040" s="289" t="s">
        <v>4808</v>
      </c>
      <c r="C1040" s="285"/>
      <c r="D1040" s="254" t="s">
        <v>3229</v>
      </c>
      <c r="E1040" s="18"/>
      <c r="F1040" s="9" t="s">
        <v>3230</v>
      </c>
      <c r="G1040" s="285" t="s">
        <v>7605</v>
      </c>
      <c r="H1040" s="285" t="s">
        <v>7606</v>
      </c>
      <c r="I1040" s="289"/>
      <c r="J1040" s="285" t="s">
        <v>7610</v>
      </c>
      <c r="K1040" s="14" t="s">
        <v>9899</v>
      </c>
      <c r="L1040" s="289" t="s">
        <v>9895</v>
      </c>
      <c r="M1040" s="15">
        <v>42023</v>
      </c>
      <c r="N1040" s="16">
        <v>2</v>
      </c>
      <c r="O1040" s="17">
        <v>2</v>
      </c>
      <c r="P1040" s="17">
        <v>2</v>
      </c>
      <c r="Q1040" s="17">
        <f t="shared" si="23"/>
        <v>0</v>
      </c>
      <c r="R1040" s="285" t="s">
        <v>412</v>
      </c>
      <c r="S1040" s="14" t="s">
        <v>413</v>
      </c>
      <c r="T1040" s="285">
        <v>798</v>
      </c>
    </row>
    <row r="1041" spans="1:20" ht="79.5" customHeight="1" x14ac:dyDescent="0.2">
      <c r="A1041" s="21">
        <v>1054</v>
      </c>
      <c r="B1041" s="289" t="s">
        <v>4809</v>
      </c>
      <c r="C1041" s="285"/>
      <c r="D1041" s="255" t="s">
        <v>408</v>
      </c>
      <c r="E1041" s="18"/>
      <c r="F1041" s="9" t="s">
        <v>409</v>
      </c>
      <c r="G1041" s="285" t="s">
        <v>7605</v>
      </c>
      <c r="H1041" s="285" t="s">
        <v>7606</v>
      </c>
      <c r="I1041" s="285"/>
      <c r="J1041" s="285" t="s">
        <v>7610</v>
      </c>
      <c r="K1041" s="14" t="s">
        <v>7607</v>
      </c>
      <c r="L1041" s="289" t="s">
        <v>7608</v>
      </c>
      <c r="M1041" s="15">
        <v>42023</v>
      </c>
      <c r="N1041" s="16">
        <v>1</v>
      </c>
      <c r="O1041" s="17">
        <v>1</v>
      </c>
      <c r="P1041" s="17">
        <v>1</v>
      </c>
      <c r="Q1041" s="17">
        <f t="shared" si="23"/>
        <v>0</v>
      </c>
      <c r="R1041" s="285" t="s">
        <v>412</v>
      </c>
      <c r="S1041" s="14" t="s">
        <v>413</v>
      </c>
      <c r="T1041" s="285">
        <v>798</v>
      </c>
    </row>
    <row r="1042" spans="1:20" ht="79.5" customHeight="1" x14ac:dyDescent="0.2">
      <c r="A1042" s="21">
        <v>1055</v>
      </c>
      <c r="B1042" s="289" t="s">
        <v>4810</v>
      </c>
      <c r="C1042" s="285"/>
      <c r="D1042" s="255" t="s">
        <v>3805</v>
      </c>
      <c r="E1042" s="18"/>
      <c r="F1042" s="9" t="s">
        <v>3813</v>
      </c>
      <c r="G1042" s="285" t="s">
        <v>7605</v>
      </c>
      <c r="H1042" s="285" t="s">
        <v>7606</v>
      </c>
      <c r="I1042" s="285"/>
      <c r="J1042" s="285" t="s">
        <v>7610</v>
      </c>
      <c r="K1042" s="14" t="s">
        <v>9894</v>
      </c>
      <c r="L1042" s="289" t="s">
        <v>9895</v>
      </c>
      <c r="M1042" s="15">
        <v>42023</v>
      </c>
      <c r="N1042" s="16">
        <v>1</v>
      </c>
      <c r="O1042" s="17">
        <v>1</v>
      </c>
      <c r="P1042" s="17">
        <v>1</v>
      </c>
      <c r="Q1042" s="17">
        <f t="shared" si="23"/>
        <v>0</v>
      </c>
      <c r="R1042" s="285" t="s">
        <v>412</v>
      </c>
      <c r="S1042" s="14" t="s">
        <v>413</v>
      </c>
      <c r="T1042" s="285">
        <v>798</v>
      </c>
    </row>
    <row r="1043" spans="1:20" ht="79.5" customHeight="1" x14ac:dyDescent="0.2">
      <c r="A1043" s="21">
        <v>1056</v>
      </c>
      <c r="B1043" s="289" t="s">
        <v>4811</v>
      </c>
      <c r="C1043" s="285"/>
      <c r="D1043" s="255" t="s">
        <v>3806</v>
      </c>
      <c r="E1043" s="18"/>
      <c r="F1043" s="9" t="s">
        <v>3814</v>
      </c>
      <c r="G1043" s="285" t="s">
        <v>7605</v>
      </c>
      <c r="H1043" s="285" t="s">
        <v>7606</v>
      </c>
      <c r="I1043" s="285"/>
      <c r="J1043" s="285" t="s">
        <v>7610</v>
      </c>
      <c r="K1043" s="14" t="s">
        <v>7607</v>
      </c>
      <c r="L1043" s="289" t="s">
        <v>7608</v>
      </c>
      <c r="M1043" s="15">
        <v>42023</v>
      </c>
      <c r="N1043" s="16">
        <v>1</v>
      </c>
      <c r="O1043" s="17">
        <v>1</v>
      </c>
      <c r="P1043" s="17">
        <v>1</v>
      </c>
      <c r="Q1043" s="17">
        <f t="shared" si="23"/>
        <v>0</v>
      </c>
      <c r="R1043" s="285" t="s">
        <v>412</v>
      </c>
      <c r="S1043" s="14" t="s">
        <v>413</v>
      </c>
      <c r="T1043" s="285">
        <v>798</v>
      </c>
    </row>
    <row r="1044" spans="1:20" ht="79.5" customHeight="1" x14ac:dyDescent="0.2">
      <c r="A1044" s="21">
        <v>1057</v>
      </c>
      <c r="B1044" s="289" t="s">
        <v>4812</v>
      </c>
      <c r="C1044" s="285"/>
      <c r="D1044" s="254" t="s">
        <v>3807</v>
      </c>
      <c r="E1044" s="18"/>
      <c r="F1044" s="9" t="s">
        <v>3815</v>
      </c>
      <c r="G1044" s="285" t="s">
        <v>7605</v>
      </c>
      <c r="H1044" s="285" t="s">
        <v>7606</v>
      </c>
      <c r="I1044" s="285"/>
      <c r="J1044" s="285" t="s">
        <v>7610</v>
      </c>
      <c r="K1044" s="14" t="s">
        <v>7607</v>
      </c>
      <c r="L1044" s="289" t="s">
        <v>7608</v>
      </c>
      <c r="M1044" s="15">
        <v>42023</v>
      </c>
      <c r="N1044" s="16">
        <v>1</v>
      </c>
      <c r="O1044" s="17">
        <v>1</v>
      </c>
      <c r="P1044" s="17">
        <v>1</v>
      </c>
      <c r="Q1044" s="17">
        <f t="shared" si="23"/>
        <v>0</v>
      </c>
      <c r="R1044" s="285" t="s">
        <v>412</v>
      </c>
      <c r="S1044" s="14" t="s">
        <v>413</v>
      </c>
      <c r="T1044" s="285">
        <v>798</v>
      </c>
    </row>
    <row r="1045" spans="1:20" ht="76.5" customHeight="1" x14ac:dyDescent="0.2">
      <c r="A1045" s="21">
        <v>1058</v>
      </c>
      <c r="B1045" s="289" t="s">
        <v>4813</v>
      </c>
      <c r="C1045" s="285"/>
      <c r="D1045" s="254" t="s">
        <v>3808</v>
      </c>
      <c r="E1045" s="18"/>
      <c r="F1045" s="9" t="s">
        <v>2532</v>
      </c>
      <c r="G1045" s="285" t="s">
        <v>4296</v>
      </c>
      <c r="H1045" s="285" t="s">
        <v>3793</v>
      </c>
      <c r="I1045" s="285"/>
      <c r="J1045" s="285" t="s">
        <v>3136</v>
      </c>
      <c r="K1045" s="14">
        <v>42079</v>
      </c>
      <c r="L1045" s="289">
        <v>260</v>
      </c>
      <c r="M1045" s="15">
        <v>42023</v>
      </c>
      <c r="N1045" s="16">
        <v>1</v>
      </c>
      <c r="O1045" s="17">
        <v>1</v>
      </c>
      <c r="P1045" s="17">
        <v>1</v>
      </c>
      <c r="Q1045" s="17">
        <f t="shared" si="23"/>
        <v>0</v>
      </c>
      <c r="R1045" s="285" t="s">
        <v>412</v>
      </c>
      <c r="S1045" s="14" t="s">
        <v>413</v>
      </c>
      <c r="T1045" s="285">
        <v>798</v>
      </c>
    </row>
    <row r="1046" spans="1:20" ht="76.5" customHeight="1" x14ac:dyDescent="0.2">
      <c r="A1046" s="21">
        <v>1059</v>
      </c>
      <c r="B1046" s="289" t="s">
        <v>4814</v>
      </c>
      <c r="C1046" s="285"/>
      <c r="D1046" s="254" t="s">
        <v>3809</v>
      </c>
      <c r="E1046" s="18"/>
      <c r="F1046" s="9" t="s">
        <v>2533</v>
      </c>
      <c r="G1046" s="285" t="s">
        <v>4296</v>
      </c>
      <c r="H1046" s="285" t="s">
        <v>3793</v>
      </c>
      <c r="I1046" s="285"/>
      <c r="J1046" s="285" t="s">
        <v>3136</v>
      </c>
      <c r="K1046" s="14">
        <v>42079</v>
      </c>
      <c r="L1046" s="289">
        <v>260</v>
      </c>
      <c r="M1046" s="15">
        <v>42023</v>
      </c>
      <c r="N1046" s="16">
        <v>1</v>
      </c>
      <c r="O1046" s="17">
        <v>1</v>
      </c>
      <c r="P1046" s="17">
        <v>1</v>
      </c>
      <c r="Q1046" s="17">
        <f t="shared" si="23"/>
        <v>0</v>
      </c>
      <c r="R1046" s="285" t="s">
        <v>412</v>
      </c>
      <c r="S1046" s="14" t="s">
        <v>413</v>
      </c>
      <c r="T1046" s="285">
        <v>798</v>
      </c>
    </row>
    <row r="1047" spans="1:20" ht="76.5" customHeight="1" x14ac:dyDescent="0.2">
      <c r="A1047" s="21">
        <v>1060</v>
      </c>
      <c r="B1047" s="289" t="s">
        <v>4815</v>
      </c>
      <c r="C1047" s="285"/>
      <c r="D1047" s="254" t="s">
        <v>3810</v>
      </c>
      <c r="E1047" s="18"/>
      <c r="F1047" s="9" t="s">
        <v>2534</v>
      </c>
      <c r="G1047" s="285" t="s">
        <v>4296</v>
      </c>
      <c r="H1047" s="285" t="s">
        <v>3793</v>
      </c>
      <c r="I1047" s="285"/>
      <c r="J1047" s="285" t="s">
        <v>3136</v>
      </c>
      <c r="K1047" s="14">
        <v>42079</v>
      </c>
      <c r="L1047" s="289">
        <v>260</v>
      </c>
      <c r="M1047" s="15">
        <v>42023</v>
      </c>
      <c r="N1047" s="16">
        <v>1</v>
      </c>
      <c r="O1047" s="17">
        <v>1</v>
      </c>
      <c r="P1047" s="17">
        <v>1</v>
      </c>
      <c r="Q1047" s="17">
        <f t="shared" si="23"/>
        <v>0</v>
      </c>
      <c r="R1047" s="285" t="s">
        <v>412</v>
      </c>
      <c r="S1047" s="14" t="s">
        <v>413</v>
      </c>
      <c r="T1047" s="285">
        <v>798</v>
      </c>
    </row>
    <row r="1048" spans="1:20" ht="76.5" customHeight="1" x14ac:dyDescent="0.2">
      <c r="A1048" s="21">
        <v>1061</v>
      </c>
      <c r="B1048" s="289" t="s">
        <v>4816</v>
      </c>
      <c r="C1048" s="285"/>
      <c r="D1048" s="255" t="s">
        <v>3811</v>
      </c>
      <c r="E1048" s="18"/>
      <c r="F1048" s="9" t="s">
        <v>2535</v>
      </c>
      <c r="G1048" s="285" t="s">
        <v>7605</v>
      </c>
      <c r="H1048" s="285" t="s">
        <v>7606</v>
      </c>
      <c r="I1048" s="285"/>
      <c r="J1048" s="285" t="s">
        <v>1937</v>
      </c>
      <c r="K1048" s="14" t="s">
        <v>7607</v>
      </c>
      <c r="L1048" s="289" t="s">
        <v>7608</v>
      </c>
      <c r="M1048" s="15">
        <v>42023</v>
      </c>
      <c r="N1048" s="16">
        <v>1</v>
      </c>
      <c r="O1048" s="17">
        <v>1</v>
      </c>
      <c r="P1048" s="17">
        <v>1</v>
      </c>
      <c r="Q1048" s="17">
        <f t="shared" si="23"/>
        <v>0</v>
      </c>
      <c r="R1048" s="285" t="s">
        <v>412</v>
      </c>
      <c r="S1048" s="14" t="s">
        <v>413</v>
      </c>
      <c r="T1048" s="285">
        <v>798</v>
      </c>
    </row>
    <row r="1049" spans="1:20" ht="76.5" customHeight="1" x14ac:dyDescent="0.2">
      <c r="A1049" s="21">
        <v>1062</v>
      </c>
      <c r="B1049" s="289" t="s">
        <v>4817</v>
      </c>
      <c r="C1049" s="285"/>
      <c r="D1049" s="255" t="s">
        <v>3812</v>
      </c>
      <c r="E1049" s="18"/>
      <c r="F1049" s="9" t="s">
        <v>4610</v>
      </c>
      <c r="G1049" s="285" t="s">
        <v>7605</v>
      </c>
      <c r="H1049" s="285" t="s">
        <v>7606</v>
      </c>
      <c r="I1049" s="285"/>
      <c r="J1049" s="285" t="s">
        <v>1937</v>
      </c>
      <c r="K1049" s="14" t="s">
        <v>7607</v>
      </c>
      <c r="L1049" s="289" t="s">
        <v>7608</v>
      </c>
      <c r="M1049" s="15">
        <v>42023</v>
      </c>
      <c r="N1049" s="16">
        <v>1</v>
      </c>
      <c r="O1049" s="17">
        <v>1</v>
      </c>
      <c r="P1049" s="17">
        <v>1</v>
      </c>
      <c r="Q1049" s="17">
        <f t="shared" si="23"/>
        <v>0</v>
      </c>
      <c r="R1049" s="285" t="s">
        <v>412</v>
      </c>
      <c r="S1049" s="14" t="s">
        <v>413</v>
      </c>
      <c r="T1049" s="285">
        <v>798</v>
      </c>
    </row>
    <row r="1050" spans="1:20" ht="76.5" customHeight="1" x14ac:dyDescent="0.2">
      <c r="A1050" s="21">
        <v>1063</v>
      </c>
      <c r="B1050" s="289" t="s">
        <v>841</v>
      </c>
      <c r="C1050" s="285" t="s">
        <v>6325</v>
      </c>
      <c r="D1050" s="9" t="s">
        <v>1084</v>
      </c>
      <c r="E1050" s="18"/>
      <c r="F1050" s="13" t="s">
        <v>4072</v>
      </c>
      <c r="G1050" s="285" t="s">
        <v>7967</v>
      </c>
      <c r="H1050" s="285" t="s">
        <v>5127</v>
      </c>
      <c r="I1050" s="285"/>
      <c r="J1050" s="285"/>
      <c r="K1050" s="15"/>
      <c r="L1050" s="289"/>
      <c r="M1050" s="15"/>
      <c r="N1050" s="16">
        <v>2</v>
      </c>
      <c r="O1050" s="17">
        <v>7000</v>
      </c>
      <c r="P1050" s="17">
        <v>7000</v>
      </c>
      <c r="Q1050" s="17">
        <f t="shared" si="23"/>
        <v>0</v>
      </c>
      <c r="R1050" s="285"/>
      <c r="S1050" s="14"/>
      <c r="T1050" s="285"/>
    </row>
    <row r="1051" spans="1:20" ht="76.5" customHeight="1" x14ac:dyDescent="0.2">
      <c r="A1051" s="21">
        <v>1064</v>
      </c>
      <c r="B1051" s="289" t="s">
        <v>4073</v>
      </c>
      <c r="C1051" s="285" t="s">
        <v>6325</v>
      </c>
      <c r="D1051" s="9" t="s">
        <v>1877</v>
      </c>
      <c r="E1051" s="18"/>
      <c r="F1051" s="13" t="s">
        <v>3281</v>
      </c>
      <c r="G1051" s="285" t="s">
        <v>7967</v>
      </c>
      <c r="H1051" s="285" t="s">
        <v>5127</v>
      </c>
      <c r="I1051" s="285"/>
      <c r="J1051" s="285"/>
      <c r="K1051" s="15"/>
      <c r="L1051" s="289"/>
      <c r="M1051" s="15"/>
      <c r="N1051" s="16">
        <v>1</v>
      </c>
      <c r="O1051" s="17">
        <v>7129.65</v>
      </c>
      <c r="P1051" s="17">
        <v>7129.65</v>
      </c>
      <c r="Q1051" s="17">
        <f t="shared" si="23"/>
        <v>0</v>
      </c>
      <c r="R1051" s="285"/>
      <c r="S1051" s="14"/>
      <c r="T1051" s="285"/>
    </row>
    <row r="1052" spans="1:20" ht="76.5" customHeight="1" x14ac:dyDescent="0.2">
      <c r="A1052" s="21">
        <v>1065</v>
      </c>
      <c r="B1052" s="289" t="s">
        <v>3279</v>
      </c>
      <c r="C1052" s="285" t="s">
        <v>6325</v>
      </c>
      <c r="D1052" s="9" t="s">
        <v>5723</v>
      </c>
      <c r="E1052" s="18"/>
      <c r="F1052" s="13" t="s">
        <v>4094</v>
      </c>
      <c r="G1052" s="285" t="s">
        <v>7967</v>
      </c>
      <c r="H1052" s="285" t="s">
        <v>5127</v>
      </c>
      <c r="I1052" s="285"/>
      <c r="J1052" s="285"/>
      <c r="K1052" s="15"/>
      <c r="L1052" s="289"/>
      <c r="M1052" s="15"/>
      <c r="N1052" s="16">
        <v>1</v>
      </c>
      <c r="O1052" s="17">
        <v>8660</v>
      </c>
      <c r="P1052" s="17">
        <v>8660</v>
      </c>
      <c r="Q1052" s="17">
        <f t="shared" si="23"/>
        <v>0</v>
      </c>
      <c r="R1052" s="285"/>
      <c r="S1052" s="14"/>
      <c r="T1052" s="285"/>
    </row>
    <row r="1053" spans="1:20" ht="78.75" customHeight="1" x14ac:dyDescent="0.2">
      <c r="A1053" s="21">
        <v>1066</v>
      </c>
      <c r="B1053" s="289" t="s">
        <v>3280</v>
      </c>
      <c r="C1053" s="285" t="s">
        <v>6325</v>
      </c>
      <c r="D1053" s="9" t="s">
        <v>4894</v>
      </c>
      <c r="E1053" s="18"/>
      <c r="F1053" s="13" t="s">
        <v>4095</v>
      </c>
      <c r="G1053" s="285" t="s">
        <v>7967</v>
      </c>
      <c r="H1053" s="285" t="s">
        <v>5127</v>
      </c>
      <c r="I1053" s="285"/>
      <c r="J1053" s="285"/>
      <c r="K1053" s="15"/>
      <c r="L1053" s="289"/>
      <c r="M1053" s="15"/>
      <c r="N1053" s="16">
        <v>1</v>
      </c>
      <c r="O1053" s="17">
        <v>6500</v>
      </c>
      <c r="P1053" s="17">
        <v>6500</v>
      </c>
      <c r="Q1053" s="17">
        <f t="shared" si="23"/>
        <v>0</v>
      </c>
      <c r="R1053" s="285"/>
      <c r="S1053" s="14"/>
      <c r="T1053" s="285"/>
    </row>
    <row r="1054" spans="1:20" ht="78.75" customHeight="1" x14ac:dyDescent="0.2">
      <c r="A1054" s="21">
        <v>1067</v>
      </c>
      <c r="B1054" s="289" t="s">
        <v>3282</v>
      </c>
      <c r="C1054" s="285" t="s">
        <v>6325</v>
      </c>
      <c r="D1054" s="9" t="s">
        <v>3747</v>
      </c>
      <c r="E1054" s="18"/>
      <c r="F1054" s="13" t="s">
        <v>4096</v>
      </c>
      <c r="G1054" s="285" t="s">
        <v>7967</v>
      </c>
      <c r="H1054" s="285" t="s">
        <v>5127</v>
      </c>
      <c r="I1054" s="285"/>
      <c r="J1054" s="285"/>
      <c r="K1054" s="15"/>
      <c r="L1054" s="289"/>
      <c r="M1054" s="15"/>
      <c r="N1054" s="16">
        <v>1</v>
      </c>
      <c r="O1054" s="17">
        <v>6484.32</v>
      </c>
      <c r="P1054" s="17">
        <v>6484.32</v>
      </c>
      <c r="Q1054" s="17">
        <f t="shared" si="23"/>
        <v>0</v>
      </c>
      <c r="R1054" s="285"/>
      <c r="S1054" s="14"/>
      <c r="T1054" s="285"/>
    </row>
    <row r="1055" spans="1:20" ht="78.75" customHeight="1" x14ac:dyDescent="0.2">
      <c r="A1055" s="21">
        <v>1068</v>
      </c>
      <c r="B1055" s="289" t="s">
        <v>3283</v>
      </c>
      <c r="C1055" s="285" t="s">
        <v>6325</v>
      </c>
      <c r="D1055" s="9" t="s">
        <v>952</v>
      </c>
      <c r="E1055" s="18"/>
      <c r="F1055" s="13" t="s">
        <v>4097</v>
      </c>
      <c r="G1055" s="285" t="s">
        <v>7967</v>
      </c>
      <c r="H1055" s="285" t="s">
        <v>5127</v>
      </c>
      <c r="I1055" s="285"/>
      <c r="J1055" s="285"/>
      <c r="K1055" s="15"/>
      <c r="L1055" s="289"/>
      <c r="M1055" s="15"/>
      <c r="N1055" s="16">
        <v>1</v>
      </c>
      <c r="O1055" s="17">
        <v>9281.25</v>
      </c>
      <c r="P1055" s="17">
        <v>9281.25</v>
      </c>
      <c r="Q1055" s="17">
        <f t="shared" si="23"/>
        <v>0</v>
      </c>
      <c r="R1055" s="285"/>
      <c r="S1055" s="14"/>
      <c r="T1055" s="285"/>
    </row>
    <row r="1056" spans="1:20" ht="78.75" customHeight="1" x14ac:dyDescent="0.2">
      <c r="A1056" s="21">
        <v>1069</v>
      </c>
      <c r="B1056" s="289" t="s">
        <v>4092</v>
      </c>
      <c r="C1056" s="285" t="s">
        <v>6325</v>
      </c>
      <c r="D1056" s="9" t="s">
        <v>679</v>
      </c>
      <c r="E1056" s="18"/>
      <c r="F1056" s="13" t="s">
        <v>1772</v>
      </c>
      <c r="G1056" s="285" t="s">
        <v>7967</v>
      </c>
      <c r="H1056" s="285" t="s">
        <v>5127</v>
      </c>
      <c r="I1056" s="285"/>
      <c r="J1056" s="285"/>
      <c r="K1056" s="15"/>
      <c r="L1056" s="289"/>
      <c r="M1056" s="15"/>
      <c r="N1056" s="17">
        <v>1</v>
      </c>
      <c r="O1056" s="17">
        <v>4615</v>
      </c>
      <c r="P1056" s="17">
        <v>4615</v>
      </c>
      <c r="Q1056" s="17">
        <f t="shared" si="23"/>
        <v>0</v>
      </c>
      <c r="R1056" s="285"/>
      <c r="S1056" s="14"/>
      <c r="T1056" s="285"/>
    </row>
    <row r="1057" spans="1:20" ht="74.25" customHeight="1" x14ac:dyDescent="0.2">
      <c r="A1057" s="21">
        <v>1070</v>
      </c>
      <c r="B1057" s="289" t="s">
        <v>4093</v>
      </c>
      <c r="C1057" s="285" t="s">
        <v>6325</v>
      </c>
      <c r="D1057" s="9" t="s">
        <v>1486</v>
      </c>
      <c r="E1057" s="18"/>
      <c r="F1057" s="13" t="s">
        <v>430</v>
      </c>
      <c r="G1057" s="285" t="s">
        <v>7967</v>
      </c>
      <c r="H1057" s="285" t="s">
        <v>5127</v>
      </c>
      <c r="I1057" s="285"/>
      <c r="J1057" s="285"/>
      <c r="K1057" s="15"/>
      <c r="L1057" s="289"/>
      <c r="M1057" s="15"/>
      <c r="N1057" s="17">
        <v>1</v>
      </c>
      <c r="O1057" s="17">
        <v>7960</v>
      </c>
      <c r="P1057" s="17">
        <v>7960</v>
      </c>
      <c r="Q1057" s="17">
        <f t="shared" si="23"/>
        <v>0</v>
      </c>
      <c r="R1057" s="285"/>
      <c r="S1057" s="14"/>
      <c r="T1057" s="285"/>
    </row>
    <row r="1058" spans="1:20" ht="74.25" customHeight="1" x14ac:dyDescent="0.2">
      <c r="A1058" s="21">
        <v>1071</v>
      </c>
      <c r="B1058" s="289" t="s">
        <v>370</v>
      </c>
      <c r="C1058" s="285" t="s">
        <v>6325</v>
      </c>
      <c r="D1058" s="9" t="s">
        <v>5332</v>
      </c>
      <c r="E1058" s="18"/>
      <c r="F1058" s="13" t="s">
        <v>7098</v>
      </c>
      <c r="G1058" s="285" t="s">
        <v>7934</v>
      </c>
      <c r="H1058" s="285" t="s">
        <v>5127</v>
      </c>
      <c r="I1058" s="285"/>
      <c r="J1058" s="285"/>
      <c r="K1058" s="15"/>
      <c r="L1058" s="289"/>
      <c r="M1058" s="15"/>
      <c r="N1058" s="16">
        <v>1</v>
      </c>
      <c r="O1058" s="17">
        <v>9956.16</v>
      </c>
      <c r="P1058" s="17">
        <v>9956.16</v>
      </c>
      <c r="Q1058" s="17">
        <f t="shared" si="23"/>
        <v>0</v>
      </c>
      <c r="R1058" s="285"/>
      <c r="S1058" s="14"/>
      <c r="T1058" s="285"/>
    </row>
    <row r="1059" spans="1:20" ht="74.25" customHeight="1" x14ac:dyDescent="0.2">
      <c r="A1059" s="21">
        <v>1072</v>
      </c>
      <c r="B1059" s="289" t="s">
        <v>371</v>
      </c>
      <c r="C1059" s="285" t="s">
        <v>6325</v>
      </c>
      <c r="D1059" s="9" t="s">
        <v>43</v>
      </c>
      <c r="E1059" s="18"/>
      <c r="F1059" s="13" t="s">
        <v>3846</v>
      </c>
      <c r="G1059" s="285" t="s">
        <v>7934</v>
      </c>
      <c r="H1059" s="285" t="s">
        <v>5127</v>
      </c>
      <c r="I1059" s="285"/>
      <c r="J1059" s="285"/>
      <c r="K1059" s="15"/>
      <c r="L1059" s="289"/>
      <c r="M1059" s="15"/>
      <c r="N1059" s="16">
        <v>1</v>
      </c>
      <c r="O1059" s="17">
        <v>3894</v>
      </c>
      <c r="P1059" s="17">
        <v>3894</v>
      </c>
      <c r="Q1059" s="17">
        <f t="shared" si="23"/>
        <v>0</v>
      </c>
      <c r="R1059" s="285"/>
      <c r="S1059" s="14"/>
      <c r="T1059" s="285"/>
    </row>
    <row r="1060" spans="1:20" ht="74.25" customHeight="1" x14ac:dyDescent="0.2">
      <c r="A1060" s="21">
        <v>1073</v>
      </c>
      <c r="B1060" s="289" t="s">
        <v>372</v>
      </c>
      <c r="C1060" s="285" t="s">
        <v>6325</v>
      </c>
      <c r="D1060" s="9" t="s">
        <v>952</v>
      </c>
      <c r="E1060" s="18"/>
      <c r="F1060" s="13" t="s">
        <v>3847</v>
      </c>
      <c r="G1060" s="285" t="s">
        <v>7934</v>
      </c>
      <c r="H1060" s="285" t="s">
        <v>5127</v>
      </c>
      <c r="I1060" s="285"/>
      <c r="J1060" s="285"/>
      <c r="K1060" s="15"/>
      <c r="L1060" s="289"/>
      <c r="M1060" s="15"/>
      <c r="N1060" s="16">
        <v>1</v>
      </c>
      <c r="O1060" s="17">
        <v>8015.7</v>
      </c>
      <c r="P1060" s="17">
        <v>8015.7</v>
      </c>
      <c r="Q1060" s="17">
        <f t="shared" ref="Q1060:Q1091" si="24">O1060-P1060</f>
        <v>0</v>
      </c>
      <c r="R1060" s="285"/>
      <c r="S1060" s="14"/>
      <c r="T1060" s="285"/>
    </row>
    <row r="1061" spans="1:20" ht="74.25" customHeight="1" x14ac:dyDescent="0.2">
      <c r="A1061" s="21">
        <v>1074</v>
      </c>
      <c r="B1061" s="289" t="s">
        <v>373</v>
      </c>
      <c r="C1061" s="285" t="s">
        <v>6325</v>
      </c>
      <c r="D1061" s="9" t="s">
        <v>2820</v>
      </c>
      <c r="E1061" s="18"/>
      <c r="F1061" s="13" t="s">
        <v>3708</v>
      </c>
      <c r="G1061" s="285" t="s">
        <v>7934</v>
      </c>
      <c r="H1061" s="285" t="s">
        <v>5127</v>
      </c>
      <c r="I1061" s="285"/>
      <c r="J1061" s="285"/>
      <c r="K1061" s="15"/>
      <c r="L1061" s="289"/>
      <c r="M1061" s="15"/>
      <c r="N1061" s="16">
        <v>1</v>
      </c>
      <c r="O1061" s="17">
        <v>7613</v>
      </c>
      <c r="P1061" s="17">
        <v>7613</v>
      </c>
      <c r="Q1061" s="17">
        <f t="shared" si="24"/>
        <v>0</v>
      </c>
      <c r="R1061" s="285"/>
      <c r="S1061" s="14"/>
      <c r="T1061" s="285"/>
    </row>
    <row r="1062" spans="1:20" ht="74.25" customHeight="1" x14ac:dyDescent="0.2">
      <c r="A1062" s="21">
        <v>1075</v>
      </c>
      <c r="B1062" s="289" t="s">
        <v>374</v>
      </c>
      <c r="C1062" s="285" t="s">
        <v>6325</v>
      </c>
      <c r="D1062" s="9" t="s">
        <v>1486</v>
      </c>
      <c r="E1062" s="18"/>
      <c r="F1062" s="13" t="s">
        <v>545</v>
      </c>
      <c r="G1062" s="285" t="s">
        <v>7934</v>
      </c>
      <c r="H1062" s="285" t="s">
        <v>5127</v>
      </c>
      <c r="I1062" s="285"/>
      <c r="J1062" s="285"/>
      <c r="K1062" s="15"/>
      <c r="L1062" s="289"/>
      <c r="M1062" s="15"/>
      <c r="N1062" s="16">
        <v>1</v>
      </c>
      <c r="O1062" s="17">
        <v>7960</v>
      </c>
      <c r="P1062" s="17">
        <v>7960</v>
      </c>
      <c r="Q1062" s="17">
        <f t="shared" si="24"/>
        <v>0</v>
      </c>
      <c r="R1062" s="285"/>
      <c r="S1062" s="14"/>
      <c r="T1062" s="285"/>
    </row>
    <row r="1063" spans="1:20" ht="85.5" customHeight="1" x14ac:dyDescent="0.2">
      <c r="A1063" s="21">
        <v>1077</v>
      </c>
      <c r="B1063" s="289" t="s">
        <v>1824</v>
      </c>
      <c r="C1063" s="285"/>
      <c r="D1063" s="9" t="s">
        <v>3157</v>
      </c>
      <c r="E1063" s="289"/>
      <c r="F1063" s="13" t="s">
        <v>3847</v>
      </c>
      <c r="G1063" s="285" t="s">
        <v>792</v>
      </c>
      <c r="H1063" s="285" t="s">
        <v>5127</v>
      </c>
      <c r="I1063" s="285"/>
      <c r="J1063" s="285"/>
      <c r="K1063" s="15"/>
      <c r="L1063" s="289"/>
      <c r="M1063" s="15"/>
      <c r="N1063" s="17">
        <v>1</v>
      </c>
      <c r="O1063" s="17">
        <v>4520.16</v>
      </c>
      <c r="P1063" s="17">
        <v>4520.16</v>
      </c>
      <c r="Q1063" s="17">
        <f t="shared" si="24"/>
        <v>0</v>
      </c>
      <c r="R1063" s="285"/>
      <c r="S1063" s="14"/>
      <c r="T1063" s="285"/>
    </row>
    <row r="1064" spans="1:20" ht="85.5" customHeight="1" x14ac:dyDescent="0.2">
      <c r="A1064" s="21">
        <v>1078</v>
      </c>
      <c r="B1064" s="289" t="s">
        <v>1825</v>
      </c>
      <c r="C1064" s="285"/>
      <c r="D1064" s="9" t="s">
        <v>1647</v>
      </c>
      <c r="E1064" s="18"/>
      <c r="F1064" s="13" t="s">
        <v>1648</v>
      </c>
      <c r="G1064" s="285" t="s">
        <v>792</v>
      </c>
      <c r="H1064" s="285" t="s">
        <v>5127</v>
      </c>
      <c r="I1064" s="285"/>
      <c r="J1064" s="285"/>
      <c r="K1064" s="15"/>
      <c r="L1064" s="289"/>
      <c r="M1064" s="15"/>
      <c r="N1064" s="17">
        <v>1</v>
      </c>
      <c r="O1064" s="17">
        <v>8158.5</v>
      </c>
      <c r="P1064" s="17">
        <v>8158.5</v>
      </c>
      <c r="Q1064" s="17">
        <f t="shared" si="24"/>
        <v>0</v>
      </c>
      <c r="R1064" s="285"/>
      <c r="S1064" s="14"/>
      <c r="T1064" s="285"/>
    </row>
    <row r="1065" spans="1:20" ht="85.5" customHeight="1" x14ac:dyDescent="0.2">
      <c r="A1065" s="21">
        <v>1079</v>
      </c>
      <c r="B1065" s="289" t="s">
        <v>1826</v>
      </c>
      <c r="C1065" s="285"/>
      <c r="D1065" s="9" t="s">
        <v>1486</v>
      </c>
      <c r="E1065" s="18"/>
      <c r="F1065" s="13" t="s">
        <v>4077</v>
      </c>
      <c r="G1065" s="285" t="s">
        <v>792</v>
      </c>
      <c r="H1065" s="285" t="s">
        <v>5127</v>
      </c>
      <c r="I1065" s="285"/>
      <c r="J1065" s="285"/>
      <c r="K1065" s="15"/>
      <c r="L1065" s="289"/>
      <c r="M1065" s="15"/>
      <c r="N1065" s="17">
        <v>1</v>
      </c>
      <c r="O1065" s="17">
        <v>7960</v>
      </c>
      <c r="P1065" s="17">
        <v>7960</v>
      </c>
      <c r="Q1065" s="17">
        <f t="shared" si="24"/>
        <v>0</v>
      </c>
      <c r="R1065" s="285"/>
      <c r="S1065" s="14"/>
      <c r="T1065" s="285"/>
    </row>
    <row r="1066" spans="1:20" ht="85.5" customHeight="1" x14ac:dyDescent="0.2">
      <c r="A1066" s="21">
        <v>1080</v>
      </c>
      <c r="B1066" s="289" t="s">
        <v>6292</v>
      </c>
      <c r="C1066" s="285"/>
      <c r="D1066" s="9" t="s">
        <v>4713</v>
      </c>
      <c r="E1066" s="18"/>
      <c r="F1066" s="13" t="s">
        <v>4714</v>
      </c>
      <c r="G1066" s="285" t="s">
        <v>792</v>
      </c>
      <c r="H1066" s="285" t="s">
        <v>5127</v>
      </c>
      <c r="I1066" s="285"/>
      <c r="J1066" s="285"/>
      <c r="K1066" s="15"/>
      <c r="L1066" s="289"/>
      <c r="M1066" s="15"/>
      <c r="N1066" s="17">
        <v>1</v>
      </c>
      <c r="O1066" s="17">
        <v>6990</v>
      </c>
      <c r="P1066" s="17">
        <v>6990</v>
      </c>
      <c r="Q1066" s="17">
        <f t="shared" si="24"/>
        <v>0</v>
      </c>
      <c r="R1066" s="285"/>
      <c r="S1066" s="14"/>
      <c r="T1066" s="285"/>
    </row>
    <row r="1067" spans="1:20" ht="85.5" customHeight="1" x14ac:dyDescent="0.2">
      <c r="A1067" s="21">
        <v>1081</v>
      </c>
      <c r="B1067" s="289" t="s">
        <v>6293</v>
      </c>
      <c r="C1067" s="285"/>
      <c r="D1067" s="9" t="s">
        <v>4753</v>
      </c>
      <c r="E1067" s="18"/>
      <c r="F1067" s="13" t="s">
        <v>7094</v>
      </c>
      <c r="G1067" s="285" t="s">
        <v>792</v>
      </c>
      <c r="H1067" s="285" t="s">
        <v>5127</v>
      </c>
      <c r="I1067" s="285"/>
      <c r="J1067" s="285"/>
      <c r="K1067" s="15"/>
      <c r="L1067" s="289"/>
      <c r="M1067" s="15"/>
      <c r="N1067" s="17">
        <v>1</v>
      </c>
      <c r="O1067" s="17">
        <v>5250</v>
      </c>
      <c r="P1067" s="17">
        <v>5250</v>
      </c>
      <c r="Q1067" s="17">
        <f t="shared" si="24"/>
        <v>0</v>
      </c>
      <c r="R1067" s="285"/>
      <c r="S1067" s="14"/>
      <c r="T1067" s="285"/>
    </row>
    <row r="1068" spans="1:20" ht="85.5" customHeight="1" x14ac:dyDescent="0.2">
      <c r="A1068" s="21">
        <v>1082</v>
      </c>
      <c r="B1068" s="289" t="s">
        <v>6294</v>
      </c>
      <c r="C1068" s="285"/>
      <c r="D1068" s="9" t="s">
        <v>5803</v>
      </c>
      <c r="E1068" s="18"/>
      <c r="F1068" s="13" t="s">
        <v>3182</v>
      </c>
      <c r="G1068" s="285" t="s">
        <v>6266</v>
      </c>
      <c r="H1068" s="285" t="s">
        <v>5127</v>
      </c>
      <c r="I1068" s="285"/>
      <c r="J1068" s="285"/>
      <c r="K1068" s="15"/>
      <c r="L1068" s="289"/>
      <c r="M1068" s="15"/>
      <c r="N1068" s="17">
        <v>1</v>
      </c>
      <c r="O1068" s="17">
        <v>3200</v>
      </c>
      <c r="P1068" s="17">
        <v>3200</v>
      </c>
      <c r="Q1068" s="17">
        <f t="shared" si="24"/>
        <v>0</v>
      </c>
      <c r="R1068" s="285"/>
      <c r="S1068" s="14"/>
      <c r="T1068" s="285"/>
    </row>
    <row r="1069" spans="1:20" ht="81.75" customHeight="1" x14ac:dyDescent="0.2">
      <c r="A1069" s="21">
        <v>1083</v>
      </c>
      <c r="B1069" s="289" t="s">
        <v>5024</v>
      </c>
      <c r="C1069" s="285"/>
      <c r="D1069" s="9" t="s">
        <v>5664</v>
      </c>
      <c r="E1069" s="18"/>
      <c r="F1069" s="13" t="s">
        <v>3688</v>
      </c>
      <c r="G1069" s="285" t="s">
        <v>6266</v>
      </c>
      <c r="H1069" s="285" t="s">
        <v>5127</v>
      </c>
      <c r="I1069" s="285"/>
      <c r="J1069" s="285"/>
      <c r="K1069" s="15"/>
      <c r="L1069" s="289"/>
      <c r="M1069" s="15"/>
      <c r="N1069" s="17">
        <v>1</v>
      </c>
      <c r="O1069" s="17">
        <v>8783.39</v>
      </c>
      <c r="P1069" s="17">
        <v>8783.39</v>
      </c>
      <c r="Q1069" s="17">
        <f t="shared" si="24"/>
        <v>0</v>
      </c>
      <c r="R1069" s="285"/>
      <c r="S1069" s="14"/>
      <c r="T1069" s="285"/>
    </row>
    <row r="1070" spans="1:20" ht="81.75" customHeight="1" x14ac:dyDescent="0.2">
      <c r="A1070" s="21">
        <v>1084</v>
      </c>
      <c r="B1070" s="289" t="s">
        <v>3557</v>
      </c>
      <c r="C1070" s="285"/>
      <c r="D1070" s="9" t="s">
        <v>5281</v>
      </c>
      <c r="E1070" s="18"/>
      <c r="F1070" s="13" t="s">
        <v>5282</v>
      </c>
      <c r="G1070" s="285" t="s">
        <v>6266</v>
      </c>
      <c r="H1070" s="285" t="s">
        <v>5127</v>
      </c>
      <c r="I1070" s="285"/>
      <c r="J1070" s="285"/>
      <c r="K1070" s="15"/>
      <c r="L1070" s="289"/>
      <c r="M1070" s="15"/>
      <c r="N1070" s="17">
        <v>1</v>
      </c>
      <c r="O1070" s="17">
        <v>5700</v>
      </c>
      <c r="P1070" s="17">
        <v>5700</v>
      </c>
      <c r="Q1070" s="17">
        <f t="shared" si="24"/>
        <v>0</v>
      </c>
      <c r="R1070" s="285"/>
      <c r="S1070" s="14"/>
      <c r="T1070" s="285"/>
    </row>
    <row r="1071" spans="1:20" ht="81.75" customHeight="1" x14ac:dyDescent="0.2">
      <c r="A1071" s="21">
        <v>1085</v>
      </c>
      <c r="B1071" s="289" t="s">
        <v>2594</v>
      </c>
      <c r="C1071" s="285"/>
      <c r="D1071" s="9" t="s">
        <v>2731</v>
      </c>
      <c r="E1071" s="18"/>
      <c r="F1071" s="13" t="s">
        <v>4134</v>
      </c>
      <c r="G1071" s="285" t="s">
        <v>6266</v>
      </c>
      <c r="H1071" s="285" t="s">
        <v>5127</v>
      </c>
      <c r="I1071" s="285"/>
      <c r="J1071" s="285" t="s">
        <v>9411</v>
      </c>
      <c r="K1071" s="15">
        <v>40544</v>
      </c>
      <c r="L1071" s="289" t="s">
        <v>1029</v>
      </c>
      <c r="M1071" s="15">
        <v>40389</v>
      </c>
      <c r="N1071" s="17">
        <v>1</v>
      </c>
      <c r="O1071" s="17">
        <v>3450</v>
      </c>
      <c r="P1071" s="17">
        <v>3450</v>
      </c>
      <c r="Q1071" s="17">
        <f t="shared" si="24"/>
        <v>0</v>
      </c>
      <c r="R1071" s="285"/>
      <c r="S1071" s="14"/>
      <c r="T1071" s="285"/>
    </row>
    <row r="1072" spans="1:20" ht="81.75" customHeight="1" x14ac:dyDescent="0.2">
      <c r="A1072" s="21">
        <v>1086</v>
      </c>
      <c r="B1072" s="289" t="s">
        <v>4574</v>
      </c>
      <c r="C1072" s="285"/>
      <c r="D1072" s="9" t="s">
        <v>3150</v>
      </c>
      <c r="E1072" s="18"/>
      <c r="F1072" s="13" t="s">
        <v>4003</v>
      </c>
      <c r="G1072" s="285" t="s">
        <v>6266</v>
      </c>
      <c r="H1072" s="285" t="s">
        <v>5127</v>
      </c>
      <c r="I1072" s="285"/>
      <c r="J1072" s="285" t="s">
        <v>9437</v>
      </c>
      <c r="K1072" s="15">
        <v>40724</v>
      </c>
      <c r="L1072" s="289" t="s">
        <v>1029</v>
      </c>
      <c r="M1072" s="14">
        <v>40714</v>
      </c>
      <c r="N1072" s="17">
        <v>1</v>
      </c>
      <c r="O1072" s="17">
        <v>8000</v>
      </c>
      <c r="P1072" s="17">
        <v>8000</v>
      </c>
      <c r="Q1072" s="17">
        <f t="shared" si="24"/>
        <v>0</v>
      </c>
      <c r="R1072" s="285" t="s">
        <v>5071</v>
      </c>
      <c r="S1072" s="14">
        <v>40714</v>
      </c>
      <c r="T1072" s="285">
        <v>104</v>
      </c>
    </row>
    <row r="1073" spans="1:20" ht="81.75" customHeight="1" x14ac:dyDescent="0.2">
      <c r="A1073" s="21">
        <v>1087</v>
      </c>
      <c r="B1073" s="289" t="s">
        <v>4575</v>
      </c>
      <c r="C1073" s="285"/>
      <c r="D1073" s="9" t="s">
        <v>5870</v>
      </c>
      <c r="E1073" s="18"/>
      <c r="F1073" s="13" t="s">
        <v>5283</v>
      </c>
      <c r="G1073" s="285" t="s">
        <v>6266</v>
      </c>
      <c r="H1073" s="285" t="s">
        <v>5127</v>
      </c>
      <c r="I1073" s="285"/>
      <c r="J1073" s="285"/>
      <c r="K1073" s="15"/>
      <c r="L1073" s="289"/>
      <c r="M1073" s="15"/>
      <c r="N1073" s="17">
        <v>1</v>
      </c>
      <c r="O1073" s="17">
        <v>6000</v>
      </c>
      <c r="P1073" s="17">
        <v>6000</v>
      </c>
      <c r="Q1073" s="17">
        <f t="shared" si="24"/>
        <v>0</v>
      </c>
      <c r="R1073" s="285"/>
      <c r="S1073" s="14"/>
      <c r="T1073" s="285"/>
    </row>
    <row r="1074" spans="1:20" ht="81.75" customHeight="1" x14ac:dyDescent="0.2">
      <c r="A1074" s="21">
        <v>1088</v>
      </c>
      <c r="B1074" s="289" t="s">
        <v>4576</v>
      </c>
      <c r="C1074" s="285"/>
      <c r="D1074" s="9" t="s">
        <v>1476</v>
      </c>
      <c r="E1074" s="18"/>
      <c r="F1074" s="13" t="s">
        <v>2100</v>
      </c>
      <c r="G1074" s="285" t="s">
        <v>6266</v>
      </c>
      <c r="H1074" s="285" t="s">
        <v>5127</v>
      </c>
      <c r="I1074" s="285"/>
      <c r="J1074" s="285"/>
      <c r="K1074" s="15"/>
      <c r="L1074" s="289"/>
      <c r="M1074" s="15"/>
      <c r="N1074" s="17">
        <v>1</v>
      </c>
      <c r="O1074" s="17">
        <v>9180</v>
      </c>
      <c r="P1074" s="17">
        <v>9180</v>
      </c>
      <c r="Q1074" s="17">
        <f t="shared" si="24"/>
        <v>0</v>
      </c>
      <c r="R1074" s="285"/>
      <c r="S1074" s="14"/>
      <c r="T1074" s="285"/>
    </row>
    <row r="1075" spans="1:20" ht="81.75" customHeight="1" x14ac:dyDescent="0.2">
      <c r="A1075" s="21">
        <v>1089</v>
      </c>
      <c r="B1075" s="289" t="s">
        <v>4577</v>
      </c>
      <c r="C1075" s="285"/>
      <c r="D1075" s="9" t="s">
        <v>5870</v>
      </c>
      <c r="E1075" s="18"/>
      <c r="F1075" s="13" t="s">
        <v>5639</v>
      </c>
      <c r="G1075" s="285" t="s">
        <v>6266</v>
      </c>
      <c r="H1075" s="285" t="s">
        <v>5127</v>
      </c>
      <c r="I1075" s="285"/>
      <c r="J1075" s="285"/>
      <c r="K1075" s="15"/>
      <c r="L1075" s="289"/>
      <c r="M1075" s="15"/>
      <c r="N1075" s="16">
        <v>1</v>
      </c>
      <c r="O1075" s="17">
        <v>7000</v>
      </c>
      <c r="P1075" s="17">
        <v>7000</v>
      </c>
      <c r="Q1075" s="17">
        <f t="shared" si="24"/>
        <v>0</v>
      </c>
      <c r="R1075" s="285"/>
      <c r="S1075" s="14"/>
      <c r="T1075" s="285"/>
    </row>
    <row r="1076" spans="1:20" ht="81.75" customHeight="1" x14ac:dyDescent="0.2">
      <c r="A1076" s="21">
        <v>1090</v>
      </c>
      <c r="B1076" s="12" t="s">
        <v>11158</v>
      </c>
      <c r="C1076" s="285"/>
      <c r="D1076" s="9" t="s">
        <v>4753</v>
      </c>
      <c r="E1076" s="18"/>
      <c r="F1076" s="13" t="s">
        <v>1658</v>
      </c>
      <c r="G1076" s="285" t="s">
        <v>3699</v>
      </c>
      <c r="H1076" s="285" t="s">
        <v>5127</v>
      </c>
      <c r="I1076" s="285"/>
      <c r="J1076" s="285" t="s">
        <v>9405</v>
      </c>
      <c r="K1076" s="289">
        <v>2012</v>
      </c>
      <c r="L1076" s="289" t="s">
        <v>1029</v>
      </c>
      <c r="M1076" s="15">
        <v>41080</v>
      </c>
      <c r="N1076" s="17">
        <v>1</v>
      </c>
      <c r="O1076" s="17">
        <v>8080</v>
      </c>
      <c r="P1076" s="17">
        <v>8080</v>
      </c>
      <c r="Q1076" s="17">
        <f t="shared" si="24"/>
        <v>0</v>
      </c>
      <c r="R1076" s="285" t="s">
        <v>5071</v>
      </c>
      <c r="S1076" s="15">
        <v>41080</v>
      </c>
      <c r="T1076" s="285">
        <v>3</v>
      </c>
    </row>
    <row r="1077" spans="1:20" ht="78.75" customHeight="1" x14ac:dyDescent="0.2">
      <c r="A1077" s="21">
        <v>1091</v>
      </c>
      <c r="B1077" s="289" t="s">
        <v>2707</v>
      </c>
      <c r="C1077" s="285" t="s">
        <v>5274</v>
      </c>
      <c r="D1077" s="9" t="s">
        <v>1486</v>
      </c>
      <c r="E1077" s="18"/>
      <c r="F1077" s="13" t="s">
        <v>1135</v>
      </c>
      <c r="G1077" s="285" t="s">
        <v>3699</v>
      </c>
      <c r="H1077" s="285" t="s">
        <v>5127</v>
      </c>
      <c r="I1077" s="285"/>
      <c r="J1077" s="285" t="s">
        <v>9405</v>
      </c>
      <c r="K1077" s="289">
        <v>2009</v>
      </c>
      <c r="L1077" s="289" t="s">
        <v>1029</v>
      </c>
      <c r="M1077" s="14">
        <v>40210</v>
      </c>
      <c r="N1077" s="17">
        <v>1</v>
      </c>
      <c r="O1077" s="17">
        <v>7960</v>
      </c>
      <c r="P1077" s="17">
        <v>7960</v>
      </c>
      <c r="Q1077" s="17">
        <f t="shared" si="24"/>
        <v>0</v>
      </c>
      <c r="R1077" s="285" t="s">
        <v>5071</v>
      </c>
      <c r="S1077" s="14">
        <v>40210</v>
      </c>
      <c r="T1077" s="285">
        <v>10</v>
      </c>
    </row>
    <row r="1078" spans="1:20" ht="78.75" customHeight="1" x14ac:dyDescent="0.2">
      <c r="A1078" s="21">
        <v>1092</v>
      </c>
      <c r="B1078" s="289" t="s">
        <v>5647</v>
      </c>
      <c r="C1078" s="285" t="s">
        <v>5274</v>
      </c>
      <c r="D1078" s="9" t="s">
        <v>2820</v>
      </c>
      <c r="E1078" s="18"/>
      <c r="F1078" s="13" t="s">
        <v>2224</v>
      </c>
      <c r="G1078" s="285" t="s">
        <v>3699</v>
      </c>
      <c r="H1078" s="285" t="s">
        <v>5127</v>
      </c>
      <c r="I1078" s="285"/>
      <c r="J1078" s="285" t="s">
        <v>9405</v>
      </c>
      <c r="K1078" s="289">
        <v>2011</v>
      </c>
      <c r="L1078" s="289" t="s">
        <v>1029</v>
      </c>
      <c r="M1078" s="14">
        <v>40843</v>
      </c>
      <c r="N1078" s="24">
        <v>1</v>
      </c>
      <c r="O1078" s="17">
        <v>7613</v>
      </c>
      <c r="P1078" s="17">
        <v>7613</v>
      </c>
      <c r="Q1078" s="17">
        <f t="shared" si="24"/>
        <v>0</v>
      </c>
      <c r="R1078" s="285" t="s">
        <v>5071</v>
      </c>
      <c r="S1078" s="14">
        <v>40843</v>
      </c>
      <c r="T1078" s="285">
        <v>634</v>
      </c>
    </row>
    <row r="1079" spans="1:20" ht="78.75" customHeight="1" x14ac:dyDescent="0.2">
      <c r="A1079" s="21">
        <v>1093</v>
      </c>
      <c r="B1079" s="289" t="s">
        <v>3461</v>
      </c>
      <c r="C1079" s="257" t="s">
        <v>5274</v>
      </c>
      <c r="D1079" s="9" t="s">
        <v>4553</v>
      </c>
      <c r="E1079" s="18"/>
      <c r="F1079" s="13" t="s">
        <v>6137</v>
      </c>
      <c r="G1079" s="285" t="s">
        <v>3699</v>
      </c>
      <c r="H1079" s="285" t="s">
        <v>5127</v>
      </c>
      <c r="I1079" s="285"/>
      <c r="J1079" s="285" t="s">
        <v>9405</v>
      </c>
      <c r="K1079" s="289">
        <v>2009</v>
      </c>
      <c r="L1079" s="289" t="s">
        <v>1029</v>
      </c>
      <c r="M1079" s="14">
        <v>39947</v>
      </c>
      <c r="N1079" s="24">
        <v>2</v>
      </c>
      <c r="O1079" s="17">
        <v>11020</v>
      </c>
      <c r="P1079" s="17">
        <v>11020</v>
      </c>
      <c r="Q1079" s="17">
        <f t="shared" si="24"/>
        <v>0</v>
      </c>
      <c r="R1079" s="285" t="s">
        <v>5071</v>
      </c>
      <c r="S1079" s="14">
        <v>39947</v>
      </c>
      <c r="T1079" s="285">
        <v>72</v>
      </c>
    </row>
    <row r="1080" spans="1:20" ht="78.75" customHeight="1" x14ac:dyDescent="0.2">
      <c r="A1080" s="21">
        <v>1094</v>
      </c>
      <c r="B1080" s="289" t="s">
        <v>3462</v>
      </c>
      <c r="C1080" s="257" t="s">
        <v>5274</v>
      </c>
      <c r="D1080" s="9" t="s">
        <v>9407</v>
      </c>
      <c r="E1080" s="18"/>
      <c r="F1080" s="13" t="s">
        <v>4554</v>
      </c>
      <c r="G1080" s="285" t="s">
        <v>3699</v>
      </c>
      <c r="H1080" s="285" t="s">
        <v>5127</v>
      </c>
      <c r="I1080" s="285"/>
      <c r="J1080" s="285" t="s">
        <v>9405</v>
      </c>
      <c r="K1080" s="289">
        <v>2009</v>
      </c>
      <c r="L1080" s="289" t="s">
        <v>1029</v>
      </c>
      <c r="M1080" s="14">
        <v>40021</v>
      </c>
      <c r="N1080" s="24">
        <v>1</v>
      </c>
      <c r="O1080" s="17">
        <v>3950</v>
      </c>
      <c r="P1080" s="17">
        <v>3950</v>
      </c>
      <c r="Q1080" s="17">
        <f t="shared" si="24"/>
        <v>0</v>
      </c>
      <c r="R1080" s="285" t="s">
        <v>5071</v>
      </c>
      <c r="S1080" s="14">
        <v>40021</v>
      </c>
      <c r="T1080" s="285">
        <v>7117</v>
      </c>
    </row>
    <row r="1081" spans="1:20" ht="78.75" customHeight="1" x14ac:dyDescent="0.2">
      <c r="A1081" s="21">
        <v>1095</v>
      </c>
      <c r="B1081" s="289" t="s">
        <v>1162</v>
      </c>
      <c r="C1081" s="257" t="s">
        <v>5274</v>
      </c>
      <c r="D1081" s="9" t="s">
        <v>5576</v>
      </c>
      <c r="E1081" s="18"/>
      <c r="F1081" s="13" t="s">
        <v>5316</v>
      </c>
      <c r="G1081" s="285" t="s">
        <v>3699</v>
      </c>
      <c r="H1081" s="285" t="s">
        <v>5127</v>
      </c>
      <c r="I1081" s="285"/>
      <c r="J1081" s="285" t="s">
        <v>9405</v>
      </c>
      <c r="K1081" s="289">
        <v>2009</v>
      </c>
      <c r="L1081" s="289" t="s">
        <v>1029</v>
      </c>
      <c r="M1081" s="14">
        <v>40008</v>
      </c>
      <c r="N1081" s="24">
        <v>1</v>
      </c>
      <c r="O1081" s="17">
        <v>8000</v>
      </c>
      <c r="P1081" s="17">
        <v>8000</v>
      </c>
      <c r="Q1081" s="17">
        <f t="shared" si="24"/>
        <v>0</v>
      </c>
      <c r="R1081" s="285" t="s">
        <v>5071</v>
      </c>
      <c r="S1081" s="14">
        <v>40008</v>
      </c>
      <c r="T1081" s="285">
        <v>10559</v>
      </c>
    </row>
    <row r="1082" spans="1:20" ht="78" customHeight="1" x14ac:dyDescent="0.2">
      <c r="A1082" s="21">
        <v>1096</v>
      </c>
      <c r="B1082" s="289" t="s">
        <v>1163</v>
      </c>
      <c r="C1082" s="257" t="s">
        <v>5274</v>
      </c>
      <c r="D1082" s="9" t="s">
        <v>5289</v>
      </c>
      <c r="E1082" s="18"/>
      <c r="F1082" s="13" t="s">
        <v>16</v>
      </c>
      <c r="G1082" s="285" t="s">
        <v>3699</v>
      </c>
      <c r="H1082" s="285" t="s">
        <v>5127</v>
      </c>
      <c r="I1082" s="285"/>
      <c r="J1082" s="285" t="s">
        <v>9405</v>
      </c>
      <c r="K1082" s="289">
        <v>2009</v>
      </c>
      <c r="L1082" s="289" t="s">
        <v>1029</v>
      </c>
      <c r="M1082" s="14">
        <v>40008</v>
      </c>
      <c r="N1082" s="24">
        <v>1</v>
      </c>
      <c r="O1082" s="17">
        <v>6500</v>
      </c>
      <c r="P1082" s="17">
        <v>6500</v>
      </c>
      <c r="Q1082" s="17">
        <f t="shared" si="24"/>
        <v>0</v>
      </c>
      <c r="R1082" s="285" t="s">
        <v>5071</v>
      </c>
      <c r="S1082" s="14">
        <v>40008</v>
      </c>
      <c r="T1082" s="285">
        <v>10416</v>
      </c>
    </row>
    <row r="1083" spans="1:20" ht="78" customHeight="1" x14ac:dyDescent="0.2">
      <c r="A1083" s="21">
        <v>1097</v>
      </c>
      <c r="B1083" s="289" t="s">
        <v>1164</v>
      </c>
      <c r="C1083" s="257" t="s">
        <v>5274</v>
      </c>
      <c r="D1083" s="9" t="s">
        <v>5779</v>
      </c>
      <c r="E1083" s="18"/>
      <c r="F1083" s="13" t="s">
        <v>5828</v>
      </c>
      <c r="G1083" s="285" t="s">
        <v>3699</v>
      </c>
      <c r="H1083" s="285" t="s">
        <v>5127</v>
      </c>
      <c r="I1083" s="285"/>
      <c r="J1083" s="285" t="s">
        <v>9405</v>
      </c>
      <c r="K1083" s="289">
        <v>2009</v>
      </c>
      <c r="L1083" s="289" t="s">
        <v>1029</v>
      </c>
      <c r="M1083" s="14">
        <v>40118</v>
      </c>
      <c r="N1083" s="24">
        <v>1</v>
      </c>
      <c r="O1083" s="17">
        <v>6073.2</v>
      </c>
      <c r="P1083" s="17">
        <v>6073.2</v>
      </c>
      <c r="Q1083" s="17">
        <f t="shared" si="24"/>
        <v>0</v>
      </c>
      <c r="R1083" s="285" t="s">
        <v>5071</v>
      </c>
      <c r="S1083" s="14">
        <v>40118</v>
      </c>
      <c r="T1083" s="285">
        <v>42092</v>
      </c>
    </row>
    <row r="1084" spans="1:20" ht="78" customHeight="1" x14ac:dyDescent="0.2">
      <c r="A1084" s="21">
        <v>1098</v>
      </c>
      <c r="B1084" s="289" t="s">
        <v>1165</v>
      </c>
      <c r="C1084" s="257" t="s">
        <v>5274</v>
      </c>
      <c r="D1084" s="9" t="s">
        <v>1323</v>
      </c>
      <c r="E1084" s="18"/>
      <c r="F1084" s="13" t="s">
        <v>2894</v>
      </c>
      <c r="G1084" s="285" t="s">
        <v>3699</v>
      </c>
      <c r="H1084" s="285" t="s">
        <v>5127</v>
      </c>
      <c r="I1084" s="285"/>
      <c r="J1084" s="285" t="s">
        <v>9405</v>
      </c>
      <c r="K1084" s="289">
        <v>2009</v>
      </c>
      <c r="L1084" s="289" t="s">
        <v>1029</v>
      </c>
      <c r="M1084" s="14">
        <v>40118</v>
      </c>
      <c r="N1084" s="24">
        <v>1</v>
      </c>
      <c r="O1084" s="17">
        <v>5943</v>
      </c>
      <c r="P1084" s="17">
        <v>5943</v>
      </c>
      <c r="Q1084" s="17">
        <f t="shared" si="24"/>
        <v>0</v>
      </c>
      <c r="R1084" s="285" t="s">
        <v>5071</v>
      </c>
      <c r="S1084" s="14">
        <v>40118</v>
      </c>
      <c r="T1084" s="285">
        <v>35</v>
      </c>
    </row>
    <row r="1085" spans="1:20" ht="78" customHeight="1" x14ac:dyDescent="0.2">
      <c r="A1085" s="21">
        <v>1099</v>
      </c>
      <c r="B1085" s="289" t="s">
        <v>2491</v>
      </c>
      <c r="C1085" s="257" t="s">
        <v>5274</v>
      </c>
      <c r="D1085" s="9" t="s">
        <v>1058</v>
      </c>
      <c r="E1085" s="18"/>
      <c r="F1085" s="13" t="s">
        <v>2331</v>
      </c>
      <c r="G1085" s="285" t="s">
        <v>3699</v>
      </c>
      <c r="H1085" s="285" t="s">
        <v>5127</v>
      </c>
      <c r="I1085" s="285"/>
      <c r="J1085" s="285" t="s">
        <v>9405</v>
      </c>
      <c r="K1085" s="289">
        <v>2009</v>
      </c>
      <c r="L1085" s="289" t="s">
        <v>1029</v>
      </c>
      <c r="M1085" s="14" t="s">
        <v>9406</v>
      </c>
      <c r="N1085" s="24">
        <v>2</v>
      </c>
      <c r="O1085" s="17">
        <v>14681</v>
      </c>
      <c r="P1085" s="17">
        <v>14681</v>
      </c>
      <c r="Q1085" s="17">
        <f t="shared" si="24"/>
        <v>0</v>
      </c>
      <c r="R1085" s="285" t="s">
        <v>5071</v>
      </c>
      <c r="S1085" s="14" t="s">
        <v>9406</v>
      </c>
      <c r="T1085" s="285">
        <v>72</v>
      </c>
    </row>
    <row r="1086" spans="1:20" ht="78" customHeight="1" x14ac:dyDescent="0.2">
      <c r="A1086" s="21">
        <v>1100</v>
      </c>
      <c r="B1086" s="289" t="s">
        <v>1308</v>
      </c>
      <c r="C1086" s="285" t="s">
        <v>5274</v>
      </c>
      <c r="D1086" s="9" t="s">
        <v>2369</v>
      </c>
      <c r="E1086" s="18"/>
      <c r="F1086" s="13" t="s">
        <v>3689</v>
      </c>
      <c r="G1086" s="285" t="s">
        <v>515</v>
      </c>
      <c r="H1086" s="285" t="s">
        <v>5127</v>
      </c>
      <c r="I1086" s="285"/>
      <c r="J1086" s="285"/>
      <c r="K1086" s="15"/>
      <c r="L1086" s="289"/>
      <c r="M1086" s="15"/>
      <c r="N1086" s="24">
        <v>1</v>
      </c>
      <c r="O1086" s="17">
        <v>4784</v>
      </c>
      <c r="P1086" s="17">
        <v>4784</v>
      </c>
      <c r="Q1086" s="17">
        <f t="shared" si="24"/>
        <v>0</v>
      </c>
      <c r="R1086" s="285"/>
      <c r="S1086" s="14"/>
      <c r="T1086" s="285"/>
    </row>
    <row r="1087" spans="1:20" ht="78" customHeight="1" x14ac:dyDescent="0.2">
      <c r="A1087" s="21">
        <v>1101</v>
      </c>
      <c r="B1087" s="289" t="s">
        <v>1309</v>
      </c>
      <c r="C1087" s="285" t="s">
        <v>5274</v>
      </c>
      <c r="D1087" s="9" t="s">
        <v>3512</v>
      </c>
      <c r="E1087" s="18"/>
      <c r="F1087" s="13" t="s">
        <v>2915</v>
      </c>
      <c r="G1087" s="285" t="s">
        <v>515</v>
      </c>
      <c r="H1087" s="285" t="s">
        <v>5127</v>
      </c>
      <c r="I1087" s="285"/>
      <c r="J1087" s="285"/>
      <c r="K1087" s="15"/>
      <c r="L1087" s="289"/>
      <c r="M1087" s="15"/>
      <c r="N1087" s="24">
        <v>1</v>
      </c>
      <c r="O1087" s="17">
        <v>4355.3999999999996</v>
      </c>
      <c r="P1087" s="17">
        <v>4355.3999999999996</v>
      </c>
      <c r="Q1087" s="17">
        <f t="shared" si="24"/>
        <v>0</v>
      </c>
      <c r="R1087" s="285"/>
      <c r="S1087" s="14"/>
      <c r="T1087" s="285"/>
    </row>
    <row r="1088" spans="1:20" ht="78" customHeight="1" x14ac:dyDescent="0.2">
      <c r="A1088" s="21">
        <v>1102</v>
      </c>
      <c r="B1088" s="289" t="s">
        <v>1310</v>
      </c>
      <c r="C1088" s="285" t="s">
        <v>5274</v>
      </c>
      <c r="D1088" s="9" t="s">
        <v>1476</v>
      </c>
      <c r="E1088" s="18"/>
      <c r="F1088" s="13" t="s">
        <v>1477</v>
      </c>
      <c r="G1088" s="285" t="s">
        <v>515</v>
      </c>
      <c r="H1088" s="285" t="s">
        <v>5127</v>
      </c>
      <c r="I1088" s="285"/>
      <c r="J1088" s="285"/>
      <c r="K1088" s="15"/>
      <c r="L1088" s="289"/>
      <c r="M1088" s="15"/>
      <c r="N1088" s="24">
        <v>1</v>
      </c>
      <c r="O1088" s="17">
        <v>8712</v>
      </c>
      <c r="P1088" s="17">
        <v>8712</v>
      </c>
      <c r="Q1088" s="17">
        <f t="shared" si="24"/>
        <v>0</v>
      </c>
      <c r="R1088" s="285"/>
      <c r="S1088" s="14"/>
      <c r="T1088" s="285"/>
    </row>
    <row r="1089" spans="1:20" ht="50.25" customHeight="1" x14ac:dyDescent="0.2">
      <c r="A1089" s="21">
        <v>1103</v>
      </c>
      <c r="B1089" s="289" t="s">
        <v>1311</v>
      </c>
      <c r="C1089" s="285" t="s">
        <v>5274</v>
      </c>
      <c r="D1089" s="9" t="s">
        <v>2820</v>
      </c>
      <c r="E1089" s="18"/>
      <c r="F1089" s="13" t="s">
        <v>1030</v>
      </c>
      <c r="G1089" s="285" t="s">
        <v>515</v>
      </c>
      <c r="H1089" s="285" t="s">
        <v>5127</v>
      </c>
      <c r="I1089" s="285"/>
      <c r="J1089" s="285"/>
      <c r="K1089" s="15"/>
      <c r="L1089" s="289"/>
      <c r="M1089" s="15"/>
      <c r="N1089" s="24">
        <v>1</v>
      </c>
      <c r="O1089" s="17">
        <v>7613</v>
      </c>
      <c r="P1089" s="17">
        <v>7613</v>
      </c>
      <c r="Q1089" s="17">
        <f t="shared" si="24"/>
        <v>0</v>
      </c>
      <c r="R1089" s="285"/>
      <c r="S1089" s="14"/>
      <c r="T1089" s="285"/>
    </row>
    <row r="1090" spans="1:20" ht="50.25" customHeight="1" x14ac:dyDescent="0.2">
      <c r="A1090" s="21">
        <v>1104</v>
      </c>
      <c r="B1090" s="289" t="s">
        <v>1312</v>
      </c>
      <c r="C1090" s="285" t="s">
        <v>5274</v>
      </c>
      <c r="D1090" s="9" t="s">
        <v>2370</v>
      </c>
      <c r="E1090" s="18"/>
      <c r="F1090" s="13" t="s">
        <v>2918</v>
      </c>
      <c r="G1090" s="285" t="s">
        <v>515</v>
      </c>
      <c r="H1090" s="285" t="s">
        <v>5127</v>
      </c>
      <c r="I1090" s="285"/>
      <c r="J1090" s="285"/>
      <c r="K1090" s="15"/>
      <c r="L1090" s="289"/>
      <c r="M1090" s="15"/>
      <c r="N1090" s="24">
        <v>2</v>
      </c>
      <c r="O1090" s="17">
        <v>10366.44</v>
      </c>
      <c r="P1090" s="17">
        <v>10366.44</v>
      </c>
      <c r="Q1090" s="17">
        <f t="shared" si="24"/>
        <v>0</v>
      </c>
      <c r="R1090" s="285"/>
      <c r="S1090" s="14"/>
      <c r="T1090" s="285"/>
    </row>
    <row r="1091" spans="1:20" ht="50.25" customHeight="1" x14ac:dyDescent="0.2">
      <c r="A1091" s="21">
        <v>1105</v>
      </c>
      <c r="B1091" s="289" t="s">
        <v>2916</v>
      </c>
      <c r="C1091" s="285" t="s">
        <v>5274</v>
      </c>
      <c r="D1091" s="9" t="s">
        <v>5424</v>
      </c>
      <c r="E1091" s="18"/>
      <c r="F1091" s="13" t="s">
        <v>1772</v>
      </c>
      <c r="G1091" s="285" t="s">
        <v>515</v>
      </c>
      <c r="H1091" s="285" t="s">
        <v>5127</v>
      </c>
      <c r="I1091" s="285"/>
      <c r="J1091" s="285"/>
      <c r="K1091" s="15"/>
      <c r="L1091" s="289"/>
      <c r="M1091" s="15"/>
      <c r="N1091" s="24">
        <v>1</v>
      </c>
      <c r="O1091" s="17">
        <v>3590</v>
      </c>
      <c r="P1091" s="17">
        <v>3590</v>
      </c>
      <c r="Q1091" s="17">
        <f t="shared" si="24"/>
        <v>0</v>
      </c>
      <c r="R1091" s="285"/>
      <c r="S1091" s="14"/>
      <c r="T1091" s="285"/>
    </row>
    <row r="1092" spans="1:20" ht="50.25" customHeight="1" x14ac:dyDescent="0.2">
      <c r="A1092" s="21">
        <v>1106</v>
      </c>
      <c r="B1092" s="289" t="s">
        <v>2917</v>
      </c>
      <c r="C1092" s="285"/>
      <c r="D1092" s="9" t="s">
        <v>2551</v>
      </c>
      <c r="E1092" s="289">
        <v>2015</v>
      </c>
      <c r="F1092" s="13" t="s">
        <v>2883</v>
      </c>
      <c r="G1092" s="285" t="s">
        <v>4296</v>
      </c>
      <c r="H1092" s="285" t="s">
        <v>3793</v>
      </c>
      <c r="I1092" s="285"/>
      <c r="J1092" s="285" t="s">
        <v>3136</v>
      </c>
      <c r="K1092" s="14">
        <v>42138</v>
      </c>
      <c r="L1092" s="289">
        <v>393</v>
      </c>
      <c r="M1092" s="15">
        <v>42110</v>
      </c>
      <c r="N1092" s="24">
        <v>1</v>
      </c>
      <c r="O1092" s="17">
        <v>76237.289999999994</v>
      </c>
      <c r="P1092" s="17">
        <v>58448.52</v>
      </c>
      <c r="Q1092" s="17">
        <f t="shared" ref="Q1092:Q1120" si="25">O1092-P1092</f>
        <v>17788.769999999997</v>
      </c>
      <c r="R1092" s="285" t="s">
        <v>5110</v>
      </c>
      <c r="S1092" s="14">
        <v>42079</v>
      </c>
      <c r="T1092" s="285" t="s">
        <v>2884</v>
      </c>
    </row>
    <row r="1093" spans="1:20" ht="50.25" customHeight="1" x14ac:dyDescent="0.2">
      <c r="A1093" s="21">
        <v>1107</v>
      </c>
      <c r="B1093" s="289" t="s">
        <v>2919</v>
      </c>
      <c r="C1093" s="285"/>
      <c r="D1093" s="9" t="s">
        <v>4356</v>
      </c>
      <c r="E1093" s="18"/>
      <c r="F1093" s="13" t="s">
        <v>813</v>
      </c>
      <c r="G1093" s="285" t="s">
        <v>515</v>
      </c>
      <c r="H1093" s="285" t="s">
        <v>5127</v>
      </c>
      <c r="I1093" s="285"/>
      <c r="J1093" s="285"/>
      <c r="K1093" s="15"/>
      <c r="L1093" s="289"/>
      <c r="M1093" s="15"/>
      <c r="N1093" s="24">
        <v>1</v>
      </c>
      <c r="O1093" s="17">
        <v>4300</v>
      </c>
      <c r="P1093" s="17">
        <v>4300</v>
      </c>
      <c r="Q1093" s="17">
        <f t="shared" si="25"/>
        <v>0</v>
      </c>
      <c r="R1093" s="285"/>
      <c r="S1093" s="14"/>
      <c r="T1093" s="285"/>
    </row>
    <row r="1094" spans="1:20" ht="24" x14ac:dyDescent="0.2">
      <c r="A1094" s="21">
        <v>1108</v>
      </c>
      <c r="B1094" s="289" t="s">
        <v>2920</v>
      </c>
      <c r="C1094" s="285"/>
      <c r="D1094" s="9" t="s">
        <v>5629</v>
      </c>
      <c r="E1094" s="18"/>
      <c r="F1094" s="13" t="s">
        <v>5423</v>
      </c>
      <c r="G1094" s="285" t="s">
        <v>515</v>
      </c>
      <c r="H1094" s="285" t="s">
        <v>5127</v>
      </c>
      <c r="I1094" s="285"/>
      <c r="J1094" s="285"/>
      <c r="K1094" s="15"/>
      <c r="L1094" s="289"/>
      <c r="M1094" s="15"/>
      <c r="N1094" s="24">
        <v>1</v>
      </c>
      <c r="O1094" s="17">
        <v>4680</v>
      </c>
      <c r="P1094" s="17">
        <v>4680</v>
      </c>
      <c r="Q1094" s="17">
        <f t="shared" si="25"/>
        <v>0</v>
      </c>
      <c r="R1094" s="285"/>
      <c r="S1094" s="14"/>
      <c r="T1094" s="285"/>
    </row>
    <row r="1095" spans="1:20" ht="46.5" customHeight="1" x14ac:dyDescent="0.2">
      <c r="A1095" s="21">
        <v>1109</v>
      </c>
      <c r="B1095" s="289" t="s">
        <v>2921</v>
      </c>
      <c r="C1095" s="285" t="s">
        <v>5274</v>
      </c>
      <c r="D1095" s="9" t="s">
        <v>1486</v>
      </c>
      <c r="E1095" s="18"/>
      <c r="F1095" s="13" t="s">
        <v>1487</v>
      </c>
      <c r="G1095" s="285" t="s">
        <v>515</v>
      </c>
      <c r="H1095" s="285" t="s">
        <v>5127</v>
      </c>
      <c r="I1095" s="285"/>
      <c r="J1095" s="285"/>
      <c r="K1095" s="15"/>
      <c r="L1095" s="289"/>
      <c r="M1095" s="15"/>
      <c r="N1095" s="24">
        <v>1</v>
      </c>
      <c r="O1095" s="17">
        <v>7960</v>
      </c>
      <c r="P1095" s="17">
        <v>7960</v>
      </c>
      <c r="Q1095" s="17">
        <f t="shared" si="25"/>
        <v>0</v>
      </c>
      <c r="R1095" s="285"/>
      <c r="S1095" s="14"/>
      <c r="T1095" s="285"/>
    </row>
    <row r="1096" spans="1:20" ht="46.5" customHeight="1" x14ac:dyDescent="0.2">
      <c r="A1096" s="21">
        <v>1110</v>
      </c>
      <c r="B1096" s="289" t="s">
        <v>2922</v>
      </c>
      <c r="C1096" s="285" t="s">
        <v>5274</v>
      </c>
      <c r="D1096" s="9" t="s">
        <v>2747</v>
      </c>
      <c r="E1096" s="15">
        <v>41269</v>
      </c>
      <c r="F1096" s="13" t="s">
        <v>5671</v>
      </c>
      <c r="G1096" s="285" t="s">
        <v>7981</v>
      </c>
      <c r="H1096" s="285" t="s">
        <v>5127</v>
      </c>
      <c r="I1096" s="285"/>
      <c r="J1096" s="285" t="s">
        <v>3136</v>
      </c>
      <c r="K1096" s="15">
        <v>41317</v>
      </c>
      <c r="L1096" s="289">
        <v>175</v>
      </c>
      <c r="M1096" s="15">
        <v>41269</v>
      </c>
      <c r="N1096" s="24">
        <v>15</v>
      </c>
      <c r="O1096" s="17">
        <v>69076.800000000003</v>
      </c>
      <c r="P1096" s="17">
        <v>69076.800000000003</v>
      </c>
      <c r="Q1096" s="17">
        <f t="shared" si="25"/>
        <v>0</v>
      </c>
      <c r="R1096" s="285" t="s">
        <v>3388</v>
      </c>
      <c r="S1096" s="14">
        <v>41269</v>
      </c>
      <c r="T1096" s="285">
        <v>919</v>
      </c>
    </row>
    <row r="1097" spans="1:20" ht="46.5" customHeight="1" x14ac:dyDescent="0.2">
      <c r="A1097" s="21">
        <v>1111</v>
      </c>
      <c r="B1097" s="289" t="s">
        <v>2923</v>
      </c>
      <c r="C1097" s="285" t="s">
        <v>5274</v>
      </c>
      <c r="D1097" s="9" t="s">
        <v>2747</v>
      </c>
      <c r="E1097" s="15">
        <v>41269</v>
      </c>
      <c r="F1097" s="13" t="s">
        <v>5672</v>
      </c>
      <c r="G1097" s="285" t="s">
        <v>7981</v>
      </c>
      <c r="H1097" s="285" t="s">
        <v>5127</v>
      </c>
      <c r="I1097" s="285"/>
      <c r="J1097" s="285" t="s">
        <v>3136</v>
      </c>
      <c r="K1097" s="15">
        <v>41317</v>
      </c>
      <c r="L1097" s="289">
        <v>175</v>
      </c>
      <c r="M1097" s="15">
        <v>41269</v>
      </c>
      <c r="N1097" s="24">
        <v>1</v>
      </c>
      <c r="O1097" s="17">
        <v>6424.54</v>
      </c>
      <c r="P1097" s="17">
        <v>6424.54</v>
      </c>
      <c r="Q1097" s="17">
        <f t="shared" si="25"/>
        <v>0</v>
      </c>
      <c r="R1097" s="285" t="s">
        <v>3388</v>
      </c>
      <c r="S1097" s="14">
        <v>41269</v>
      </c>
      <c r="T1097" s="285">
        <v>919</v>
      </c>
    </row>
    <row r="1098" spans="1:20" ht="46.5" customHeight="1" x14ac:dyDescent="0.2">
      <c r="A1098" s="21">
        <v>1112</v>
      </c>
      <c r="B1098" s="289" t="s">
        <v>2924</v>
      </c>
      <c r="C1098" s="285" t="s">
        <v>5274</v>
      </c>
      <c r="D1098" s="9" t="s">
        <v>3512</v>
      </c>
      <c r="E1098" s="15">
        <v>37376</v>
      </c>
      <c r="F1098" s="13" t="s">
        <v>3433</v>
      </c>
      <c r="G1098" s="285" t="s">
        <v>7981</v>
      </c>
      <c r="H1098" s="285" t="s">
        <v>5127</v>
      </c>
      <c r="I1098" s="285"/>
      <c r="J1098" s="22" t="s">
        <v>9411</v>
      </c>
      <c r="K1098" s="15">
        <v>40544</v>
      </c>
      <c r="L1098" s="289" t="s">
        <v>1029</v>
      </c>
      <c r="M1098" s="15">
        <v>37376</v>
      </c>
      <c r="N1098" s="24">
        <v>1</v>
      </c>
      <c r="O1098" s="17">
        <v>9198.7000000000007</v>
      </c>
      <c r="P1098" s="17">
        <v>9198.7000000000007</v>
      </c>
      <c r="Q1098" s="17">
        <f t="shared" si="25"/>
        <v>0</v>
      </c>
      <c r="R1098" s="285"/>
      <c r="S1098" s="14"/>
      <c r="T1098" s="285"/>
    </row>
    <row r="1099" spans="1:20" ht="46.5" customHeight="1" x14ac:dyDescent="0.2">
      <c r="A1099" s="21">
        <v>1113</v>
      </c>
      <c r="B1099" s="289" t="s">
        <v>1612</v>
      </c>
      <c r="C1099" s="285" t="s">
        <v>5274</v>
      </c>
      <c r="D1099" s="9" t="s">
        <v>2630</v>
      </c>
      <c r="E1099" s="15">
        <v>41269</v>
      </c>
      <c r="F1099" s="13" t="s">
        <v>5673</v>
      </c>
      <c r="G1099" s="285" t="s">
        <v>7981</v>
      </c>
      <c r="H1099" s="285" t="s">
        <v>5127</v>
      </c>
      <c r="I1099" s="285"/>
      <c r="J1099" s="285" t="s">
        <v>3136</v>
      </c>
      <c r="K1099" s="15">
        <v>41317</v>
      </c>
      <c r="L1099" s="289">
        <v>175</v>
      </c>
      <c r="M1099" s="15">
        <v>41269</v>
      </c>
      <c r="N1099" s="24">
        <v>1</v>
      </c>
      <c r="O1099" s="17">
        <v>8040.94</v>
      </c>
      <c r="P1099" s="17">
        <v>8040.94</v>
      </c>
      <c r="Q1099" s="17">
        <f t="shared" si="25"/>
        <v>0</v>
      </c>
      <c r="R1099" s="285" t="s">
        <v>3388</v>
      </c>
      <c r="S1099" s="14">
        <v>41269</v>
      </c>
      <c r="T1099" s="285">
        <v>919</v>
      </c>
    </row>
    <row r="1100" spans="1:20" ht="43.5" customHeight="1" x14ac:dyDescent="0.2">
      <c r="A1100" s="21">
        <v>1114</v>
      </c>
      <c r="B1100" s="289" t="s">
        <v>3703</v>
      </c>
      <c r="C1100" s="285" t="s">
        <v>5274</v>
      </c>
      <c r="D1100" s="9" t="s">
        <v>3073</v>
      </c>
      <c r="E1100" s="15">
        <v>39138</v>
      </c>
      <c r="F1100" s="13" t="s">
        <v>1478</v>
      </c>
      <c r="G1100" s="285" t="s">
        <v>7981</v>
      </c>
      <c r="H1100" s="285" t="s">
        <v>5127</v>
      </c>
      <c r="I1100" s="285"/>
      <c r="J1100" s="22" t="s">
        <v>9411</v>
      </c>
      <c r="K1100" s="15">
        <v>40544</v>
      </c>
      <c r="L1100" s="289" t="s">
        <v>1029</v>
      </c>
      <c r="M1100" s="15">
        <v>39138</v>
      </c>
      <c r="N1100" s="24">
        <v>1</v>
      </c>
      <c r="O1100" s="17">
        <v>6018</v>
      </c>
      <c r="P1100" s="17">
        <v>6018</v>
      </c>
      <c r="Q1100" s="17">
        <f t="shared" si="25"/>
        <v>0</v>
      </c>
      <c r="R1100" s="285"/>
      <c r="S1100" s="14"/>
      <c r="T1100" s="285"/>
    </row>
    <row r="1101" spans="1:20" ht="43.5" customHeight="1" x14ac:dyDescent="0.2">
      <c r="A1101" s="21">
        <v>1115</v>
      </c>
      <c r="B1101" s="289" t="s">
        <v>6094</v>
      </c>
      <c r="C1101" s="285" t="s">
        <v>5274</v>
      </c>
      <c r="D1101" s="9" t="s">
        <v>2629</v>
      </c>
      <c r="E1101" s="15">
        <v>33238</v>
      </c>
      <c r="F1101" s="13" t="s">
        <v>6097</v>
      </c>
      <c r="G1101" s="285" t="s">
        <v>7981</v>
      </c>
      <c r="H1101" s="285" t="s">
        <v>5127</v>
      </c>
      <c r="I1101" s="285"/>
      <c r="J1101" s="22" t="s">
        <v>9411</v>
      </c>
      <c r="K1101" s="15">
        <v>40544</v>
      </c>
      <c r="L1101" s="289" t="s">
        <v>1029</v>
      </c>
      <c r="M1101" s="15">
        <v>33238</v>
      </c>
      <c r="N1101" s="24">
        <v>1</v>
      </c>
      <c r="O1101" s="17">
        <v>6881.77</v>
      </c>
      <c r="P1101" s="17">
        <v>6881.77</v>
      </c>
      <c r="Q1101" s="17">
        <f t="shared" si="25"/>
        <v>0</v>
      </c>
      <c r="R1101" s="285"/>
      <c r="S1101" s="14"/>
      <c r="T1101" s="285"/>
    </row>
    <row r="1102" spans="1:20" ht="43.5" customHeight="1" x14ac:dyDescent="0.2">
      <c r="A1102" s="21">
        <v>1116</v>
      </c>
      <c r="B1102" s="289" t="s">
        <v>6095</v>
      </c>
      <c r="C1102" s="285" t="s">
        <v>5274</v>
      </c>
      <c r="D1102" s="9" t="s">
        <v>5645</v>
      </c>
      <c r="E1102" s="15">
        <v>28125</v>
      </c>
      <c r="F1102" s="13" t="s">
        <v>4283</v>
      </c>
      <c r="G1102" s="285" t="s">
        <v>7981</v>
      </c>
      <c r="H1102" s="285" t="s">
        <v>5127</v>
      </c>
      <c r="I1102" s="285"/>
      <c r="J1102" s="22" t="s">
        <v>9411</v>
      </c>
      <c r="K1102" s="15">
        <v>40544</v>
      </c>
      <c r="L1102" s="289" t="s">
        <v>1029</v>
      </c>
      <c r="M1102" s="15">
        <v>28125</v>
      </c>
      <c r="N1102" s="24">
        <v>1</v>
      </c>
      <c r="O1102" s="17">
        <v>3453.12</v>
      </c>
      <c r="P1102" s="17">
        <v>3453.12</v>
      </c>
      <c r="Q1102" s="17">
        <f t="shared" si="25"/>
        <v>0</v>
      </c>
      <c r="R1102" s="285"/>
      <c r="S1102" s="14"/>
      <c r="T1102" s="285"/>
    </row>
    <row r="1103" spans="1:20" ht="43.5" customHeight="1" x14ac:dyDescent="0.2">
      <c r="A1103" s="21">
        <v>1117</v>
      </c>
      <c r="B1103" s="289" t="s">
        <v>6096</v>
      </c>
      <c r="C1103" s="285" t="s">
        <v>5274</v>
      </c>
      <c r="D1103" s="9" t="s">
        <v>1552</v>
      </c>
      <c r="E1103" s="15">
        <v>33238</v>
      </c>
      <c r="F1103" s="13" t="s">
        <v>4284</v>
      </c>
      <c r="G1103" s="285" t="s">
        <v>7981</v>
      </c>
      <c r="H1103" s="285" t="s">
        <v>5127</v>
      </c>
      <c r="I1103" s="285"/>
      <c r="J1103" s="22" t="s">
        <v>9411</v>
      </c>
      <c r="K1103" s="15">
        <v>40544</v>
      </c>
      <c r="L1103" s="289" t="s">
        <v>1029</v>
      </c>
      <c r="M1103" s="15">
        <v>33238</v>
      </c>
      <c r="N1103" s="24">
        <v>1</v>
      </c>
      <c r="O1103" s="17">
        <v>6010.11</v>
      </c>
      <c r="P1103" s="17">
        <v>6010.11</v>
      </c>
      <c r="Q1103" s="17">
        <f t="shared" si="25"/>
        <v>0</v>
      </c>
      <c r="R1103" s="285"/>
      <c r="S1103" s="14"/>
      <c r="T1103" s="285"/>
    </row>
    <row r="1104" spans="1:20" ht="43.5" customHeight="1" x14ac:dyDescent="0.2">
      <c r="A1104" s="21">
        <v>1118</v>
      </c>
      <c r="B1104" s="289" t="s">
        <v>1553</v>
      </c>
      <c r="C1104" s="285" t="s">
        <v>5274</v>
      </c>
      <c r="D1104" s="9" t="s">
        <v>5627</v>
      </c>
      <c r="E1104" s="15">
        <v>40268</v>
      </c>
      <c r="F1104" s="13" t="s">
        <v>4987</v>
      </c>
      <c r="G1104" s="285" t="s">
        <v>7981</v>
      </c>
      <c r="H1104" s="285" t="s">
        <v>5127</v>
      </c>
      <c r="I1104" s="285"/>
      <c r="J1104" s="22" t="s">
        <v>9411</v>
      </c>
      <c r="K1104" s="15">
        <v>40544</v>
      </c>
      <c r="L1104" s="289" t="s">
        <v>1029</v>
      </c>
      <c r="M1104" s="15">
        <v>40268</v>
      </c>
      <c r="N1104" s="24">
        <v>1</v>
      </c>
      <c r="O1104" s="17">
        <v>4760</v>
      </c>
      <c r="P1104" s="17">
        <v>4760</v>
      </c>
      <c r="Q1104" s="17">
        <f t="shared" si="25"/>
        <v>0</v>
      </c>
      <c r="R1104" s="285"/>
      <c r="S1104" s="14"/>
      <c r="T1104" s="285"/>
    </row>
    <row r="1105" spans="1:20" ht="43.5" customHeight="1" x14ac:dyDescent="0.2">
      <c r="A1105" s="21">
        <v>1119</v>
      </c>
      <c r="B1105" s="289" t="s">
        <v>1554</v>
      </c>
      <c r="C1105" s="285" t="s">
        <v>5274</v>
      </c>
      <c r="D1105" s="9" t="s">
        <v>3602</v>
      </c>
      <c r="E1105" s="15">
        <v>37257</v>
      </c>
      <c r="F1105" s="13" t="s">
        <v>2787</v>
      </c>
      <c r="G1105" s="285" t="s">
        <v>7981</v>
      </c>
      <c r="H1105" s="285" t="s">
        <v>5127</v>
      </c>
      <c r="I1105" s="285"/>
      <c r="J1105" s="22" t="s">
        <v>9411</v>
      </c>
      <c r="K1105" s="15">
        <v>40544</v>
      </c>
      <c r="L1105" s="289" t="s">
        <v>1029</v>
      </c>
      <c r="M1105" s="15">
        <v>37257</v>
      </c>
      <c r="N1105" s="24">
        <v>1</v>
      </c>
      <c r="O1105" s="17">
        <v>3547.5</v>
      </c>
      <c r="P1105" s="17">
        <v>3547.5</v>
      </c>
      <c r="Q1105" s="17">
        <f t="shared" si="25"/>
        <v>0</v>
      </c>
      <c r="R1105" s="285"/>
      <c r="S1105" s="14"/>
      <c r="T1105" s="285"/>
    </row>
    <row r="1106" spans="1:20" ht="43.5" customHeight="1" x14ac:dyDescent="0.2">
      <c r="A1106" s="21">
        <v>1121</v>
      </c>
      <c r="B1106" s="289" t="s">
        <v>1555</v>
      </c>
      <c r="C1106" s="285" t="s">
        <v>5274</v>
      </c>
      <c r="D1106" s="9" t="s">
        <v>1215</v>
      </c>
      <c r="E1106" s="15">
        <v>40057</v>
      </c>
      <c r="F1106" s="13" t="s">
        <v>3123</v>
      </c>
      <c r="G1106" s="285" t="s">
        <v>7981</v>
      </c>
      <c r="H1106" s="285" t="s">
        <v>5127</v>
      </c>
      <c r="I1106" s="285"/>
      <c r="J1106" s="22" t="s">
        <v>9411</v>
      </c>
      <c r="K1106" s="15">
        <v>40544</v>
      </c>
      <c r="L1106" s="289" t="s">
        <v>1029</v>
      </c>
      <c r="M1106" s="15">
        <v>40057</v>
      </c>
      <c r="N1106" s="24">
        <v>3</v>
      </c>
      <c r="O1106" s="17">
        <v>10800</v>
      </c>
      <c r="P1106" s="17">
        <v>10800</v>
      </c>
      <c r="Q1106" s="17">
        <f t="shared" si="25"/>
        <v>0</v>
      </c>
      <c r="R1106" s="285"/>
      <c r="S1106" s="14"/>
      <c r="T1106" s="285"/>
    </row>
    <row r="1107" spans="1:20" ht="76.5" customHeight="1" x14ac:dyDescent="0.2">
      <c r="A1107" s="21">
        <v>1122</v>
      </c>
      <c r="B1107" s="289" t="s">
        <v>1556</v>
      </c>
      <c r="C1107" s="285" t="s">
        <v>5274</v>
      </c>
      <c r="D1107" s="9" t="s">
        <v>5305</v>
      </c>
      <c r="E1107" s="15">
        <v>40057</v>
      </c>
      <c r="F1107" s="13" t="s">
        <v>5306</v>
      </c>
      <c r="G1107" s="285" t="s">
        <v>7981</v>
      </c>
      <c r="H1107" s="285" t="s">
        <v>5127</v>
      </c>
      <c r="I1107" s="285"/>
      <c r="J1107" s="22" t="s">
        <v>9411</v>
      </c>
      <c r="K1107" s="15">
        <v>40544</v>
      </c>
      <c r="L1107" s="289" t="s">
        <v>1029</v>
      </c>
      <c r="M1107" s="15">
        <v>40543</v>
      </c>
      <c r="N1107" s="24">
        <v>1</v>
      </c>
      <c r="O1107" s="17">
        <v>3239</v>
      </c>
      <c r="P1107" s="17">
        <v>3239</v>
      </c>
      <c r="Q1107" s="17">
        <f t="shared" si="25"/>
        <v>0</v>
      </c>
      <c r="R1107" s="285"/>
      <c r="S1107" s="14"/>
      <c r="T1107" s="285"/>
    </row>
    <row r="1108" spans="1:20" ht="30.75" customHeight="1" x14ac:dyDescent="0.2">
      <c r="A1108" s="21">
        <v>1123</v>
      </c>
      <c r="B1108" s="289" t="s">
        <v>1557</v>
      </c>
      <c r="C1108" s="285" t="s">
        <v>5274</v>
      </c>
      <c r="D1108" s="9" t="s">
        <v>2960</v>
      </c>
      <c r="E1108" s="18"/>
      <c r="F1108" s="13" t="s">
        <v>1689</v>
      </c>
      <c r="G1108" s="285" t="s">
        <v>7917</v>
      </c>
      <c r="H1108" s="285" t="s">
        <v>5127</v>
      </c>
      <c r="I1108" s="285"/>
      <c r="J1108" s="285"/>
      <c r="K1108" s="15"/>
      <c r="L1108" s="289"/>
      <c r="M1108" s="15"/>
      <c r="N1108" s="17">
        <v>1</v>
      </c>
      <c r="O1108" s="17">
        <v>5700</v>
      </c>
      <c r="P1108" s="17">
        <v>5700</v>
      </c>
      <c r="Q1108" s="17">
        <f t="shared" si="25"/>
        <v>0</v>
      </c>
      <c r="R1108" s="285"/>
      <c r="S1108" s="14"/>
      <c r="T1108" s="285"/>
    </row>
    <row r="1109" spans="1:20" ht="30.75" customHeight="1" x14ac:dyDescent="0.2">
      <c r="A1109" s="21">
        <v>1124</v>
      </c>
      <c r="B1109" s="289" t="s">
        <v>1558</v>
      </c>
      <c r="C1109" s="285" t="s">
        <v>5274</v>
      </c>
      <c r="D1109" s="9" t="s">
        <v>2043</v>
      </c>
      <c r="E1109" s="18"/>
      <c r="F1109" s="13" t="s">
        <v>5980</v>
      </c>
      <c r="G1109" s="285" t="s">
        <v>7917</v>
      </c>
      <c r="H1109" s="285" t="s">
        <v>5127</v>
      </c>
      <c r="I1109" s="285"/>
      <c r="J1109" s="285"/>
      <c r="K1109" s="15"/>
      <c r="L1109" s="289"/>
      <c r="M1109" s="15"/>
      <c r="N1109" s="17">
        <v>2</v>
      </c>
      <c r="O1109" s="17">
        <v>8974</v>
      </c>
      <c r="P1109" s="17">
        <v>8974</v>
      </c>
      <c r="Q1109" s="17">
        <f t="shared" si="25"/>
        <v>0</v>
      </c>
      <c r="R1109" s="285"/>
      <c r="S1109" s="14"/>
      <c r="T1109" s="285"/>
    </row>
    <row r="1110" spans="1:20" ht="30.75" customHeight="1" x14ac:dyDescent="0.2">
      <c r="A1110" s="21">
        <v>1125</v>
      </c>
      <c r="B1110" s="289" t="s">
        <v>4642</v>
      </c>
      <c r="C1110" s="285" t="s">
        <v>5274</v>
      </c>
      <c r="D1110" s="9" t="s">
        <v>1047</v>
      </c>
      <c r="E1110" s="18"/>
      <c r="F1110" s="13" t="s">
        <v>1748</v>
      </c>
      <c r="G1110" s="285" t="s">
        <v>7917</v>
      </c>
      <c r="H1110" s="285" t="s">
        <v>5127</v>
      </c>
      <c r="I1110" s="285"/>
      <c r="J1110" s="285"/>
      <c r="K1110" s="15"/>
      <c r="L1110" s="289"/>
      <c r="M1110" s="15"/>
      <c r="N1110" s="17">
        <v>1</v>
      </c>
      <c r="O1110" s="17">
        <v>5100</v>
      </c>
      <c r="P1110" s="17">
        <v>5100</v>
      </c>
      <c r="Q1110" s="17">
        <f t="shared" si="25"/>
        <v>0</v>
      </c>
      <c r="R1110" s="285"/>
      <c r="S1110" s="14"/>
      <c r="T1110" s="285"/>
    </row>
    <row r="1111" spans="1:20" ht="30.75" customHeight="1" x14ac:dyDescent="0.2">
      <c r="A1111" s="21">
        <v>1126</v>
      </c>
      <c r="B1111" s="289" t="s">
        <v>526</v>
      </c>
      <c r="C1111" s="285" t="s">
        <v>5274</v>
      </c>
      <c r="D1111" s="9" t="s">
        <v>3894</v>
      </c>
      <c r="E1111" s="18"/>
      <c r="F1111" s="13" t="s">
        <v>865</v>
      </c>
      <c r="G1111" s="285" t="s">
        <v>7917</v>
      </c>
      <c r="H1111" s="285" t="s">
        <v>5127</v>
      </c>
      <c r="I1111" s="285"/>
      <c r="J1111" s="285"/>
      <c r="K1111" s="15"/>
      <c r="L1111" s="289"/>
      <c r="M1111" s="15"/>
      <c r="N1111" s="17">
        <v>1</v>
      </c>
      <c r="O1111" s="17">
        <v>5400</v>
      </c>
      <c r="P1111" s="17">
        <v>5400</v>
      </c>
      <c r="Q1111" s="17">
        <f t="shared" si="25"/>
        <v>0</v>
      </c>
      <c r="R1111" s="285"/>
      <c r="S1111" s="14"/>
      <c r="T1111" s="285"/>
    </row>
    <row r="1112" spans="1:20" ht="30.75" customHeight="1" x14ac:dyDescent="0.2">
      <c r="A1112" s="21">
        <v>1127</v>
      </c>
      <c r="B1112" s="289" t="s">
        <v>2080</v>
      </c>
      <c r="C1112" s="285" t="s">
        <v>5274</v>
      </c>
      <c r="D1112" s="9" t="s">
        <v>3894</v>
      </c>
      <c r="E1112" s="18"/>
      <c r="F1112" s="13" t="s">
        <v>4711</v>
      </c>
      <c r="G1112" s="285" t="s">
        <v>7917</v>
      </c>
      <c r="H1112" s="285" t="s">
        <v>5127</v>
      </c>
      <c r="I1112" s="285"/>
      <c r="J1112" s="285"/>
      <c r="K1112" s="15"/>
      <c r="L1112" s="289"/>
      <c r="M1112" s="15"/>
      <c r="N1112" s="17">
        <v>1</v>
      </c>
      <c r="O1112" s="17">
        <v>4248</v>
      </c>
      <c r="P1112" s="17">
        <v>4248</v>
      </c>
      <c r="Q1112" s="17">
        <f t="shared" si="25"/>
        <v>0</v>
      </c>
      <c r="R1112" s="285"/>
      <c r="S1112" s="14"/>
      <c r="T1112" s="285"/>
    </row>
    <row r="1113" spans="1:20" ht="30.75" customHeight="1" x14ac:dyDescent="0.2">
      <c r="A1113" s="21">
        <v>1128</v>
      </c>
      <c r="B1113" s="289" t="s">
        <v>2081</v>
      </c>
      <c r="C1113" s="285" t="s">
        <v>5274</v>
      </c>
      <c r="D1113" s="9" t="s">
        <v>3756</v>
      </c>
      <c r="E1113" s="18"/>
      <c r="F1113" s="13" t="s">
        <v>1658</v>
      </c>
      <c r="G1113" s="285" t="s">
        <v>7917</v>
      </c>
      <c r="H1113" s="285" t="s">
        <v>5127</v>
      </c>
      <c r="I1113" s="285"/>
      <c r="J1113" s="285"/>
      <c r="K1113" s="15"/>
      <c r="L1113" s="289"/>
      <c r="M1113" s="15"/>
      <c r="N1113" s="17">
        <v>1</v>
      </c>
      <c r="O1113" s="17">
        <v>4897</v>
      </c>
      <c r="P1113" s="17">
        <v>4897</v>
      </c>
      <c r="Q1113" s="17">
        <f t="shared" si="25"/>
        <v>0</v>
      </c>
      <c r="R1113" s="285"/>
      <c r="S1113" s="14"/>
      <c r="T1113" s="285"/>
    </row>
    <row r="1114" spans="1:20" ht="30.75" customHeight="1" x14ac:dyDescent="0.2">
      <c r="A1114" s="21">
        <v>1129</v>
      </c>
      <c r="B1114" s="289" t="s">
        <v>2082</v>
      </c>
      <c r="C1114" s="285" t="s">
        <v>5274</v>
      </c>
      <c r="D1114" s="9" t="s">
        <v>2629</v>
      </c>
      <c r="E1114" s="18"/>
      <c r="F1114" s="13" t="s">
        <v>6177</v>
      </c>
      <c r="G1114" s="285" t="s">
        <v>7917</v>
      </c>
      <c r="H1114" s="285" t="s">
        <v>5127</v>
      </c>
      <c r="I1114" s="285"/>
      <c r="J1114" s="285"/>
      <c r="K1114" s="15"/>
      <c r="L1114" s="289"/>
      <c r="M1114" s="15"/>
      <c r="N1114" s="17">
        <v>2</v>
      </c>
      <c r="O1114" s="17">
        <v>6559.28</v>
      </c>
      <c r="P1114" s="17">
        <v>6559.28</v>
      </c>
      <c r="Q1114" s="17">
        <f t="shared" si="25"/>
        <v>0</v>
      </c>
      <c r="R1114" s="285"/>
      <c r="S1114" s="14"/>
      <c r="T1114" s="285"/>
    </row>
    <row r="1115" spans="1:20" ht="30.75" customHeight="1" x14ac:dyDescent="0.2">
      <c r="A1115" s="21">
        <v>1130</v>
      </c>
      <c r="B1115" s="289" t="s">
        <v>2083</v>
      </c>
      <c r="C1115" s="285" t="s">
        <v>5274</v>
      </c>
      <c r="D1115" s="46" t="s">
        <v>4238</v>
      </c>
      <c r="E1115" s="18"/>
      <c r="F1115" s="47" t="s">
        <v>6178</v>
      </c>
      <c r="G1115" s="285" t="s">
        <v>7917</v>
      </c>
      <c r="H1115" s="285" t="s">
        <v>5127</v>
      </c>
      <c r="I1115" s="285"/>
      <c r="J1115" s="285"/>
      <c r="K1115" s="15"/>
      <c r="L1115" s="289"/>
      <c r="M1115" s="15"/>
      <c r="N1115" s="48">
        <v>1</v>
      </c>
      <c r="O1115" s="48">
        <v>6088.32</v>
      </c>
      <c r="P1115" s="17">
        <v>6088.32</v>
      </c>
      <c r="Q1115" s="17">
        <f t="shared" si="25"/>
        <v>0</v>
      </c>
      <c r="R1115" s="285"/>
      <c r="S1115" s="14"/>
    </row>
    <row r="1116" spans="1:20" ht="30.75" customHeight="1" x14ac:dyDescent="0.2">
      <c r="A1116" s="21">
        <v>1131</v>
      </c>
      <c r="B1116" s="289" t="s">
        <v>2084</v>
      </c>
      <c r="C1116" s="285" t="s">
        <v>5274</v>
      </c>
      <c r="D1116" s="46" t="s">
        <v>3377</v>
      </c>
      <c r="E1116" s="18"/>
      <c r="F1116" s="47" t="s">
        <v>6179</v>
      </c>
      <c r="G1116" s="285" t="s">
        <v>7917</v>
      </c>
      <c r="H1116" s="285" t="s">
        <v>5127</v>
      </c>
      <c r="I1116" s="285"/>
      <c r="J1116" s="285"/>
      <c r="K1116" s="15"/>
      <c r="L1116" s="289"/>
      <c r="M1116" s="15"/>
      <c r="N1116" s="48">
        <v>1</v>
      </c>
      <c r="O1116" s="48">
        <v>3237.9</v>
      </c>
      <c r="P1116" s="17">
        <v>3237.9</v>
      </c>
      <c r="Q1116" s="17">
        <f t="shared" si="25"/>
        <v>0</v>
      </c>
      <c r="R1116" s="285"/>
      <c r="S1116" s="14"/>
      <c r="T1116" s="285"/>
    </row>
    <row r="1117" spans="1:20" ht="41.25" customHeight="1" x14ac:dyDescent="0.2">
      <c r="A1117" s="21">
        <v>1132</v>
      </c>
      <c r="B1117" s="30" t="s">
        <v>2085</v>
      </c>
      <c r="C1117" s="285" t="s">
        <v>5274</v>
      </c>
      <c r="D1117" s="9" t="s">
        <v>5301</v>
      </c>
      <c r="E1117" s="18"/>
      <c r="F1117" s="13" t="s">
        <v>3689</v>
      </c>
      <c r="G1117" s="285" t="s">
        <v>7917</v>
      </c>
      <c r="H1117" s="49" t="s">
        <v>5127</v>
      </c>
      <c r="I1117" s="285"/>
      <c r="J1117" s="285"/>
      <c r="K1117" s="15"/>
      <c r="L1117" s="289"/>
      <c r="M1117" s="15"/>
      <c r="N1117" s="24">
        <v>1</v>
      </c>
      <c r="O1117" s="17">
        <v>3907.2</v>
      </c>
      <c r="P1117" s="17">
        <v>3907.2</v>
      </c>
      <c r="Q1117" s="17">
        <f t="shared" si="25"/>
        <v>0</v>
      </c>
      <c r="R1117" s="285"/>
      <c r="S1117" s="14"/>
      <c r="T1117" s="285"/>
    </row>
    <row r="1118" spans="1:20" ht="41.25" customHeight="1" x14ac:dyDescent="0.2">
      <c r="A1118" s="21">
        <v>1133</v>
      </c>
      <c r="B1118" s="30" t="s">
        <v>2086</v>
      </c>
      <c r="C1118" s="285" t="s">
        <v>5274</v>
      </c>
      <c r="D1118" s="9" t="s">
        <v>3647</v>
      </c>
      <c r="E1118" s="18"/>
      <c r="F1118" s="13" t="s">
        <v>5512</v>
      </c>
      <c r="G1118" s="285" t="s">
        <v>7917</v>
      </c>
      <c r="H1118" s="49" t="s">
        <v>5127</v>
      </c>
      <c r="I1118" s="285"/>
      <c r="J1118" s="285"/>
      <c r="K1118" s="15"/>
      <c r="L1118" s="289"/>
      <c r="M1118" s="15"/>
      <c r="N1118" s="24">
        <v>1</v>
      </c>
      <c r="O1118" s="17">
        <v>3765.6</v>
      </c>
      <c r="P1118" s="17">
        <v>3765.6</v>
      </c>
      <c r="Q1118" s="17">
        <f t="shared" si="25"/>
        <v>0</v>
      </c>
      <c r="R1118" s="285"/>
      <c r="S1118" s="14"/>
      <c r="T1118" s="285"/>
    </row>
    <row r="1119" spans="1:20" ht="93" customHeight="1" x14ac:dyDescent="0.2">
      <c r="A1119" s="21">
        <v>1134</v>
      </c>
      <c r="B1119" s="30" t="s">
        <v>2087</v>
      </c>
      <c r="C1119" s="37" t="s">
        <v>5274</v>
      </c>
      <c r="D1119" s="9" t="s">
        <v>6042</v>
      </c>
      <c r="E1119" s="18"/>
      <c r="F1119" s="13" t="s">
        <v>3592</v>
      </c>
      <c r="G1119" s="285" t="s">
        <v>7917</v>
      </c>
      <c r="H1119" s="49" t="s">
        <v>5127</v>
      </c>
      <c r="I1119" s="285"/>
      <c r="J1119" s="285"/>
      <c r="K1119" s="15"/>
      <c r="L1119" s="289"/>
      <c r="M1119" s="15"/>
      <c r="N1119" s="24">
        <v>1</v>
      </c>
      <c r="O1119" s="17">
        <v>5522.47</v>
      </c>
      <c r="P1119" s="17">
        <v>5522.47</v>
      </c>
      <c r="Q1119" s="17">
        <f t="shared" si="25"/>
        <v>0</v>
      </c>
      <c r="R1119" s="285"/>
      <c r="S1119" s="14"/>
      <c r="T1119" s="285"/>
    </row>
    <row r="1120" spans="1:20" ht="85.5" customHeight="1" x14ac:dyDescent="0.2">
      <c r="A1120" s="21">
        <v>1136</v>
      </c>
      <c r="B1120" s="30" t="s">
        <v>2845</v>
      </c>
      <c r="C1120" s="285" t="s">
        <v>5274</v>
      </c>
      <c r="D1120" s="9" t="s">
        <v>1978</v>
      </c>
      <c r="E1120" s="18"/>
      <c r="F1120" s="13" t="s">
        <v>1291</v>
      </c>
      <c r="G1120" s="285" t="s">
        <v>7917</v>
      </c>
      <c r="H1120" s="49" t="s">
        <v>5127</v>
      </c>
      <c r="I1120" s="285"/>
      <c r="J1120" s="285"/>
      <c r="K1120" s="15"/>
      <c r="L1120" s="289"/>
      <c r="M1120" s="15"/>
      <c r="N1120" s="17">
        <v>1</v>
      </c>
      <c r="O1120" s="17">
        <v>3202</v>
      </c>
      <c r="P1120" s="17">
        <v>3202</v>
      </c>
      <c r="Q1120" s="17">
        <f t="shared" si="25"/>
        <v>0</v>
      </c>
      <c r="R1120" s="285"/>
      <c r="S1120" s="14"/>
      <c r="T1120" s="285"/>
    </row>
    <row r="1121" spans="1:20" ht="85.5" customHeight="1" x14ac:dyDescent="0.2">
      <c r="A1121" s="21">
        <v>1137</v>
      </c>
      <c r="B1121" s="30" t="s">
        <v>2846</v>
      </c>
      <c r="C1121" s="285"/>
      <c r="D1121" s="9" t="s">
        <v>1646</v>
      </c>
      <c r="E1121" s="15">
        <v>33358</v>
      </c>
      <c r="F1121" s="13" t="s">
        <v>357</v>
      </c>
      <c r="G1121" s="285" t="s">
        <v>7982</v>
      </c>
      <c r="H1121" s="49" t="s">
        <v>5127</v>
      </c>
      <c r="I1121" s="285"/>
      <c r="J1121" s="285" t="s">
        <v>9411</v>
      </c>
      <c r="K1121" s="15">
        <v>40544</v>
      </c>
      <c r="L1121" s="289" t="s">
        <v>1029</v>
      </c>
      <c r="M1121" s="15">
        <v>33358</v>
      </c>
      <c r="N1121" s="24">
        <v>2</v>
      </c>
      <c r="O1121" s="17">
        <v>17447.04</v>
      </c>
      <c r="P1121" s="17">
        <v>17447.04</v>
      </c>
      <c r="Q1121" s="17">
        <f t="shared" ref="Q1121:Q1184" si="26">O1121-P1121</f>
        <v>0</v>
      </c>
      <c r="R1121" s="285"/>
      <c r="S1121" s="14"/>
      <c r="T1121" s="285"/>
    </row>
    <row r="1122" spans="1:20" ht="90" customHeight="1" x14ac:dyDescent="0.2">
      <c r="A1122" s="21">
        <v>1138</v>
      </c>
      <c r="B1122" s="30" t="s">
        <v>2847</v>
      </c>
      <c r="C1122" s="285" t="s">
        <v>5274</v>
      </c>
      <c r="D1122" s="46" t="s">
        <v>3970</v>
      </c>
      <c r="E1122" s="15">
        <v>33388</v>
      </c>
      <c r="F1122" s="47" t="s">
        <v>781</v>
      </c>
      <c r="G1122" s="285" t="s">
        <v>7982</v>
      </c>
      <c r="H1122" s="285" t="s">
        <v>5127</v>
      </c>
      <c r="I1122" s="285"/>
      <c r="J1122" s="285" t="s">
        <v>9411</v>
      </c>
      <c r="K1122" s="15">
        <v>40544</v>
      </c>
      <c r="L1122" s="289" t="s">
        <v>1029</v>
      </c>
      <c r="M1122" s="15">
        <v>33388</v>
      </c>
      <c r="N1122" s="17">
        <v>1</v>
      </c>
      <c r="O1122" s="17">
        <v>7506.72</v>
      </c>
      <c r="P1122" s="17">
        <v>7506.72</v>
      </c>
      <c r="Q1122" s="17">
        <f t="shared" si="26"/>
        <v>0</v>
      </c>
      <c r="R1122" s="285"/>
      <c r="S1122" s="14"/>
      <c r="T1122" s="285"/>
    </row>
    <row r="1123" spans="1:20" ht="42" customHeight="1" x14ac:dyDescent="0.2">
      <c r="A1123" s="21">
        <v>1139</v>
      </c>
      <c r="B1123" s="30" t="s">
        <v>2848</v>
      </c>
      <c r="C1123" s="37"/>
      <c r="D1123" s="9" t="s">
        <v>1338</v>
      </c>
      <c r="E1123" s="15">
        <v>33572</v>
      </c>
      <c r="F1123" s="13" t="s">
        <v>782</v>
      </c>
      <c r="G1123" s="285" t="s">
        <v>7982</v>
      </c>
      <c r="H1123" s="49" t="s">
        <v>5127</v>
      </c>
      <c r="I1123" s="285"/>
      <c r="J1123" s="285" t="s">
        <v>9411</v>
      </c>
      <c r="K1123" s="15">
        <v>40544</v>
      </c>
      <c r="L1123" s="289" t="s">
        <v>1029</v>
      </c>
      <c r="M1123" s="15">
        <v>33572</v>
      </c>
      <c r="N1123" s="17">
        <v>1</v>
      </c>
      <c r="O1123" s="17">
        <v>3153.6</v>
      </c>
      <c r="P1123" s="17">
        <v>3153.6</v>
      </c>
      <c r="Q1123" s="17">
        <f t="shared" si="26"/>
        <v>0</v>
      </c>
      <c r="R1123" s="285"/>
      <c r="S1123" s="14"/>
      <c r="T1123" s="285"/>
    </row>
    <row r="1124" spans="1:20" ht="42" customHeight="1" x14ac:dyDescent="0.2">
      <c r="A1124" s="21">
        <v>1140</v>
      </c>
      <c r="B1124" s="30" t="s">
        <v>2849</v>
      </c>
      <c r="C1124" s="37" t="s">
        <v>5274</v>
      </c>
      <c r="D1124" s="9" t="s">
        <v>2960</v>
      </c>
      <c r="E1124" s="15">
        <v>40116</v>
      </c>
      <c r="F1124" s="13" t="s">
        <v>1230</v>
      </c>
      <c r="G1124" s="285" t="s">
        <v>7982</v>
      </c>
      <c r="H1124" s="49" t="s">
        <v>5127</v>
      </c>
      <c r="I1124" s="285"/>
      <c r="J1124" s="285" t="s">
        <v>9411</v>
      </c>
      <c r="K1124" s="15">
        <v>40544</v>
      </c>
      <c r="L1124" s="289" t="s">
        <v>1029</v>
      </c>
      <c r="M1124" s="15">
        <v>40116</v>
      </c>
      <c r="N1124" s="17">
        <v>1</v>
      </c>
      <c r="O1124" s="17">
        <v>5700</v>
      </c>
      <c r="P1124" s="17">
        <v>5700</v>
      </c>
      <c r="Q1124" s="17">
        <f t="shared" si="26"/>
        <v>0</v>
      </c>
      <c r="R1124" s="285"/>
      <c r="S1124" s="14"/>
      <c r="T1124" s="285"/>
    </row>
    <row r="1125" spans="1:20" ht="46.5" customHeight="1" x14ac:dyDescent="0.2">
      <c r="A1125" s="21">
        <v>1141</v>
      </c>
      <c r="B1125" s="30" t="s">
        <v>2850</v>
      </c>
      <c r="C1125" s="37"/>
      <c r="D1125" s="9" t="s">
        <v>2140</v>
      </c>
      <c r="E1125" s="18"/>
      <c r="F1125" s="13" t="s">
        <v>5829</v>
      </c>
      <c r="G1125" s="285" t="s">
        <v>7982</v>
      </c>
      <c r="H1125" s="49" t="s">
        <v>5127</v>
      </c>
      <c r="I1125" s="285"/>
      <c r="J1125" s="285"/>
      <c r="K1125" s="289"/>
      <c r="L1125" s="289"/>
      <c r="M1125" s="15"/>
      <c r="N1125" s="17">
        <v>2</v>
      </c>
      <c r="O1125" s="17">
        <v>11346.48</v>
      </c>
      <c r="P1125" s="17">
        <v>11346.48</v>
      </c>
      <c r="Q1125" s="17">
        <f t="shared" si="26"/>
        <v>0</v>
      </c>
      <c r="R1125" s="285"/>
      <c r="S1125" s="14"/>
      <c r="T1125" s="285"/>
    </row>
    <row r="1126" spans="1:20" ht="46.5" customHeight="1" x14ac:dyDescent="0.2">
      <c r="A1126" s="21">
        <v>1142</v>
      </c>
      <c r="B1126" s="30" t="s">
        <v>5336</v>
      </c>
      <c r="C1126" s="37" t="s">
        <v>5274</v>
      </c>
      <c r="D1126" s="9" t="s">
        <v>3894</v>
      </c>
      <c r="E1126" s="15">
        <v>40882</v>
      </c>
      <c r="F1126" s="13" t="s">
        <v>5675</v>
      </c>
      <c r="G1126" s="285" t="s">
        <v>7982</v>
      </c>
      <c r="H1126" s="49" t="s">
        <v>5127</v>
      </c>
      <c r="I1126" s="285"/>
      <c r="J1126" s="285" t="s">
        <v>9437</v>
      </c>
      <c r="K1126" s="15">
        <v>40908</v>
      </c>
      <c r="L1126" s="289" t="s">
        <v>1029</v>
      </c>
      <c r="M1126" s="15">
        <v>40882</v>
      </c>
      <c r="N1126" s="17">
        <v>1</v>
      </c>
      <c r="O1126" s="17">
        <v>3900.4</v>
      </c>
      <c r="P1126" s="17">
        <v>3900.4</v>
      </c>
      <c r="Q1126" s="17">
        <f t="shared" si="26"/>
        <v>0</v>
      </c>
      <c r="R1126" s="285" t="s">
        <v>5071</v>
      </c>
      <c r="S1126" s="14">
        <v>40882</v>
      </c>
      <c r="T1126" s="285">
        <v>820</v>
      </c>
    </row>
    <row r="1127" spans="1:20" ht="45.75" customHeight="1" x14ac:dyDescent="0.2">
      <c r="A1127" s="21">
        <v>1143</v>
      </c>
      <c r="B1127" s="289" t="s">
        <v>5337</v>
      </c>
      <c r="C1127" s="37" t="s">
        <v>5274</v>
      </c>
      <c r="D1127" s="9" t="s">
        <v>3890</v>
      </c>
      <c r="E1127" s="15">
        <v>33419</v>
      </c>
      <c r="F1127" s="13" t="s">
        <v>2795</v>
      </c>
      <c r="G1127" s="285" t="s">
        <v>7982</v>
      </c>
      <c r="H1127" s="49" t="s">
        <v>5127</v>
      </c>
      <c r="I1127" s="285"/>
      <c r="J1127" s="285" t="s">
        <v>9411</v>
      </c>
      <c r="K1127" s="15">
        <v>40544</v>
      </c>
      <c r="L1127" s="289" t="s">
        <v>1029</v>
      </c>
      <c r="M1127" s="15">
        <v>33419</v>
      </c>
      <c r="N1127" s="17">
        <v>35</v>
      </c>
      <c r="O1127" s="17">
        <v>207698.4</v>
      </c>
      <c r="P1127" s="17">
        <v>207698.4</v>
      </c>
      <c r="Q1127" s="17">
        <f t="shared" si="26"/>
        <v>0</v>
      </c>
      <c r="R1127" s="285"/>
      <c r="S1127" s="14"/>
      <c r="T1127" s="285"/>
    </row>
    <row r="1128" spans="1:20" ht="45.75" customHeight="1" x14ac:dyDescent="0.2">
      <c r="A1128" s="21">
        <v>1144</v>
      </c>
      <c r="B1128" s="289" t="s">
        <v>5338</v>
      </c>
      <c r="C1128" s="37" t="s">
        <v>5274</v>
      </c>
      <c r="D1128" s="9" t="s">
        <v>1636</v>
      </c>
      <c r="E1128" s="15">
        <v>33358</v>
      </c>
      <c r="F1128" s="13" t="s">
        <v>2796</v>
      </c>
      <c r="G1128" s="285" t="s">
        <v>7982</v>
      </c>
      <c r="H1128" s="49" t="s">
        <v>5127</v>
      </c>
      <c r="I1128" s="285"/>
      <c r="J1128" s="285" t="s">
        <v>9411</v>
      </c>
      <c r="K1128" s="15">
        <v>40544</v>
      </c>
      <c r="L1128" s="289" t="s">
        <v>1029</v>
      </c>
      <c r="M1128" s="15">
        <v>33358</v>
      </c>
      <c r="N1128" s="17">
        <v>1</v>
      </c>
      <c r="O1128" s="17">
        <v>5159.5200000000004</v>
      </c>
      <c r="P1128" s="17">
        <v>5159.5200000000004</v>
      </c>
      <c r="Q1128" s="17">
        <f t="shared" si="26"/>
        <v>0</v>
      </c>
      <c r="R1128" s="285"/>
      <c r="S1128" s="14"/>
      <c r="T1128" s="285"/>
    </row>
    <row r="1129" spans="1:20" ht="66.75" customHeight="1" x14ac:dyDescent="0.2">
      <c r="A1129" s="21">
        <v>1145</v>
      </c>
      <c r="B1129" s="289" t="s">
        <v>5339</v>
      </c>
      <c r="C1129" s="37" t="s">
        <v>5274</v>
      </c>
      <c r="D1129" s="9" t="s">
        <v>3396</v>
      </c>
      <c r="E1129" s="15">
        <v>40686</v>
      </c>
      <c r="F1129" s="13" t="s">
        <v>5674</v>
      </c>
      <c r="G1129" s="285" t="s">
        <v>7982</v>
      </c>
      <c r="H1129" s="49" t="s">
        <v>5127</v>
      </c>
      <c r="I1129" s="285"/>
      <c r="J1129" s="285" t="s">
        <v>9437</v>
      </c>
      <c r="K1129" s="15">
        <v>40908</v>
      </c>
      <c r="L1129" s="289" t="s">
        <v>1029</v>
      </c>
      <c r="M1129" s="15">
        <v>40686</v>
      </c>
      <c r="N1129" s="17">
        <v>1</v>
      </c>
      <c r="O1129" s="17">
        <v>8321.74</v>
      </c>
      <c r="P1129" s="17">
        <v>8321.74</v>
      </c>
      <c r="Q1129" s="17">
        <f t="shared" si="26"/>
        <v>0</v>
      </c>
      <c r="R1129" s="285" t="s">
        <v>5071</v>
      </c>
      <c r="S1129" s="14">
        <v>40686</v>
      </c>
      <c r="T1129" s="285">
        <v>147</v>
      </c>
    </row>
    <row r="1130" spans="1:20" ht="42" customHeight="1" x14ac:dyDescent="0.2">
      <c r="A1130" s="21">
        <v>1146</v>
      </c>
      <c r="B1130" s="289" t="s">
        <v>2493</v>
      </c>
      <c r="C1130" s="285" t="s">
        <v>5274</v>
      </c>
      <c r="D1130" s="9" t="s">
        <v>4988</v>
      </c>
      <c r="E1130" s="15">
        <v>38837</v>
      </c>
      <c r="F1130" s="13" t="s">
        <v>2729</v>
      </c>
      <c r="G1130" s="285" t="s">
        <v>7982</v>
      </c>
      <c r="H1130" s="49" t="s">
        <v>5127</v>
      </c>
      <c r="I1130" s="285"/>
      <c r="J1130" s="285" t="s">
        <v>9411</v>
      </c>
      <c r="K1130" s="15">
        <v>40544</v>
      </c>
      <c r="L1130" s="289" t="s">
        <v>1029</v>
      </c>
      <c r="M1130" s="15">
        <v>38837</v>
      </c>
      <c r="N1130" s="17">
        <v>1</v>
      </c>
      <c r="O1130" s="17">
        <v>7727.2</v>
      </c>
      <c r="P1130" s="17">
        <v>7727.2</v>
      </c>
      <c r="Q1130" s="17">
        <f t="shared" si="26"/>
        <v>0</v>
      </c>
      <c r="R1130" s="285"/>
      <c r="S1130" s="14"/>
      <c r="T1130" s="285"/>
    </row>
    <row r="1131" spans="1:20" ht="42" customHeight="1" x14ac:dyDescent="0.2">
      <c r="A1131" s="21">
        <v>1147</v>
      </c>
      <c r="B1131" s="289" t="s">
        <v>1979</v>
      </c>
      <c r="C1131" s="285" t="s">
        <v>5274</v>
      </c>
      <c r="D1131" s="9" t="s">
        <v>6023</v>
      </c>
      <c r="E1131" s="15">
        <v>33358</v>
      </c>
      <c r="F1131" s="13" t="s">
        <v>2797</v>
      </c>
      <c r="G1131" s="285" t="s">
        <v>7982</v>
      </c>
      <c r="H1131" s="49" t="s">
        <v>5127</v>
      </c>
      <c r="I1131" s="285"/>
      <c r="J1131" s="285" t="s">
        <v>9411</v>
      </c>
      <c r="K1131" s="15">
        <v>40544</v>
      </c>
      <c r="L1131" s="289" t="s">
        <v>1029</v>
      </c>
      <c r="M1131" s="15">
        <v>33358</v>
      </c>
      <c r="N1131" s="17">
        <v>1</v>
      </c>
      <c r="O1131" s="17">
        <v>6348.09</v>
      </c>
      <c r="P1131" s="17">
        <v>6348.09</v>
      </c>
      <c r="Q1131" s="17">
        <f t="shared" si="26"/>
        <v>0</v>
      </c>
      <c r="R1131" s="285"/>
      <c r="S1131" s="14"/>
      <c r="T1131" s="285"/>
    </row>
    <row r="1132" spans="1:20" ht="45.75" customHeight="1" x14ac:dyDescent="0.2">
      <c r="A1132" s="21">
        <v>1148</v>
      </c>
      <c r="B1132" s="289" t="s">
        <v>1980</v>
      </c>
      <c r="C1132" s="37" t="s">
        <v>5274</v>
      </c>
      <c r="D1132" s="9" t="s">
        <v>666</v>
      </c>
      <c r="E1132" s="15">
        <v>33358</v>
      </c>
      <c r="F1132" s="13" t="s">
        <v>2798</v>
      </c>
      <c r="G1132" s="285" t="s">
        <v>7982</v>
      </c>
      <c r="H1132" s="49" t="s">
        <v>5127</v>
      </c>
      <c r="I1132" s="285"/>
      <c r="J1132" s="285" t="s">
        <v>9411</v>
      </c>
      <c r="K1132" s="15">
        <v>40544</v>
      </c>
      <c r="L1132" s="289" t="s">
        <v>1029</v>
      </c>
      <c r="M1132" s="15">
        <v>33358</v>
      </c>
      <c r="N1132" s="17">
        <v>1</v>
      </c>
      <c r="O1132" s="17">
        <v>6348.09</v>
      </c>
      <c r="P1132" s="17">
        <v>6348.09</v>
      </c>
      <c r="Q1132" s="17">
        <f t="shared" si="26"/>
        <v>0</v>
      </c>
      <c r="R1132" s="285"/>
      <c r="S1132" s="14"/>
      <c r="T1132" s="285"/>
    </row>
    <row r="1133" spans="1:20" ht="71.25" customHeight="1" x14ac:dyDescent="0.2">
      <c r="A1133" s="21">
        <v>1149</v>
      </c>
      <c r="B1133" s="289" t="s">
        <v>1981</v>
      </c>
      <c r="C1133" s="37" t="s">
        <v>5274</v>
      </c>
      <c r="D1133" s="9" t="s">
        <v>2629</v>
      </c>
      <c r="E1133" s="15">
        <v>33388</v>
      </c>
      <c r="F1133" s="13" t="s">
        <v>5689</v>
      </c>
      <c r="G1133" s="285" t="s">
        <v>7982</v>
      </c>
      <c r="H1133" s="49" t="s">
        <v>5127</v>
      </c>
      <c r="I1133" s="285"/>
      <c r="J1133" s="285" t="s">
        <v>9411</v>
      </c>
      <c r="K1133" s="15">
        <v>40544</v>
      </c>
      <c r="L1133" s="289" t="s">
        <v>1029</v>
      </c>
      <c r="M1133" s="15">
        <v>33388</v>
      </c>
      <c r="N1133" s="17">
        <v>3</v>
      </c>
      <c r="O1133" s="17">
        <v>13137.6</v>
      </c>
      <c r="P1133" s="17">
        <v>13137.6</v>
      </c>
      <c r="Q1133" s="17">
        <f t="shared" si="26"/>
        <v>0</v>
      </c>
      <c r="R1133" s="285"/>
      <c r="S1133" s="14"/>
      <c r="T1133" s="285"/>
    </row>
    <row r="1134" spans="1:20" ht="48.75" customHeight="1" x14ac:dyDescent="0.2">
      <c r="A1134" s="21">
        <v>1150</v>
      </c>
      <c r="B1134" s="289" t="s">
        <v>1982</v>
      </c>
      <c r="C1134" s="37" t="s">
        <v>5274</v>
      </c>
      <c r="D1134" s="54" t="s">
        <v>1762</v>
      </c>
      <c r="E1134" s="15">
        <v>40872</v>
      </c>
      <c r="F1134" s="55" t="s">
        <v>6082</v>
      </c>
      <c r="G1134" s="285" t="s">
        <v>7982</v>
      </c>
      <c r="H1134" s="49" t="s">
        <v>5127</v>
      </c>
      <c r="I1134" s="285"/>
      <c r="J1134" s="285" t="s">
        <v>9437</v>
      </c>
      <c r="K1134" s="15">
        <v>40908</v>
      </c>
      <c r="L1134" s="289" t="s">
        <v>1029</v>
      </c>
      <c r="M1134" s="15">
        <v>40872</v>
      </c>
      <c r="N1134" s="34">
        <v>1</v>
      </c>
      <c r="O1134" s="34">
        <v>4455</v>
      </c>
      <c r="P1134" s="34">
        <v>4455</v>
      </c>
      <c r="Q1134" s="17">
        <f t="shared" si="26"/>
        <v>0</v>
      </c>
      <c r="R1134" s="285" t="s">
        <v>5071</v>
      </c>
      <c r="S1134" s="14">
        <v>40872</v>
      </c>
      <c r="T1134" s="285">
        <v>3338</v>
      </c>
    </row>
    <row r="1135" spans="1:20" ht="48.75" customHeight="1" x14ac:dyDescent="0.2">
      <c r="A1135" s="21">
        <v>1151</v>
      </c>
      <c r="B1135" s="289" t="s">
        <v>1385</v>
      </c>
      <c r="C1135" s="37" t="s">
        <v>5274</v>
      </c>
      <c r="D1135" s="9" t="s">
        <v>3591</v>
      </c>
      <c r="E1135" s="15">
        <v>39715</v>
      </c>
      <c r="F1135" s="13" t="s">
        <v>2492</v>
      </c>
      <c r="G1135" s="285" t="s">
        <v>7982</v>
      </c>
      <c r="H1135" s="49" t="s">
        <v>5127</v>
      </c>
      <c r="I1135" s="285"/>
      <c r="J1135" s="285" t="s">
        <v>9411</v>
      </c>
      <c r="K1135" s="15">
        <v>40544</v>
      </c>
      <c r="L1135" s="289" t="s">
        <v>1029</v>
      </c>
      <c r="M1135" s="15">
        <v>39715</v>
      </c>
      <c r="N1135" s="17">
        <v>1</v>
      </c>
      <c r="O1135" s="17">
        <v>6200</v>
      </c>
      <c r="P1135" s="17">
        <v>6200</v>
      </c>
      <c r="Q1135" s="17">
        <f t="shared" si="26"/>
        <v>0</v>
      </c>
      <c r="R1135" s="285"/>
      <c r="S1135" s="14"/>
      <c r="T1135" s="285"/>
    </row>
    <row r="1136" spans="1:20" ht="48.75" customHeight="1" x14ac:dyDescent="0.2">
      <c r="A1136" s="21">
        <v>1152</v>
      </c>
      <c r="B1136" s="289" t="s">
        <v>1386</v>
      </c>
      <c r="C1136" s="37" t="s">
        <v>5274</v>
      </c>
      <c r="D1136" s="9" t="s">
        <v>1415</v>
      </c>
      <c r="E1136" s="15">
        <v>39812</v>
      </c>
      <c r="F1136" s="13" t="s">
        <v>2224</v>
      </c>
      <c r="G1136" s="285" t="s">
        <v>7982</v>
      </c>
      <c r="H1136" s="49" t="s">
        <v>5127</v>
      </c>
      <c r="I1136" s="285"/>
      <c r="J1136" s="285" t="s">
        <v>9411</v>
      </c>
      <c r="K1136" s="15">
        <v>40544</v>
      </c>
      <c r="L1136" s="289" t="s">
        <v>1029</v>
      </c>
      <c r="M1136" s="15">
        <v>39812</v>
      </c>
      <c r="N1136" s="17">
        <v>1</v>
      </c>
      <c r="O1136" s="17">
        <v>3670</v>
      </c>
      <c r="P1136" s="17">
        <v>3670</v>
      </c>
      <c r="Q1136" s="17">
        <f t="shared" si="26"/>
        <v>0</v>
      </c>
      <c r="R1136" s="285"/>
      <c r="S1136" s="14"/>
      <c r="T1136" s="285"/>
    </row>
    <row r="1137" spans="1:20" ht="45" customHeight="1" x14ac:dyDescent="0.2">
      <c r="A1137" s="21">
        <v>1153</v>
      </c>
      <c r="B1137" s="289" t="s">
        <v>1387</v>
      </c>
      <c r="C1137" s="37" t="s">
        <v>5274</v>
      </c>
      <c r="D1137" s="9" t="s">
        <v>2765</v>
      </c>
      <c r="E1137" s="15">
        <v>30711</v>
      </c>
      <c r="F1137" s="13" t="s">
        <v>4399</v>
      </c>
      <c r="G1137" s="285" t="s">
        <v>7982</v>
      </c>
      <c r="H1137" s="49" t="s">
        <v>5127</v>
      </c>
      <c r="I1137" s="285"/>
      <c r="J1137" s="285" t="s">
        <v>9411</v>
      </c>
      <c r="K1137" s="15">
        <v>40544</v>
      </c>
      <c r="L1137" s="289" t="s">
        <v>1029</v>
      </c>
      <c r="M1137" s="15">
        <v>30711</v>
      </c>
      <c r="N1137" s="17">
        <v>1</v>
      </c>
      <c r="O1137" s="17">
        <v>5430.15</v>
      </c>
      <c r="P1137" s="17">
        <v>5430.15</v>
      </c>
      <c r="Q1137" s="17">
        <f t="shared" si="26"/>
        <v>0</v>
      </c>
      <c r="R1137" s="285"/>
      <c r="S1137" s="14"/>
      <c r="T1137" s="285"/>
    </row>
    <row r="1138" spans="1:20" ht="45" customHeight="1" x14ac:dyDescent="0.2">
      <c r="A1138" s="21">
        <v>1154</v>
      </c>
      <c r="B1138" s="289" t="s">
        <v>1388</v>
      </c>
      <c r="C1138" s="37" t="s">
        <v>5274</v>
      </c>
      <c r="D1138" s="9" t="s">
        <v>4943</v>
      </c>
      <c r="E1138" s="15">
        <v>39715</v>
      </c>
      <c r="F1138" s="13" t="s">
        <v>4175</v>
      </c>
      <c r="G1138" s="285" t="s">
        <v>7982</v>
      </c>
      <c r="H1138" s="49" t="s">
        <v>5127</v>
      </c>
      <c r="I1138" s="285"/>
      <c r="J1138" s="285" t="s">
        <v>9411</v>
      </c>
      <c r="K1138" s="15">
        <v>40544</v>
      </c>
      <c r="L1138" s="289" t="s">
        <v>1029</v>
      </c>
      <c r="M1138" s="15">
        <v>39715</v>
      </c>
      <c r="N1138" s="17">
        <v>1</v>
      </c>
      <c r="O1138" s="17">
        <v>5614</v>
      </c>
      <c r="P1138" s="17">
        <v>5614</v>
      </c>
      <c r="Q1138" s="17">
        <f t="shared" si="26"/>
        <v>0</v>
      </c>
      <c r="R1138" s="285"/>
      <c r="S1138" s="14"/>
      <c r="T1138" s="285"/>
    </row>
    <row r="1139" spans="1:20" ht="45" customHeight="1" x14ac:dyDescent="0.2">
      <c r="A1139" s="21">
        <v>1155</v>
      </c>
      <c r="B1139" s="289" t="s">
        <v>1389</v>
      </c>
      <c r="C1139" s="37" t="s">
        <v>5274</v>
      </c>
      <c r="D1139" s="9" t="s">
        <v>5975</v>
      </c>
      <c r="E1139" s="15">
        <v>40543</v>
      </c>
      <c r="F1139" s="13" t="s">
        <v>5976</v>
      </c>
      <c r="G1139" s="285" t="s">
        <v>7982</v>
      </c>
      <c r="H1139" s="49" t="s">
        <v>5127</v>
      </c>
      <c r="I1139" s="285"/>
      <c r="J1139" s="285" t="s">
        <v>9411</v>
      </c>
      <c r="K1139" s="15">
        <v>40544</v>
      </c>
      <c r="L1139" s="289" t="s">
        <v>1029</v>
      </c>
      <c r="M1139" s="15">
        <v>40543</v>
      </c>
      <c r="N1139" s="17">
        <v>1</v>
      </c>
      <c r="O1139" s="17">
        <v>4876</v>
      </c>
      <c r="P1139" s="17">
        <v>4876</v>
      </c>
      <c r="Q1139" s="17">
        <f t="shared" si="26"/>
        <v>0</v>
      </c>
      <c r="R1139" s="285"/>
      <c r="S1139" s="14"/>
      <c r="T1139" s="285"/>
    </row>
    <row r="1140" spans="1:20" ht="45.75" customHeight="1" x14ac:dyDescent="0.2">
      <c r="A1140" s="21">
        <v>1156</v>
      </c>
      <c r="B1140" s="289" t="s">
        <v>1390</v>
      </c>
      <c r="C1140" s="37"/>
      <c r="D1140" s="9" t="s">
        <v>5223</v>
      </c>
      <c r="E1140" s="15">
        <v>41262</v>
      </c>
      <c r="F1140" s="13" t="s">
        <v>5224</v>
      </c>
      <c r="G1140" s="285" t="s">
        <v>7982</v>
      </c>
      <c r="H1140" s="49" t="s">
        <v>5127</v>
      </c>
      <c r="I1140" s="285"/>
      <c r="J1140" s="285" t="s">
        <v>9437</v>
      </c>
      <c r="K1140" s="15">
        <v>41274</v>
      </c>
      <c r="L1140" s="289" t="s">
        <v>1029</v>
      </c>
      <c r="M1140" s="15">
        <v>41262</v>
      </c>
      <c r="N1140" s="17">
        <v>2</v>
      </c>
      <c r="O1140" s="17">
        <v>6574.76</v>
      </c>
      <c r="P1140" s="17">
        <v>6574.76</v>
      </c>
      <c r="Q1140" s="17">
        <f t="shared" si="26"/>
        <v>0</v>
      </c>
      <c r="R1140" s="285" t="s">
        <v>5071</v>
      </c>
      <c r="S1140" s="14">
        <v>41262</v>
      </c>
      <c r="T1140" s="285">
        <v>506</v>
      </c>
    </row>
    <row r="1141" spans="1:20" ht="45.75" customHeight="1" x14ac:dyDescent="0.2">
      <c r="A1141" s="21">
        <v>1157</v>
      </c>
      <c r="B1141" s="289" t="s">
        <v>1391</v>
      </c>
      <c r="C1141" s="37" t="s">
        <v>5274</v>
      </c>
      <c r="D1141" s="9" t="s">
        <v>2765</v>
      </c>
      <c r="E1141" s="15">
        <v>33572</v>
      </c>
      <c r="F1141" s="13" t="s">
        <v>4563</v>
      </c>
      <c r="G1141" s="285" t="s">
        <v>7982</v>
      </c>
      <c r="H1141" s="49" t="s">
        <v>5127</v>
      </c>
      <c r="I1141" s="285"/>
      <c r="J1141" s="285" t="s">
        <v>9411</v>
      </c>
      <c r="K1141" s="15">
        <v>40544</v>
      </c>
      <c r="L1141" s="289" t="s">
        <v>1029</v>
      </c>
      <c r="M1141" s="15">
        <v>33572</v>
      </c>
      <c r="N1141" s="17">
        <v>1</v>
      </c>
      <c r="O1141" s="17">
        <v>5678.17</v>
      </c>
      <c r="P1141" s="17">
        <v>5678.17</v>
      </c>
      <c r="Q1141" s="17">
        <f t="shared" si="26"/>
        <v>0</v>
      </c>
      <c r="R1141" s="285"/>
      <c r="S1141" s="14"/>
      <c r="T1141" s="285"/>
    </row>
    <row r="1142" spans="1:20" ht="48" customHeight="1" x14ac:dyDescent="0.2">
      <c r="A1142" s="21">
        <v>1158</v>
      </c>
      <c r="B1142" s="289" t="s">
        <v>1392</v>
      </c>
      <c r="C1142" s="37" t="s">
        <v>5274</v>
      </c>
      <c r="D1142" s="9" t="s">
        <v>2514</v>
      </c>
      <c r="E1142" s="15">
        <v>39446</v>
      </c>
      <c r="F1142" s="13" t="s">
        <v>4564</v>
      </c>
      <c r="G1142" s="285" t="s">
        <v>7982</v>
      </c>
      <c r="H1142" s="49" t="s">
        <v>5127</v>
      </c>
      <c r="I1142" s="285"/>
      <c r="J1142" s="285" t="s">
        <v>9411</v>
      </c>
      <c r="K1142" s="15">
        <v>40544</v>
      </c>
      <c r="L1142" s="289" t="s">
        <v>1029</v>
      </c>
      <c r="M1142" s="15">
        <v>39446</v>
      </c>
      <c r="N1142" s="17">
        <v>1</v>
      </c>
      <c r="O1142" s="17">
        <v>3101.5</v>
      </c>
      <c r="P1142" s="17">
        <v>3101.5</v>
      </c>
      <c r="Q1142" s="17">
        <f t="shared" si="26"/>
        <v>0</v>
      </c>
      <c r="R1142" s="285"/>
      <c r="S1142" s="14"/>
      <c r="T1142" s="285"/>
    </row>
    <row r="1143" spans="1:20" ht="48" customHeight="1" x14ac:dyDescent="0.2">
      <c r="A1143" s="21">
        <v>1159</v>
      </c>
      <c r="B1143" s="289" t="s">
        <v>1393</v>
      </c>
      <c r="C1143" s="37" t="s">
        <v>5274</v>
      </c>
      <c r="D1143" s="9" t="s">
        <v>9482</v>
      </c>
      <c r="E1143" s="15">
        <v>39446</v>
      </c>
      <c r="F1143" s="13" t="s">
        <v>4565</v>
      </c>
      <c r="G1143" s="285" t="s">
        <v>7982</v>
      </c>
      <c r="H1143" s="49" t="s">
        <v>5127</v>
      </c>
      <c r="I1143" s="285"/>
      <c r="J1143" s="285" t="s">
        <v>9411</v>
      </c>
      <c r="K1143" s="15">
        <v>40544</v>
      </c>
      <c r="L1143" s="289" t="s">
        <v>1029</v>
      </c>
      <c r="M1143" s="15">
        <v>39446</v>
      </c>
      <c r="N1143" s="17">
        <v>1</v>
      </c>
      <c r="O1143" s="17">
        <v>6250</v>
      </c>
      <c r="P1143" s="17">
        <v>6250</v>
      </c>
      <c r="Q1143" s="17">
        <f t="shared" si="26"/>
        <v>0</v>
      </c>
      <c r="R1143" s="285"/>
      <c r="S1143" s="14"/>
      <c r="T1143" s="285"/>
    </row>
    <row r="1144" spans="1:20" ht="36.75" customHeight="1" x14ac:dyDescent="0.2">
      <c r="A1144" s="21">
        <v>1160</v>
      </c>
      <c r="B1144" s="289" t="s">
        <v>1394</v>
      </c>
      <c r="C1144" s="37" t="s">
        <v>5274</v>
      </c>
      <c r="D1144" s="9" t="s">
        <v>9483</v>
      </c>
      <c r="E1144" s="15">
        <v>39138</v>
      </c>
      <c r="F1144" s="13" t="s">
        <v>2415</v>
      </c>
      <c r="G1144" s="285" t="s">
        <v>7982</v>
      </c>
      <c r="H1144" s="49" t="s">
        <v>5127</v>
      </c>
      <c r="I1144" s="285"/>
      <c r="J1144" s="285" t="s">
        <v>9411</v>
      </c>
      <c r="K1144" s="15">
        <v>40544</v>
      </c>
      <c r="L1144" s="289" t="s">
        <v>1029</v>
      </c>
      <c r="M1144" s="15">
        <v>39138</v>
      </c>
      <c r="N1144" s="17">
        <v>1</v>
      </c>
      <c r="O1144" s="17">
        <v>3120</v>
      </c>
      <c r="P1144" s="17">
        <v>3120</v>
      </c>
      <c r="Q1144" s="17">
        <f t="shared" si="26"/>
        <v>0</v>
      </c>
      <c r="R1144" s="285"/>
      <c r="S1144" s="14"/>
      <c r="T1144" s="285"/>
    </row>
    <row r="1145" spans="1:20" ht="36.75" customHeight="1" x14ac:dyDescent="0.2">
      <c r="A1145" s="21">
        <v>1161</v>
      </c>
      <c r="B1145" s="289" t="s">
        <v>1439</v>
      </c>
      <c r="C1145" s="37" t="s">
        <v>5274</v>
      </c>
      <c r="D1145" s="9" t="s">
        <v>2148</v>
      </c>
      <c r="E1145" s="15">
        <v>40583</v>
      </c>
      <c r="F1145" s="13" t="s">
        <v>1992</v>
      </c>
      <c r="G1145" s="285" t="s">
        <v>7982</v>
      </c>
      <c r="H1145" s="49" t="s">
        <v>5127</v>
      </c>
      <c r="I1145" s="285"/>
      <c r="J1145" s="285" t="s">
        <v>9437</v>
      </c>
      <c r="K1145" s="15">
        <v>40724</v>
      </c>
      <c r="L1145" s="289" t="s">
        <v>1029</v>
      </c>
      <c r="M1145" s="15">
        <v>40583</v>
      </c>
      <c r="N1145" s="17">
        <v>1</v>
      </c>
      <c r="O1145" s="17">
        <v>4900</v>
      </c>
      <c r="P1145" s="17">
        <v>4900</v>
      </c>
      <c r="Q1145" s="17">
        <f t="shared" si="26"/>
        <v>0</v>
      </c>
      <c r="R1145" s="285" t="s">
        <v>5071</v>
      </c>
      <c r="S1145" s="14">
        <v>40583</v>
      </c>
      <c r="T1145" s="285">
        <v>7</v>
      </c>
    </row>
    <row r="1146" spans="1:20" ht="39" customHeight="1" x14ac:dyDescent="0.2">
      <c r="A1146" s="21">
        <v>1162</v>
      </c>
      <c r="B1146" s="289" t="s">
        <v>1440</v>
      </c>
      <c r="C1146" s="285"/>
      <c r="D1146" s="9" t="s">
        <v>3766</v>
      </c>
      <c r="E1146" s="15">
        <v>41165</v>
      </c>
      <c r="F1146" s="13" t="s">
        <v>3767</v>
      </c>
      <c r="G1146" s="285" t="s">
        <v>7982</v>
      </c>
      <c r="H1146" s="49" t="s">
        <v>5127</v>
      </c>
      <c r="I1146" s="285"/>
      <c r="J1146" s="285" t="s">
        <v>9437</v>
      </c>
      <c r="K1146" s="15">
        <v>41182</v>
      </c>
      <c r="L1146" s="289" t="s">
        <v>1029</v>
      </c>
      <c r="M1146" s="15">
        <v>41165</v>
      </c>
      <c r="N1146" s="17">
        <v>3</v>
      </c>
      <c r="O1146" s="17">
        <v>13050</v>
      </c>
      <c r="P1146" s="17">
        <v>13050</v>
      </c>
      <c r="Q1146" s="17">
        <f t="shared" si="26"/>
        <v>0</v>
      </c>
      <c r="R1146" s="285" t="s">
        <v>5071</v>
      </c>
      <c r="S1146" s="14">
        <v>41165</v>
      </c>
      <c r="T1146" s="285">
        <v>181</v>
      </c>
    </row>
    <row r="1147" spans="1:20" ht="39" customHeight="1" x14ac:dyDescent="0.2">
      <c r="A1147" s="21">
        <v>1163</v>
      </c>
      <c r="B1147" s="289" t="s">
        <v>5062</v>
      </c>
      <c r="C1147" s="285"/>
      <c r="D1147" s="9" t="s">
        <v>711</v>
      </c>
      <c r="E1147" s="12" t="s">
        <v>712</v>
      </c>
      <c r="F1147" s="13" t="s">
        <v>1233</v>
      </c>
      <c r="G1147" s="285" t="s">
        <v>4296</v>
      </c>
      <c r="H1147" s="49" t="s">
        <v>3793</v>
      </c>
      <c r="I1147" s="285"/>
      <c r="J1147" s="285" t="s">
        <v>3136</v>
      </c>
      <c r="K1147" s="14">
        <v>42089</v>
      </c>
      <c r="L1147" s="289">
        <v>298</v>
      </c>
      <c r="M1147" s="15">
        <v>42030</v>
      </c>
      <c r="N1147" s="24">
        <v>1</v>
      </c>
      <c r="O1147" s="17">
        <v>88983.05</v>
      </c>
      <c r="P1147" s="17">
        <v>88983.05</v>
      </c>
      <c r="Q1147" s="17">
        <f t="shared" si="26"/>
        <v>0</v>
      </c>
      <c r="R1147" s="285"/>
      <c r="S1147" s="14"/>
      <c r="T1147" s="285"/>
    </row>
    <row r="1148" spans="1:20" ht="39" customHeight="1" x14ac:dyDescent="0.2">
      <c r="A1148" s="21">
        <v>1164</v>
      </c>
      <c r="B1148" s="289" t="s">
        <v>2716</v>
      </c>
      <c r="C1148" s="285"/>
      <c r="D1148" s="9" t="s">
        <v>2727</v>
      </c>
      <c r="E1148" s="289">
        <v>2015</v>
      </c>
      <c r="F1148" s="13" t="s">
        <v>2728</v>
      </c>
      <c r="G1148" s="285" t="s">
        <v>4946</v>
      </c>
      <c r="H1148" s="49" t="s">
        <v>5127</v>
      </c>
      <c r="I1148" s="285"/>
      <c r="J1148" s="285" t="s">
        <v>3136</v>
      </c>
      <c r="K1148" s="15">
        <v>42100</v>
      </c>
      <c r="L1148" s="289">
        <v>316</v>
      </c>
      <c r="M1148" s="15">
        <v>42078</v>
      </c>
      <c r="N1148" s="24">
        <v>1</v>
      </c>
      <c r="O1148" s="17">
        <v>15990</v>
      </c>
      <c r="P1148" s="17">
        <v>15990</v>
      </c>
      <c r="Q1148" s="17">
        <f t="shared" si="26"/>
        <v>0</v>
      </c>
      <c r="R1148" s="285" t="s">
        <v>1000</v>
      </c>
      <c r="S1148" s="14">
        <v>42078</v>
      </c>
      <c r="T1148" s="285">
        <v>6</v>
      </c>
    </row>
    <row r="1149" spans="1:20" ht="46.5" customHeight="1" x14ac:dyDescent="0.2">
      <c r="A1149" s="21">
        <v>1165</v>
      </c>
      <c r="B1149" s="289" t="s">
        <v>1055</v>
      </c>
      <c r="C1149" s="285"/>
      <c r="D1149" s="9" t="s">
        <v>5263</v>
      </c>
      <c r="E1149" s="12" t="s">
        <v>5264</v>
      </c>
      <c r="F1149" s="13" t="s">
        <v>2996</v>
      </c>
      <c r="G1149" s="285" t="s">
        <v>4296</v>
      </c>
      <c r="H1149" s="49" t="s">
        <v>5127</v>
      </c>
      <c r="I1149" s="285"/>
      <c r="J1149" s="285" t="s">
        <v>3136</v>
      </c>
      <c r="K1149" s="14">
        <v>42100</v>
      </c>
      <c r="L1149" s="289">
        <v>317</v>
      </c>
      <c r="M1149" s="15">
        <v>42065</v>
      </c>
      <c r="N1149" s="24">
        <v>1</v>
      </c>
      <c r="O1149" s="17">
        <v>201553.5</v>
      </c>
      <c r="P1149" s="17">
        <v>201553.5</v>
      </c>
      <c r="Q1149" s="17">
        <f t="shared" si="26"/>
        <v>0</v>
      </c>
      <c r="R1149" s="285" t="s">
        <v>5110</v>
      </c>
      <c r="S1149" s="14">
        <v>42051</v>
      </c>
      <c r="T1149" s="285">
        <v>47</v>
      </c>
    </row>
    <row r="1150" spans="1:20" ht="46.5" customHeight="1" x14ac:dyDescent="0.2">
      <c r="A1150" s="21">
        <v>1166</v>
      </c>
      <c r="B1150" s="289" t="s">
        <v>1570</v>
      </c>
      <c r="C1150" s="285"/>
      <c r="D1150" s="9" t="s">
        <v>4428</v>
      </c>
      <c r="E1150" s="12"/>
      <c r="F1150" s="13" t="s">
        <v>4429</v>
      </c>
      <c r="G1150" s="56" t="s">
        <v>101</v>
      </c>
      <c r="H1150" s="49" t="s">
        <v>5127</v>
      </c>
      <c r="I1150" s="285"/>
      <c r="J1150" s="285"/>
      <c r="K1150" s="15"/>
      <c r="L1150" s="289"/>
      <c r="M1150" s="15"/>
      <c r="N1150" s="24">
        <v>1</v>
      </c>
      <c r="O1150" s="17">
        <v>6257</v>
      </c>
      <c r="P1150" s="17">
        <v>6257</v>
      </c>
      <c r="Q1150" s="17">
        <f t="shared" si="26"/>
        <v>0</v>
      </c>
      <c r="R1150" s="285"/>
      <c r="S1150" s="14"/>
      <c r="T1150" s="285"/>
    </row>
    <row r="1151" spans="1:20" ht="46.5" customHeight="1" x14ac:dyDescent="0.2">
      <c r="A1151" s="21">
        <v>1167</v>
      </c>
      <c r="B1151" s="289" t="s">
        <v>1571</v>
      </c>
      <c r="C1151" s="285"/>
      <c r="D1151" s="9" t="s">
        <v>3696</v>
      </c>
      <c r="E1151" s="12"/>
      <c r="F1151" s="13" t="s">
        <v>3996</v>
      </c>
      <c r="G1151" s="56" t="s">
        <v>101</v>
      </c>
      <c r="H1151" s="49" t="s">
        <v>5127</v>
      </c>
      <c r="I1151" s="285"/>
      <c r="J1151" s="285" t="s">
        <v>3136</v>
      </c>
      <c r="K1151" s="15">
        <v>40603</v>
      </c>
      <c r="L1151" s="289">
        <v>136</v>
      </c>
      <c r="M1151" s="15">
        <v>40544</v>
      </c>
      <c r="N1151" s="24">
        <v>1</v>
      </c>
      <c r="O1151" s="17">
        <v>5860</v>
      </c>
      <c r="P1151" s="17">
        <v>5860</v>
      </c>
      <c r="Q1151" s="17">
        <f t="shared" si="26"/>
        <v>0</v>
      </c>
      <c r="R1151" s="285"/>
      <c r="S1151" s="14"/>
      <c r="T1151" s="285"/>
    </row>
    <row r="1152" spans="1:20" ht="46.5" customHeight="1" x14ac:dyDescent="0.2">
      <c r="A1152" s="21">
        <v>1168</v>
      </c>
      <c r="B1152" s="289" t="s">
        <v>5597</v>
      </c>
      <c r="C1152" s="285"/>
      <c r="D1152" s="9" t="s">
        <v>3697</v>
      </c>
      <c r="E1152" s="12"/>
      <c r="F1152" s="13" t="s">
        <v>5325</v>
      </c>
      <c r="G1152" s="56" t="s">
        <v>101</v>
      </c>
      <c r="H1152" s="49" t="s">
        <v>5127</v>
      </c>
      <c r="I1152" s="285"/>
      <c r="J1152" s="285"/>
      <c r="K1152" s="15"/>
      <c r="L1152" s="289"/>
      <c r="M1152" s="15"/>
      <c r="N1152" s="24">
        <v>1</v>
      </c>
      <c r="O1152" s="17">
        <v>6858</v>
      </c>
      <c r="P1152" s="17">
        <v>6858</v>
      </c>
      <c r="Q1152" s="17">
        <f t="shared" si="26"/>
        <v>0</v>
      </c>
      <c r="R1152" s="285"/>
      <c r="S1152" s="14"/>
      <c r="T1152" s="285"/>
    </row>
    <row r="1153" spans="1:20" ht="46.5" customHeight="1" x14ac:dyDescent="0.2">
      <c r="A1153" s="21">
        <v>1169</v>
      </c>
      <c r="B1153" s="289" t="s">
        <v>5598</v>
      </c>
      <c r="C1153" s="285"/>
      <c r="D1153" s="9" t="s">
        <v>4028</v>
      </c>
      <c r="E1153" s="12"/>
      <c r="F1153" s="13" t="s">
        <v>4871</v>
      </c>
      <c r="G1153" s="56" t="s">
        <v>101</v>
      </c>
      <c r="H1153" s="49" t="s">
        <v>5127</v>
      </c>
      <c r="I1153" s="285"/>
      <c r="J1153" s="285"/>
      <c r="K1153" s="15"/>
      <c r="L1153" s="289"/>
      <c r="M1153" s="15"/>
      <c r="N1153" s="24">
        <v>1</v>
      </c>
      <c r="O1153" s="17">
        <v>4755</v>
      </c>
      <c r="P1153" s="17">
        <v>4755</v>
      </c>
      <c r="Q1153" s="17">
        <f t="shared" si="26"/>
        <v>0</v>
      </c>
      <c r="R1153" s="285"/>
      <c r="S1153" s="14"/>
      <c r="T1153" s="285"/>
    </row>
    <row r="1154" spans="1:20" ht="46.5" customHeight="1" x14ac:dyDescent="0.2">
      <c r="A1154" s="21">
        <v>1170</v>
      </c>
      <c r="B1154" s="289" t="s">
        <v>5599</v>
      </c>
      <c r="C1154" s="285"/>
      <c r="D1154" s="9" t="s">
        <v>1158</v>
      </c>
      <c r="E1154" s="12"/>
      <c r="F1154" s="13" t="s">
        <v>1160</v>
      </c>
      <c r="G1154" s="56" t="s">
        <v>101</v>
      </c>
      <c r="H1154" s="49" t="s">
        <v>5127</v>
      </c>
      <c r="I1154" s="285"/>
      <c r="J1154" s="285" t="s">
        <v>3136</v>
      </c>
      <c r="K1154" s="15">
        <v>42104</v>
      </c>
      <c r="L1154" s="289">
        <v>328</v>
      </c>
      <c r="M1154" s="15">
        <v>42080</v>
      </c>
      <c r="N1154" s="24">
        <v>1</v>
      </c>
      <c r="O1154" s="17">
        <v>22500</v>
      </c>
      <c r="P1154" s="17">
        <v>22500</v>
      </c>
      <c r="Q1154" s="17">
        <f t="shared" si="26"/>
        <v>0</v>
      </c>
      <c r="R1154" s="285"/>
      <c r="S1154" s="14"/>
      <c r="T1154" s="285"/>
    </row>
    <row r="1155" spans="1:20" ht="46.5" customHeight="1" x14ac:dyDescent="0.2">
      <c r="A1155" s="21">
        <v>1171</v>
      </c>
      <c r="B1155" s="289" t="s">
        <v>5804</v>
      </c>
      <c r="C1155" s="285"/>
      <c r="D1155" s="9" t="s">
        <v>1159</v>
      </c>
      <c r="E1155" s="12"/>
      <c r="F1155" s="13" t="s">
        <v>1161</v>
      </c>
      <c r="G1155" s="56" t="s">
        <v>101</v>
      </c>
      <c r="H1155" s="49" t="s">
        <v>5127</v>
      </c>
      <c r="I1155" s="285"/>
      <c r="J1155" s="285" t="s">
        <v>3136</v>
      </c>
      <c r="K1155" s="15">
        <v>42104</v>
      </c>
      <c r="L1155" s="289">
        <v>328</v>
      </c>
      <c r="M1155" s="15">
        <v>42080</v>
      </c>
      <c r="N1155" s="24">
        <v>1</v>
      </c>
      <c r="O1155" s="17">
        <v>4439</v>
      </c>
      <c r="P1155" s="17">
        <v>4439</v>
      </c>
      <c r="Q1155" s="17">
        <f t="shared" si="26"/>
        <v>0</v>
      </c>
      <c r="R1155" s="285"/>
      <c r="S1155" s="14"/>
      <c r="T1155" s="285"/>
    </row>
    <row r="1156" spans="1:20" ht="46.5" customHeight="1" x14ac:dyDescent="0.2">
      <c r="A1156" s="21">
        <v>1172</v>
      </c>
      <c r="B1156" s="289" t="s">
        <v>5805</v>
      </c>
      <c r="C1156" s="285"/>
      <c r="D1156" s="9" t="s">
        <v>3342</v>
      </c>
      <c r="E1156" s="289"/>
      <c r="F1156" s="13" t="s">
        <v>6731</v>
      </c>
      <c r="G1156" s="285" t="s">
        <v>4946</v>
      </c>
      <c r="H1156" s="49" t="s">
        <v>5127</v>
      </c>
      <c r="I1156" s="289"/>
      <c r="J1156" s="285" t="s">
        <v>3136</v>
      </c>
      <c r="K1156" s="15">
        <v>42156</v>
      </c>
      <c r="L1156" s="289">
        <v>449</v>
      </c>
      <c r="M1156" s="15">
        <v>42156</v>
      </c>
      <c r="N1156" s="24">
        <v>1</v>
      </c>
      <c r="O1156" s="17">
        <v>3730</v>
      </c>
      <c r="P1156" s="17">
        <v>3730</v>
      </c>
      <c r="Q1156" s="17">
        <f t="shared" si="26"/>
        <v>0</v>
      </c>
      <c r="R1156" s="285"/>
      <c r="S1156" s="14"/>
      <c r="T1156" s="285"/>
    </row>
    <row r="1157" spans="1:20" ht="46.5" customHeight="1" x14ac:dyDescent="0.2">
      <c r="A1157" s="21">
        <v>1173</v>
      </c>
      <c r="B1157" s="289" t="s">
        <v>5806</v>
      </c>
      <c r="C1157" s="37"/>
      <c r="D1157" s="9" t="s">
        <v>0</v>
      </c>
      <c r="E1157" s="289"/>
      <c r="F1157" s="13" t="s">
        <v>6732</v>
      </c>
      <c r="G1157" s="285" t="s">
        <v>4946</v>
      </c>
      <c r="H1157" s="49" t="s">
        <v>5127</v>
      </c>
      <c r="I1157" s="289"/>
      <c r="J1157" s="285" t="s">
        <v>3136</v>
      </c>
      <c r="K1157" s="15">
        <v>42156</v>
      </c>
      <c r="L1157" s="289">
        <v>449</v>
      </c>
      <c r="M1157" s="15">
        <v>42156</v>
      </c>
      <c r="N1157" s="24">
        <v>1</v>
      </c>
      <c r="O1157" s="17">
        <v>5700</v>
      </c>
      <c r="P1157" s="17">
        <v>5700</v>
      </c>
      <c r="Q1157" s="17">
        <f t="shared" si="26"/>
        <v>0</v>
      </c>
      <c r="R1157" s="285"/>
      <c r="S1157" s="14"/>
      <c r="T1157" s="285"/>
    </row>
    <row r="1158" spans="1:20" ht="46.5" customHeight="1" x14ac:dyDescent="0.2">
      <c r="A1158" s="21">
        <v>1174</v>
      </c>
      <c r="B1158" s="289" t="s">
        <v>1693</v>
      </c>
      <c r="C1158" s="285"/>
      <c r="D1158" s="9" t="s">
        <v>1652</v>
      </c>
      <c r="E1158" s="289"/>
      <c r="F1158" s="13" t="s">
        <v>6733</v>
      </c>
      <c r="G1158" s="285" t="s">
        <v>4946</v>
      </c>
      <c r="H1158" s="49" t="s">
        <v>5127</v>
      </c>
      <c r="I1158" s="289"/>
      <c r="J1158" s="285" t="s">
        <v>3136</v>
      </c>
      <c r="K1158" s="15">
        <v>42156</v>
      </c>
      <c r="L1158" s="289">
        <v>449</v>
      </c>
      <c r="M1158" s="15">
        <v>42156</v>
      </c>
      <c r="N1158" s="24">
        <v>1</v>
      </c>
      <c r="O1158" s="17">
        <v>3000</v>
      </c>
      <c r="P1158" s="17">
        <v>3000</v>
      </c>
      <c r="Q1158" s="17">
        <f t="shared" si="26"/>
        <v>0</v>
      </c>
      <c r="R1158" s="285"/>
      <c r="S1158" s="14"/>
      <c r="T1158" s="285"/>
    </row>
    <row r="1159" spans="1:20" ht="46.5" customHeight="1" x14ac:dyDescent="0.2">
      <c r="A1159" s="21">
        <v>1175</v>
      </c>
      <c r="B1159" s="289" t="s">
        <v>1694</v>
      </c>
      <c r="C1159" s="37"/>
      <c r="D1159" s="9" t="s">
        <v>41</v>
      </c>
      <c r="E1159" s="289"/>
      <c r="F1159" s="13" t="s">
        <v>6734</v>
      </c>
      <c r="G1159" s="285" t="s">
        <v>4946</v>
      </c>
      <c r="H1159" s="49" t="s">
        <v>5127</v>
      </c>
      <c r="I1159" s="18"/>
      <c r="J1159" s="285" t="s">
        <v>3136</v>
      </c>
      <c r="K1159" s="15">
        <v>42156</v>
      </c>
      <c r="L1159" s="289">
        <v>449</v>
      </c>
      <c r="M1159" s="15">
        <v>42156</v>
      </c>
      <c r="N1159" s="24">
        <v>1</v>
      </c>
      <c r="O1159" s="17">
        <v>4500</v>
      </c>
      <c r="P1159" s="17">
        <v>4500</v>
      </c>
      <c r="Q1159" s="17">
        <f t="shared" si="26"/>
        <v>0</v>
      </c>
      <c r="R1159" s="285"/>
      <c r="S1159" s="14"/>
      <c r="T1159" s="285"/>
    </row>
    <row r="1160" spans="1:20" ht="66.75" customHeight="1" x14ac:dyDescent="0.2">
      <c r="A1160" s="21">
        <v>1176</v>
      </c>
      <c r="B1160" s="289" t="s">
        <v>1695</v>
      </c>
      <c r="C1160" s="285"/>
      <c r="D1160" s="9" t="s">
        <v>2128</v>
      </c>
      <c r="E1160" s="289"/>
      <c r="F1160" s="13" t="s">
        <v>6735</v>
      </c>
      <c r="G1160" s="285" t="s">
        <v>4946</v>
      </c>
      <c r="H1160" s="49" t="s">
        <v>5127</v>
      </c>
      <c r="I1160" s="18"/>
      <c r="J1160" s="285" t="s">
        <v>3136</v>
      </c>
      <c r="K1160" s="15">
        <v>42156</v>
      </c>
      <c r="L1160" s="289">
        <v>449</v>
      </c>
      <c r="M1160" s="15">
        <v>42156</v>
      </c>
      <c r="N1160" s="24">
        <v>1</v>
      </c>
      <c r="O1160" s="17">
        <v>9000</v>
      </c>
      <c r="P1160" s="17">
        <v>9000</v>
      </c>
      <c r="Q1160" s="17">
        <f t="shared" si="26"/>
        <v>0</v>
      </c>
      <c r="R1160" s="285"/>
      <c r="S1160" s="14"/>
      <c r="T1160" s="285"/>
    </row>
    <row r="1161" spans="1:20" ht="66.75" customHeight="1" x14ac:dyDescent="0.2">
      <c r="A1161" s="21">
        <v>1177</v>
      </c>
      <c r="B1161" s="289" t="s">
        <v>846</v>
      </c>
      <c r="C1161" s="285"/>
      <c r="D1161" s="9" t="s">
        <v>2968</v>
      </c>
      <c r="E1161" s="289"/>
      <c r="F1161" s="13" t="s">
        <v>6736</v>
      </c>
      <c r="G1161" s="285" t="s">
        <v>4946</v>
      </c>
      <c r="H1161" s="49" t="s">
        <v>5127</v>
      </c>
      <c r="I1161" s="18"/>
      <c r="J1161" s="285" t="s">
        <v>3136</v>
      </c>
      <c r="K1161" s="15">
        <v>42156</v>
      </c>
      <c r="L1161" s="289">
        <v>449</v>
      </c>
      <c r="M1161" s="15">
        <v>42156</v>
      </c>
      <c r="N1161" s="24">
        <v>1</v>
      </c>
      <c r="O1161" s="17">
        <v>7556</v>
      </c>
      <c r="P1161" s="17">
        <v>7556</v>
      </c>
      <c r="Q1161" s="17">
        <f t="shared" si="26"/>
        <v>0</v>
      </c>
      <c r="R1161" s="285"/>
      <c r="S1161" s="14"/>
      <c r="T1161" s="285"/>
    </row>
    <row r="1162" spans="1:20" ht="66.75" customHeight="1" x14ac:dyDescent="0.2">
      <c r="A1162" s="21">
        <v>1178</v>
      </c>
      <c r="B1162" s="289" t="s">
        <v>1710</v>
      </c>
      <c r="C1162" s="37"/>
      <c r="D1162" s="9" t="s">
        <v>40</v>
      </c>
      <c r="E1162" s="289"/>
      <c r="F1162" s="13" t="s">
        <v>6738</v>
      </c>
      <c r="G1162" s="285" t="s">
        <v>4946</v>
      </c>
      <c r="H1162" s="49" t="s">
        <v>5127</v>
      </c>
      <c r="I1162" s="18"/>
      <c r="J1162" s="285" t="s">
        <v>3136</v>
      </c>
      <c r="K1162" s="15">
        <v>42156</v>
      </c>
      <c r="L1162" s="289">
        <v>449</v>
      </c>
      <c r="M1162" s="15">
        <v>42156</v>
      </c>
      <c r="N1162" s="24">
        <v>1</v>
      </c>
      <c r="O1162" s="17">
        <v>8223</v>
      </c>
      <c r="P1162" s="17">
        <v>8223</v>
      </c>
      <c r="Q1162" s="17">
        <f t="shared" si="26"/>
        <v>0</v>
      </c>
      <c r="R1162" s="285"/>
      <c r="S1162" s="14"/>
      <c r="T1162" s="285"/>
    </row>
    <row r="1163" spans="1:20" ht="66.75" customHeight="1" x14ac:dyDescent="0.2">
      <c r="A1163" s="21">
        <v>1179</v>
      </c>
      <c r="B1163" s="289" t="s">
        <v>1711</v>
      </c>
      <c r="C1163" s="285"/>
      <c r="D1163" s="9" t="s">
        <v>5830</v>
      </c>
      <c r="E1163" s="289"/>
      <c r="F1163" s="13" t="s">
        <v>6739</v>
      </c>
      <c r="G1163" s="285" t="s">
        <v>4946</v>
      </c>
      <c r="H1163" s="49" t="s">
        <v>5127</v>
      </c>
      <c r="I1163" s="18"/>
      <c r="J1163" s="285" t="s">
        <v>3136</v>
      </c>
      <c r="K1163" s="15">
        <v>42156</v>
      </c>
      <c r="L1163" s="289">
        <v>449</v>
      </c>
      <c r="M1163" s="15">
        <v>42156</v>
      </c>
      <c r="N1163" s="24">
        <v>1</v>
      </c>
      <c r="O1163" s="17">
        <v>4000</v>
      </c>
      <c r="P1163" s="17">
        <v>4000</v>
      </c>
      <c r="Q1163" s="17">
        <f t="shared" si="26"/>
        <v>0</v>
      </c>
      <c r="R1163" s="285"/>
      <c r="S1163" s="14"/>
      <c r="T1163" s="285"/>
    </row>
    <row r="1164" spans="1:20" ht="66.75" customHeight="1" x14ac:dyDescent="0.2">
      <c r="A1164" s="21">
        <v>1180</v>
      </c>
      <c r="B1164" s="289" t="s">
        <v>1712</v>
      </c>
      <c r="C1164" s="285"/>
      <c r="D1164" s="9" t="s">
        <v>652</v>
      </c>
      <c r="E1164" s="289"/>
      <c r="F1164" s="13" t="s">
        <v>6740</v>
      </c>
      <c r="G1164" s="285" t="s">
        <v>4946</v>
      </c>
      <c r="H1164" s="49" t="s">
        <v>5127</v>
      </c>
      <c r="I1164" s="18"/>
      <c r="J1164" s="285" t="s">
        <v>3136</v>
      </c>
      <c r="K1164" s="15">
        <v>42156</v>
      </c>
      <c r="L1164" s="289">
        <v>449</v>
      </c>
      <c r="M1164" s="15">
        <v>42156</v>
      </c>
      <c r="N1164" s="24">
        <v>1</v>
      </c>
      <c r="O1164" s="17">
        <v>5000</v>
      </c>
      <c r="P1164" s="17">
        <v>5000</v>
      </c>
      <c r="Q1164" s="17">
        <f t="shared" si="26"/>
        <v>0</v>
      </c>
      <c r="R1164" s="285"/>
      <c r="S1164" s="14"/>
      <c r="T1164" s="285"/>
    </row>
    <row r="1165" spans="1:20" ht="66.75" customHeight="1" x14ac:dyDescent="0.2">
      <c r="A1165" s="21">
        <v>1181</v>
      </c>
      <c r="B1165" s="289" t="s">
        <v>1713</v>
      </c>
      <c r="C1165" s="285"/>
      <c r="D1165" s="9" t="s">
        <v>2472</v>
      </c>
      <c r="E1165" s="289"/>
      <c r="F1165" s="13" t="s">
        <v>6741</v>
      </c>
      <c r="G1165" s="285" t="s">
        <v>4946</v>
      </c>
      <c r="H1165" s="49" t="s">
        <v>5127</v>
      </c>
      <c r="I1165" s="18"/>
      <c r="J1165" s="285" t="s">
        <v>3136</v>
      </c>
      <c r="K1165" s="15">
        <v>42156</v>
      </c>
      <c r="L1165" s="289">
        <v>449</v>
      </c>
      <c r="M1165" s="15">
        <v>42156</v>
      </c>
      <c r="N1165" s="24">
        <v>1</v>
      </c>
      <c r="O1165" s="17">
        <v>8436.6</v>
      </c>
      <c r="P1165" s="17">
        <v>8436.6</v>
      </c>
      <c r="Q1165" s="17">
        <f t="shared" si="26"/>
        <v>0</v>
      </c>
      <c r="R1165" s="285"/>
      <c r="S1165" s="14"/>
      <c r="T1165" s="285"/>
    </row>
    <row r="1166" spans="1:20" ht="49.5" customHeight="1" x14ac:dyDescent="0.2">
      <c r="A1166" s="21">
        <v>1182</v>
      </c>
      <c r="B1166" s="289" t="s">
        <v>1714</v>
      </c>
      <c r="C1166" s="37"/>
      <c r="D1166" s="9" t="s">
        <v>5603</v>
      </c>
      <c r="E1166" s="289"/>
      <c r="F1166" s="13" t="s">
        <v>6742</v>
      </c>
      <c r="G1166" s="285" t="s">
        <v>4946</v>
      </c>
      <c r="H1166" s="49" t="s">
        <v>5127</v>
      </c>
      <c r="I1166" s="18"/>
      <c r="J1166" s="285" t="s">
        <v>3136</v>
      </c>
      <c r="K1166" s="15">
        <v>42156</v>
      </c>
      <c r="L1166" s="289">
        <v>449</v>
      </c>
      <c r="M1166" s="15">
        <v>42156</v>
      </c>
      <c r="N1166" s="24">
        <v>1</v>
      </c>
      <c r="O1166" s="17">
        <v>4632.03</v>
      </c>
      <c r="P1166" s="17">
        <v>4632.03</v>
      </c>
      <c r="Q1166" s="17">
        <f t="shared" si="26"/>
        <v>0</v>
      </c>
      <c r="R1166" s="285"/>
      <c r="S1166" s="14"/>
      <c r="T1166" s="285"/>
    </row>
    <row r="1167" spans="1:20" ht="49.5" customHeight="1" x14ac:dyDescent="0.2">
      <c r="A1167" s="21">
        <v>1183</v>
      </c>
      <c r="B1167" s="289" t="s">
        <v>1715</v>
      </c>
      <c r="C1167" s="289"/>
      <c r="D1167" s="9" t="s">
        <v>2212</v>
      </c>
      <c r="E1167" s="289"/>
      <c r="F1167" s="13" t="s">
        <v>6743</v>
      </c>
      <c r="G1167" s="285" t="s">
        <v>4946</v>
      </c>
      <c r="H1167" s="49" t="s">
        <v>5127</v>
      </c>
      <c r="I1167" s="18"/>
      <c r="J1167" s="285" t="s">
        <v>3136</v>
      </c>
      <c r="K1167" s="15">
        <v>42156</v>
      </c>
      <c r="L1167" s="289">
        <v>449</v>
      </c>
      <c r="M1167" s="15">
        <v>42156</v>
      </c>
      <c r="N1167" s="24">
        <v>1</v>
      </c>
      <c r="O1167" s="17">
        <v>3654.57</v>
      </c>
      <c r="P1167" s="17">
        <v>3654.57</v>
      </c>
      <c r="Q1167" s="17">
        <f t="shared" si="26"/>
        <v>0</v>
      </c>
      <c r="R1167" s="285"/>
      <c r="S1167" s="14"/>
      <c r="T1167" s="285"/>
    </row>
    <row r="1168" spans="1:20" ht="49.5" customHeight="1" x14ac:dyDescent="0.2">
      <c r="A1168" s="21">
        <v>1184</v>
      </c>
      <c r="B1168" s="30" t="s">
        <v>1716</v>
      </c>
      <c r="C1168" s="37"/>
      <c r="D1168" s="46" t="s">
        <v>3512</v>
      </c>
      <c r="E1168" s="42"/>
      <c r="F1168" s="13" t="s">
        <v>6744</v>
      </c>
      <c r="G1168" s="285" t="s">
        <v>4946</v>
      </c>
      <c r="H1168" s="49" t="s">
        <v>5127</v>
      </c>
      <c r="I1168" s="49"/>
      <c r="J1168" s="285" t="s">
        <v>3136</v>
      </c>
      <c r="K1168" s="15">
        <v>42156</v>
      </c>
      <c r="L1168" s="289">
        <v>449</v>
      </c>
      <c r="M1168" s="51">
        <v>42156</v>
      </c>
      <c r="N1168" s="24">
        <v>1</v>
      </c>
      <c r="O1168" s="17">
        <v>6600</v>
      </c>
      <c r="P1168" s="17">
        <v>6600</v>
      </c>
      <c r="Q1168" s="17">
        <f t="shared" si="26"/>
        <v>0</v>
      </c>
      <c r="R1168" s="285"/>
      <c r="S1168" s="53"/>
      <c r="T1168" s="49"/>
    </row>
    <row r="1169" spans="1:20" ht="49.5" customHeight="1" x14ac:dyDescent="0.2">
      <c r="A1169" s="21">
        <v>1185</v>
      </c>
      <c r="B1169" s="30" t="s">
        <v>1718</v>
      </c>
      <c r="C1169" s="37"/>
      <c r="D1169" s="9" t="s">
        <v>5754</v>
      </c>
      <c r="E1169" s="12"/>
      <c r="F1169" s="13" t="s">
        <v>6745</v>
      </c>
      <c r="G1169" s="285" t="s">
        <v>4946</v>
      </c>
      <c r="H1169" s="49" t="s">
        <v>5127</v>
      </c>
      <c r="I1169" s="285"/>
      <c r="J1169" s="285" t="s">
        <v>3136</v>
      </c>
      <c r="K1169" s="15">
        <v>42156</v>
      </c>
      <c r="L1169" s="289">
        <v>449</v>
      </c>
      <c r="M1169" s="15">
        <v>42156</v>
      </c>
      <c r="N1169" s="24">
        <v>1</v>
      </c>
      <c r="O1169" s="17">
        <v>4000</v>
      </c>
      <c r="P1169" s="17">
        <v>4000</v>
      </c>
      <c r="Q1169" s="17">
        <f t="shared" si="26"/>
        <v>0</v>
      </c>
      <c r="R1169" s="285" t="s">
        <v>1611</v>
      </c>
      <c r="S1169" s="14" t="s">
        <v>1717</v>
      </c>
      <c r="T1169" s="285" t="s">
        <v>1029</v>
      </c>
    </row>
    <row r="1170" spans="1:20" ht="49.5" customHeight="1" x14ac:dyDescent="0.2">
      <c r="A1170" s="21">
        <v>1186</v>
      </c>
      <c r="B1170" s="30" t="s">
        <v>1231</v>
      </c>
      <c r="C1170" s="285"/>
      <c r="D1170" s="9" t="s">
        <v>2169</v>
      </c>
      <c r="E1170" s="12"/>
      <c r="F1170" s="13" t="s">
        <v>6568</v>
      </c>
      <c r="G1170" s="285" t="s">
        <v>7464</v>
      </c>
      <c r="H1170" s="49" t="s">
        <v>5127</v>
      </c>
      <c r="I1170" s="285"/>
      <c r="J1170" s="285" t="s">
        <v>3136</v>
      </c>
      <c r="K1170" s="15">
        <v>42150</v>
      </c>
      <c r="L1170" s="289">
        <v>438</v>
      </c>
      <c r="M1170" s="15"/>
      <c r="N1170" s="24">
        <v>1</v>
      </c>
      <c r="O1170" s="17">
        <v>5316</v>
      </c>
      <c r="P1170" s="17">
        <v>5316</v>
      </c>
      <c r="Q1170" s="17">
        <f t="shared" si="26"/>
        <v>0</v>
      </c>
      <c r="R1170" s="285"/>
      <c r="S1170" s="14"/>
      <c r="T1170" s="285"/>
    </row>
    <row r="1171" spans="1:20" ht="63.75" customHeight="1" x14ac:dyDescent="0.2">
      <c r="A1171" s="21">
        <v>1187</v>
      </c>
      <c r="B1171" s="30" t="s">
        <v>1232</v>
      </c>
      <c r="C1171" s="285"/>
      <c r="D1171" s="13" t="s">
        <v>4612</v>
      </c>
      <c r="E1171" s="12"/>
      <c r="F1171" s="13" t="s">
        <v>3676</v>
      </c>
      <c r="G1171" s="285" t="s">
        <v>7464</v>
      </c>
      <c r="H1171" s="49" t="s">
        <v>5127</v>
      </c>
      <c r="I1171" s="285"/>
      <c r="J1171" s="285"/>
      <c r="K1171" s="15"/>
      <c r="L1171" s="289"/>
      <c r="M1171" s="15"/>
      <c r="N1171" s="24">
        <v>1</v>
      </c>
      <c r="O1171" s="24">
        <v>4193</v>
      </c>
      <c r="P1171" s="24">
        <v>4193</v>
      </c>
      <c r="Q1171" s="17">
        <f t="shared" si="26"/>
        <v>0</v>
      </c>
      <c r="R1171" s="285"/>
      <c r="S1171" s="14"/>
      <c r="T1171" s="285"/>
    </row>
    <row r="1172" spans="1:20" ht="63.75" customHeight="1" x14ac:dyDescent="0.2">
      <c r="A1172" s="21">
        <v>1188</v>
      </c>
      <c r="B1172" s="30" t="s">
        <v>454</v>
      </c>
      <c r="C1172" s="37"/>
      <c r="D1172" s="9" t="s">
        <v>1418</v>
      </c>
      <c r="E1172" s="12"/>
      <c r="F1172" s="13" t="s">
        <v>6569</v>
      </c>
      <c r="G1172" s="285" t="s">
        <v>7464</v>
      </c>
      <c r="H1172" s="49" t="s">
        <v>5127</v>
      </c>
      <c r="I1172" s="285"/>
      <c r="J1172" s="285"/>
      <c r="K1172" s="15"/>
      <c r="L1172" s="289"/>
      <c r="M1172" s="15"/>
      <c r="N1172" s="24">
        <v>1</v>
      </c>
      <c r="O1172" s="17">
        <v>6750</v>
      </c>
      <c r="P1172" s="17">
        <v>6750</v>
      </c>
      <c r="Q1172" s="17">
        <f t="shared" si="26"/>
        <v>0</v>
      </c>
      <c r="R1172" s="285"/>
      <c r="S1172" s="14"/>
      <c r="T1172" s="285"/>
    </row>
    <row r="1173" spans="1:20" ht="63.75" customHeight="1" x14ac:dyDescent="0.2">
      <c r="A1173" s="21">
        <v>1189</v>
      </c>
      <c r="B1173" s="30" t="s">
        <v>3672</v>
      </c>
      <c r="C1173" s="37"/>
      <c r="D1173" s="9" t="s">
        <v>5314</v>
      </c>
      <c r="E1173" s="12"/>
      <c r="F1173" s="13" t="s">
        <v>6570</v>
      </c>
      <c r="G1173" s="285" t="s">
        <v>7464</v>
      </c>
      <c r="H1173" s="49" t="s">
        <v>5127</v>
      </c>
      <c r="I1173" s="285"/>
      <c r="J1173" s="285"/>
      <c r="K1173" s="15"/>
      <c r="L1173" s="289"/>
      <c r="M1173" s="15"/>
      <c r="N1173" s="24">
        <v>1</v>
      </c>
      <c r="O1173" s="17">
        <v>5128</v>
      </c>
      <c r="P1173" s="17">
        <v>5128</v>
      </c>
      <c r="Q1173" s="17">
        <f t="shared" si="26"/>
        <v>0</v>
      </c>
      <c r="R1173" s="285"/>
      <c r="S1173" s="14"/>
      <c r="T1173" s="285"/>
    </row>
    <row r="1174" spans="1:20" ht="63.75" customHeight="1" x14ac:dyDescent="0.2">
      <c r="A1174" s="21">
        <v>1190</v>
      </c>
      <c r="B1174" s="30" t="s">
        <v>3673</v>
      </c>
      <c r="C1174" s="37"/>
      <c r="D1174" s="9" t="s">
        <v>1790</v>
      </c>
      <c r="E1174" s="12"/>
      <c r="F1174" s="13" t="s">
        <v>664</v>
      </c>
      <c r="G1174" s="285" t="s">
        <v>7464</v>
      </c>
      <c r="H1174" s="49" t="s">
        <v>5127</v>
      </c>
      <c r="I1174" s="285"/>
      <c r="J1174" s="285"/>
      <c r="K1174" s="15"/>
      <c r="L1174" s="289"/>
      <c r="M1174" s="15"/>
      <c r="N1174" s="24">
        <v>1</v>
      </c>
      <c r="O1174" s="17">
        <v>3250</v>
      </c>
      <c r="P1174" s="17">
        <v>3250</v>
      </c>
      <c r="Q1174" s="17">
        <f t="shared" si="26"/>
        <v>0</v>
      </c>
      <c r="R1174" s="285"/>
      <c r="S1174" s="14"/>
      <c r="T1174" s="285"/>
    </row>
    <row r="1175" spans="1:20" ht="48" customHeight="1" x14ac:dyDescent="0.2">
      <c r="A1175" s="21">
        <v>1191</v>
      </c>
      <c r="B1175" s="30" t="s">
        <v>3674</v>
      </c>
      <c r="C1175" s="37"/>
      <c r="D1175" s="9" t="s">
        <v>485</v>
      </c>
      <c r="E1175" s="12"/>
      <c r="F1175" s="13" t="s">
        <v>5505</v>
      </c>
      <c r="G1175" s="285" t="s">
        <v>7464</v>
      </c>
      <c r="H1175" s="49" t="s">
        <v>5127</v>
      </c>
      <c r="I1175" s="285"/>
      <c r="J1175" s="285"/>
      <c r="K1175" s="15"/>
      <c r="L1175" s="289"/>
      <c r="M1175" s="15"/>
      <c r="N1175" s="24">
        <v>1</v>
      </c>
      <c r="O1175" s="17">
        <v>3692</v>
      </c>
      <c r="P1175" s="17">
        <v>3692</v>
      </c>
      <c r="Q1175" s="17">
        <f t="shared" si="26"/>
        <v>0</v>
      </c>
      <c r="R1175" s="285"/>
      <c r="S1175" s="14"/>
      <c r="T1175" s="285"/>
    </row>
    <row r="1176" spans="1:20" ht="48" customHeight="1" x14ac:dyDescent="0.2">
      <c r="A1176" s="21">
        <v>1192</v>
      </c>
      <c r="B1176" s="30" t="s">
        <v>3675</v>
      </c>
      <c r="C1176" s="37"/>
      <c r="D1176" s="9" t="s">
        <v>3219</v>
      </c>
      <c r="E1176" s="12"/>
      <c r="F1176" s="13" t="s">
        <v>3220</v>
      </c>
      <c r="G1176" s="285" t="s">
        <v>7464</v>
      </c>
      <c r="H1176" s="49" t="s">
        <v>5127</v>
      </c>
      <c r="I1176" s="285"/>
      <c r="J1176" s="285"/>
      <c r="K1176" s="15"/>
      <c r="L1176" s="289"/>
      <c r="M1176" s="15"/>
      <c r="N1176" s="24">
        <v>1</v>
      </c>
      <c r="O1176" s="17">
        <v>5800</v>
      </c>
      <c r="P1176" s="17">
        <v>5800</v>
      </c>
      <c r="Q1176" s="17">
        <f t="shared" si="26"/>
        <v>0</v>
      </c>
      <c r="R1176" s="285"/>
      <c r="S1176" s="14"/>
      <c r="T1176" s="285"/>
    </row>
    <row r="1177" spans="1:20" ht="48" customHeight="1" x14ac:dyDescent="0.2">
      <c r="A1177" s="21">
        <v>1193</v>
      </c>
      <c r="B1177" s="30" t="s">
        <v>2166</v>
      </c>
      <c r="C1177" s="285"/>
      <c r="D1177" s="9" t="s">
        <v>334</v>
      </c>
      <c r="E1177" s="12"/>
      <c r="F1177" s="13" t="s">
        <v>6571</v>
      </c>
      <c r="G1177" s="285" t="s">
        <v>7464</v>
      </c>
      <c r="H1177" s="49" t="s">
        <v>5127</v>
      </c>
      <c r="I1177" s="285"/>
      <c r="J1177" s="285"/>
      <c r="K1177" s="15"/>
      <c r="L1177" s="289"/>
      <c r="M1177" s="15"/>
      <c r="N1177" s="24">
        <v>1</v>
      </c>
      <c r="O1177" s="17">
        <v>7057</v>
      </c>
      <c r="P1177" s="17">
        <v>7057</v>
      </c>
      <c r="Q1177" s="17">
        <f t="shared" si="26"/>
        <v>0</v>
      </c>
      <c r="R1177" s="285"/>
      <c r="S1177" s="14"/>
      <c r="T1177" s="285"/>
    </row>
    <row r="1178" spans="1:20" ht="48" customHeight="1" x14ac:dyDescent="0.2">
      <c r="A1178" s="21">
        <v>1194</v>
      </c>
      <c r="B1178" s="30" t="s">
        <v>2167</v>
      </c>
      <c r="C1178" s="285"/>
      <c r="D1178" s="9" t="s">
        <v>2806</v>
      </c>
      <c r="E1178" s="12"/>
      <c r="F1178" s="13" t="s">
        <v>6572</v>
      </c>
      <c r="G1178" s="285" t="s">
        <v>7464</v>
      </c>
      <c r="H1178" s="49" t="s">
        <v>5127</v>
      </c>
      <c r="I1178" s="285"/>
      <c r="J1178" s="285" t="s">
        <v>3136</v>
      </c>
      <c r="K1178" s="15">
        <v>41876</v>
      </c>
      <c r="L1178" s="12" t="s">
        <v>2165</v>
      </c>
      <c r="M1178" s="15"/>
      <c r="N1178" s="24">
        <v>1</v>
      </c>
      <c r="O1178" s="17">
        <v>4090</v>
      </c>
      <c r="P1178" s="17">
        <v>4090</v>
      </c>
      <c r="Q1178" s="17">
        <f t="shared" si="26"/>
        <v>0</v>
      </c>
      <c r="R1178" s="285"/>
      <c r="S1178" s="14"/>
      <c r="T1178" s="285"/>
    </row>
    <row r="1179" spans="1:20" ht="62.25" customHeight="1" x14ac:dyDescent="0.2">
      <c r="A1179" s="21">
        <v>1195</v>
      </c>
      <c r="B1179" s="30" t="s">
        <v>2168</v>
      </c>
      <c r="C1179" s="37"/>
      <c r="D1179" s="9" t="s">
        <v>3894</v>
      </c>
      <c r="E1179" s="12"/>
      <c r="F1179" s="13" t="s">
        <v>848</v>
      </c>
      <c r="G1179" s="285" t="s">
        <v>7846</v>
      </c>
      <c r="H1179" s="49" t="s">
        <v>5127</v>
      </c>
      <c r="I1179" s="285"/>
      <c r="J1179" s="285"/>
      <c r="K1179" s="15"/>
      <c r="L1179" s="289"/>
      <c r="M1179" s="15"/>
      <c r="N1179" s="24">
        <v>1</v>
      </c>
      <c r="O1179" s="17">
        <v>7440</v>
      </c>
      <c r="P1179" s="17">
        <v>7440</v>
      </c>
      <c r="Q1179" s="17">
        <f t="shared" si="26"/>
        <v>0</v>
      </c>
      <c r="R1179" s="285"/>
      <c r="S1179" s="14"/>
      <c r="T1179" s="285"/>
    </row>
    <row r="1180" spans="1:20" ht="62.25" customHeight="1" x14ac:dyDescent="0.2">
      <c r="A1180" s="21">
        <v>1196</v>
      </c>
      <c r="B1180" s="30" t="s">
        <v>4895</v>
      </c>
      <c r="C1180" s="37"/>
      <c r="D1180" s="9" t="s">
        <v>3722</v>
      </c>
      <c r="E1180" s="12"/>
      <c r="F1180" s="13" t="s">
        <v>3354</v>
      </c>
      <c r="G1180" s="285" t="s">
        <v>7983</v>
      </c>
      <c r="H1180" s="49" t="s">
        <v>5127</v>
      </c>
      <c r="I1180" s="285"/>
      <c r="J1180" s="285" t="s">
        <v>9408</v>
      </c>
      <c r="K1180" s="15">
        <v>43831</v>
      </c>
      <c r="L1180" s="289" t="s">
        <v>1029</v>
      </c>
      <c r="M1180" s="15">
        <v>40352</v>
      </c>
      <c r="N1180" s="24">
        <v>1</v>
      </c>
      <c r="O1180" s="17">
        <v>5169</v>
      </c>
      <c r="P1180" s="17">
        <v>5169</v>
      </c>
      <c r="Q1180" s="17">
        <f t="shared" si="26"/>
        <v>0</v>
      </c>
      <c r="R1180" s="285"/>
      <c r="S1180" s="14"/>
      <c r="T1180" s="285"/>
    </row>
    <row r="1181" spans="1:20" ht="40.5" customHeight="1" x14ac:dyDescent="0.2">
      <c r="A1181" s="21">
        <v>1197</v>
      </c>
      <c r="B1181" s="30" t="s">
        <v>5220</v>
      </c>
      <c r="C1181" s="285"/>
      <c r="D1181" s="9" t="s">
        <v>1319</v>
      </c>
      <c r="E1181" s="12"/>
      <c r="F1181" s="13" t="s">
        <v>1320</v>
      </c>
      <c r="G1181" s="285" t="s">
        <v>7983</v>
      </c>
      <c r="H1181" s="49" t="s">
        <v>5127</v>
      </c>
      <c r="I1181" s="285"/>
      <c r="J1181" s="285" t="s">
        <v>9408</v>
      </c>
      <c r="K1181" s="15">
        <v>43831</v>
      </c>
      <c r="L1181" s="289" t="s">
        <v>1029</v>
      </c>
      <c r="M1181" s="15">
        <v>39082</v>
      </c>
      <c r="N1181" s="24">
        <v>2</v>
      </c>
      <c r="O1181" s="17">
        <v>11220</v>
      </c>
      <c r="P1181" s="17">
        <v>11220</v>
      </c>
      <c r="Q1181" s="17">
        <f t="shared" si="26"/>
        <v>0</v>
      </c>
      <c r="R1181" s="285"/>
      <c r="S1181" s="14"/>
      <c r="T1181" s="285"/>
    </row>
    <row r="1182" spans="1:20" ht="40.5" customHeight="1" x14ac:dyDescent="0.2">
      <c r="A1182" s="21">
        <v>1198</v>
      </c>
      <c r="B1182" s="30" t="s">
        <v>4667</v>
      </c>
      <c r="C1182" s="37"/>
      <c r="D1182" s="9" t="s">
        <v>6267</v>
      </c>
      <c r="E1182" s="12"/>
      <c r="F1182" s="13" t="s">
        <v>1528</v>
      </c>
      <c r="G1182" s="285" t="s">
        <v>7983</v>
      </c>
      <c r="H1182" s="49" t="s">
        <v>5127</v>
      </c>
      <c r="I1182" s="285"/>
      <c r="J1182" s="285" t="s">
        <v>9408</v>
      </c>
      <c r="K1182" s="15">
        <v>43831</v>
      </c>
      <c r="L1182" s="289" t="s">
        <v>1029</v>
      </c>
      <c r="M1182" s="15">
        <v>39576</v>
      </c>
      <c r="N1182" s="24">
        <v>1</v>
      </c>
      <c r="O1182" s="17">
        <v>8008</v>
      </c>
      <c r="P1182" s="17">
        <v>8008</v>
      </c>
      <c r="Q1182" s="17">
        <f t="shared" si="26"/>
        <v>0</v>
      </c>
      <c r="R1182" s="285"/>
      <c r="S1182" s="14"/>
      <c r="T1182" s="285"/>
    </row>
    <row r="1183" spans="1:20" ht="73.5" customHeight="1" x14ac:dyDescent="0.2">
      <c r="A1183" s="21">
        <v>1199</v>
      </c>
      <c r="B1183" s="30" t="s">
        <v>5124</v>
      </c>
      <c r="C1183" s="37"/>
      <c r="D1183" s="9" t="s">
        <v>3860</v>
      </c>
      <c r="E1183" s="12"/>
      <c r="F1183" s="13" t="s">
        <v>3862</v>
      </c>
      <c r="G1183" s="285" t="s">
        <v>7983</v>
      </c>
      <c r="H1183" s="49" t="s">
        <v>5127</v>
      </c>
      <c r="I1183" s="285"/>
      <c r="J1183" s="285" t="s">
        <v>9408</v>
      </c>
      <c r="K1183" s="15">
        <v>43831</v>
      </c>
      <c r="L1183" s="289" t="s">
        <v>1029</v>
      </c>
      <c r="M1183" s="15">
        <v>39720</v>
      </c>
      <c r="N1183" s="24">
        <v>1</v>
      </c>
      <c r="O1183" s="17">
        <v>3205</v>
      </c>
      <c r="P1183" s="17">
        <v>3205</v>
      </c>
      <c r="Q1183" s="17">
        <f t="shared" si="26"/>
        <v>0</v>
      </c>
      <c r="R1183" s="285"/>
      <c r="S1183" s="14"/>
      <c r="T1183" s="285"/>
    </row>
    <row r="1184" spans="1:20" ht="73.5" customHeight="1" x14ac:dyDescent="0.2">
      <c r="A1184" s="21">
        <v>1200</v>
      </c>
      <c r="B1184" s="30" t="s">
        <v>5125</v>
      </c>
      <c r="C1184" s="37"/>
      <c r="D1184" s="9" t="s">
        <v>3861</v>
      </c>
      <c r="E1184" s="12"/>
      <c r="F1184" s="13" t="s">
        <v>3863</v>
      </c>
      <c r="G1184" s="285" t="s">
        <v>7983</v>
      </c>
      <c r="H1184" s="49" t="s">
        <v>5127</v>
      </c>
      <c r="I1184" s="285"/>
      <c r="J1184" s="285" t="s">
        <v>9408</v>
      </c>
      <c r="K1184" s="15">
        <v>43831</v>
      </c>
      <c r="L1184" s="289" t="s">
        <v>1029</v>
      </c>
      <c r="M1184" s="15">
        <v>39538</v>
      </c>
      <c r="N1184" s="24">
        <v>1</v>
      </c>
      <c r="O1184" s="17">
        <v>4200</v>
      </c>
      <c r="P1184" s="17">
        <v>4200</v>
      </c>
      <c r="Q1184" s="17">
        <f t="shared" si="26"/>
        <v>0</v>
      </c>
      <c r="R1184" s="285"/>
      <c r="S1184" s="14"/>
      <c r="T1184" s="285"/>
    </row>
    <row r="1185" spans="1:20" ht="73.5" customHeight="1" x14ac:dyDescent="0.2">
      <c r="A1185" s="21">
        <v>1201</v>
      </c>
      <c r="B1185" s="30" t="s">
        <v>5126</v>
      </c>
      <c r="C1185" s="285"/>
      <c r="D1185" s="9" t="s">
        <v>3089</v>
      </c>
      <c r="E1185" s="12"/>
      <c r="F1185" s="13" t="s">
        <v>9418</v>
      </c>
      <c r="G1185" s="285" t="s">
        <v>7983</v>
      </c>
      <c r="H1185" s="49" t="s">
        <v>5127</v>
      </c>
      <c r="I1185" s="285"/>
      <c r="J1185" s="285" t="s">
        <v>3136</v>
      </c>
      <c r="K1185" s="15">
        <v>41156</v>
      </c>
      <c r="L1185" s="289">
        <v>828</v>
      </c>
      <c r="M1185" s="15">
        <v>41156</v>
      </c>
      <c r="N1185" s="24">
        <v>1</v>
      </c>
      <c r="O1185" s="17">
        <v>4417</v>
      </c>
      <c r="P1185" s="17">
        <v>4417</v>
      </c>
      <c r="Q1185" s="17">
        <f t="shared" ref="Q1185:Q1216" si="27">O1185-P1185</f>
        <v>0</v>
      </c>
      <c r="R1185" s="285"/>
      <c r="S1185" s="14"/>
      <c r="T1185" s="285"/>
    </row>
    <row r="1186" spans="1:20" ht="146.25" customHeight="1" x14ac:dyDescent="0.2">
      <c r="A1186" s="21">
        <v>1202</v>
      </c>
      <c r="B1186" s="30" t="s">
        <v>3859</v>
      </c>
      <c r="C1186" s="49"/>
      <c r="D1186" s="46" t="s">
        <v>5984</v>
      </c>
      <c r="E1186" s="42"/>
      <c r="F1186" s="47" t="s">
        <v>8541</v>
      </c>
      <c r="G1186" s="49" t="s">
        <v>7983</v>
      </c>
      <c r="H1186" s="49" t="s">
        <v>5127</v>
      </c>
      <c r="I1186" s="49"/>
      <c r="J1186" s="49" t="s">
        <v>3136</v>
      </c>
      <c r="K1186" s="51">
        <v>41156</v>
      </c>
      <c r="L1186" s="30">
        <v>828</v>
      </c>
      <c r="M1186" s="51">
        <v>41156</v>
      </c>
      <c r="N1186" s="52">
        <v>1</v>
      </c>
      <c r="O1186" s="48">
        <v>8000</v>
      </c>
      <c r="P1186" s="48">
        <v>8000</v>
      </c>
      <c r="Q1186" s="48">
        <f t="shared" si="27"/>
        <v>0</v>
      </c>
      <c r="R1186" s="49"/>
      <c r="S1186" s="53"/>
      <c r="T1186" s="49"/>
    </row>
    <row r="1187" spans="1:20" ht="36" x14ac:dyDescent="0.2">
      <c r="A1187" s="21">
        <v>1203</v>
      </c>
      <c r="B1187" s="289" t="s">
        <v>4513</v>
      </c>
      <c r="C1187" s="285"/>
      <c r="D1187" s="9" t="s">
        <v>3723</v>
      </c>
      <c r="E1187" s="12"/>
      <c r="F1187" s="13" t="s">
        <v>1800</v>
      </c>
      <c r="G1187" s="285" t="s">
        <v>4946</v>
      </c>
      <c r="H1187" s="285" t="s">
        <v>5127</v>
      </c>
      <c r="I1187" s="285"/>
      <c r="J1187" s="285"/>
      <c r="K1187" s="15"/>
      <c r="L1187" s="289"/>
      <c r="M1187" s="15"/>
      <c r="N1187" s="24">
        <v>1</v>
      </c>
      <c r="O1187" s="17">
        <v>4080</v>
      </c>
      <c r="P1187" s="17">
        <v>4080</v>
      </c>
      <c r="Q1187" s="17">
        <f t="shared" si="27"/>
        <v>0</v>
      </c>
      <c r="R1187" s="285"/>
      <c r="S1187" s="14"/>
      <c r="T1187" s="285"/>
    </row>
    <row r="1188" spans="1:20" ht="75" customHeight="1" x14ac:dyDescent="0.2">
      <c r="A1188" s="21">
        <v>1204</v>
      </c>
      <c r="B1188" s="289" t="s">
        <v>4514</v>
      </c>
      <c r="C1188" s="285"/>
      <c r="D1188" s="9" t="s">
        <v>3724</v>
      </c>
      <c r="E1188" s="12"/>
      <c r="F1188" s="13" t="s">
        <v>4358</v>
      </c>
      <c r="G1188" s="285" t="s">
        <v>4946</v>
      </c>
      <c r="H1188" s="285" t="s">
        <v>5127</v>
      </c>
      <c r="I1188" s="285"/>
      <c r="J1188" s="285" t="s">
        <v>9437</v>
      </c>
      <c r="K1188" s="289">
        <v>2011</v>
      </c>
      <c r="L1188" s="289" t="s">
        <v>1029</v>
      </c>
      <c r="M1188" s="15"/>
      <c r="N1188" s="24">
        <v>1</v>
      </c>
      <c r="O1188" s="17">
        <v>6448</v>
      </c>
      <c r="P1188" s="17">
        <v>6448</v>
      </c>
      <c r="Q1188" s="17">
        <f t="shared" si="27"/>
        <v>0</v>
      </c>
      <c r="R1188" s="285"/>
      <c r="S1188" s="14"/>
      <c r="T1188" s="285"/>
    </row>
    <row r="1189" spans="1:20" ht="75" customHeight="1" x14ac:dyDescent="0.2">
      <c r="A1189" s="21">
        <v>1205</v>
      </c>
      <c r="B1189" s="289" t="s">
        <v>4515</v>
      </c>
      <c r="C1189" s="285" t="s">
        <v>5274</v>
      </c>
      <c r="D1189" s="9" t="s">
        <v>3683</v>
      </c>
      <c r="E1189" s="12"/>
      <c r="F1189" s="13" t="s">
        <v>6746</v>
      </c>
      <c r="G1189" s="285" t="s">
        <v>4946</v>
      </c>
      <c r="H1189" s="285" t="s">
        <v>5127</v>
      </c>
      <c r="I1189" s="285"/>
      <c r="J1189" s="285"/>
      <c r="K1189" s="15"/>
      <c r="L1189" s="289"/>
      <c r="M1189" s="15"/>
      <c r="N1189" s="24">
        <v>1</v>
      </c>
      <c r="O1189" s="17">
        <v>8383</v>
      </c>
      <c r="P1189" s="17">
        <v>8383</v>
      </c>
      <c r="Q1189" s="17">
        <f t="shared" si="27"/>
        <v>0</v>
      </c>
      <c r="R1189" s="285"/>
      <c r="S1189" s="14"/>
      <c r="T1189" s="285"/>
    </row>
    <row r="1190" spans="1:20" ht="75" customHeight="1" x14ac:dyDescent="0.2">
      <c r="A1190" s="21">
        <v>1206</v>
      </c>
      <c r="B1190" s="289" t="s">
        <v>4373</v>
      </c>
      <c r="C1190" s="285"/>
      <c r="D1190" s="9" t="s">
        <v>4299</v>
      </c>
      <c r="E1190" s="12"/>
      <c r="F1190" s="13" t="s">
        <v>5899</v>
      </c>
      <c r="G1190" s="285" t="s">
        <v>4946</v>
      </c>
      <c r="H1190" s="285" t="s">
        <v>5127</v>
      </c>
      <c r="I1190" s="37"/>
      <c r="J1190" s="37"/>
      <c r="K1190" s="57"/>
      <c r="L1190" s="20"/>
      <c r="M1190" s="57"/>
      <c r="N1190" s="33">
        <v>1</v>
      </c>
      <c r="O1190" s="17">
        <v>5382</v>
      </c>
      <c r="P1190" s="34">
        <v>5382</v>
      </c>
      <c r="Q1190" s="17">
        <f t="shared" si="27"/>
        <v>0</v>
      </c>
      <c r="R1190" s="285"/>
      <c r="S1190" s="14"/>
      <c r="T1190" s="285"/>
    </row>
    <row r="1191" spans="1:20" ht="75" customHeight="1" x14ac:dyDescent="0.2">
      <c r="A1191" s="21">
        <v>1207</v>
      </c>
      <c r="B1191" s="289" t="s">
        <v>4374</v>
      </c>
      <c r="C1191" s="285"/>
      <c r="D1191" s="9" t="s">
        <v>3225</v>
      </c>
      <c r="E1191" s="12"/>
      <c r="F1191" s="13" t="s">
        <v>5900</v>
      </c>
      <c r="G1191" s="285" t="s">
        <v>4946</v>
      </c>
      <c r="H1191" s="285" t="s">
        <v>5127</v>
      </c>
      <c r="I1191" s="37"/>
      <c r="J1191" s="285"/>
      <c r="K1191" s="57"/>
      <c r="L1191" s="20"/>
      <c r="M1191" s="57"/>
      <c r="N1191" s="24">
        <v>1</v>
      </c>
      <c r="O1191" s="17">
        <v>8784.6</v>
      </c>
      <c r="P1191" s="17">
        <v>8784.6</v>
      </c>
      <c r="Q1191" s="17">
        <f t="shared" si="27"/>
        <v>0</v>
      </c>
      <c r="R1191" s="285"/>
      <c r="S1191" s="14"/>
      <c r="T1191" s="285"/>
    </row>
    <row r="1192" spans="1:20" ht="75" customHeight="1" x14ac:dyDescent="0.2">
      <c r="A1192" s="21">
        <v>1208</v>
      </c>
      <c r="B1192" s="289" t="s">
        <v>4375</v>
      </c>
      <c r="C1192" s="285"/>
      <c r="D1192" s="9" t="s">
        <v>2643</v>
      </c>
      <c r="E1192" s="12"/>
      <c r="F1192" s="13" t="s">
        <v>5901</v>
      </c>
      <c r="G1192" s="285" t="s">
        <v>4946</v>
      </c>
      <c r="H1192" s="285" t="s">
        <v>5127</v>
      </c>
      <c r="I1192" s="37"/>
      <c r="J1192" s="37"/>
      <c r="K1192" s="57"/>
      <c r="L1192" s="20"/>
      <c r="M1192" s="57"/>
      <c r="N1192" s="24">
        <v>2</v>
      </c>
      <c r="O1192" s="17">
        <v>8540</v>
      </c>
      <c r="P1192" s="17">
        <v>8540</v>
      </c>
      <c r="Q1192" s="17">
        <f t="shared" si="27"/>
        <v>0</v>
      </c>
      <c r="R1192" s="285"/>
      <c r="S1192" s="14"/>
      <c r="T1192" s="285"/>
    </row>
    <row r="1193" spans="1:20" ht="75" customHeight="1" x14ac:dyDescent="0.2">
      <c r="A1193" s="21">
        <v>1209</v>
      </c>
      <c r="B1193" s="289" t="s">
        <v>3583</v>
      </c>
      <c r="C1193" s="285"/>
      <c r="D1193" s="46" t="s">
        <v>3224</v>
      </c>
      <c r="E1193" s="12"/>
      <c r="F1193" s="47" t="s">
        <v>5194</v>
      </c>
      <c r="G1193" s="285" t="s">
        <v>4946</v>
      </c>
      <c r="H1193" s="285" t="s">
        <v>5127</v>
      </c>
      <c r="I1193" s="37"/>
      <c r="J1193" s="37"/>
      <c r="K1193" s="57"/>
      <c r="L1193" s="20"/>
      <c r="M1193" s="57"/>
      <c r="N1193" s="24">
        <v>1</v>
      </c>
      <c r="O1193" s="17">
        <v>9805.67</v>
      </c>
      <c r="P1193" s="17">
        <v>9805.67</v>
      </c>
      <c r="Q1193" s="17">
        <f t="shared" si="27"/>
        <v>0</v>
      </c>
      <c r="R1193" s="285"/>
      <c r="S1193" s="14"/>
      <c r="T1193" s="285"/>
    </row>
    <row r="1194" spans="1:20" ht="75" customHeight="1" x14ac:dyDescent="0.2">
      <c r="A1194" s="21">
        <v>1210</v>
      </c>
      <c r="B1194" s="289" t="s">
        <v>3584</v>
      </c>
      <c r="C1194" s="285"/>
      <c r="D1194" s="9" t="s">
        <v>1754</v>
      </c>
      <c r="E1194" s="12"/>
      <c r="F1194" s="13" t="s">
        <v>5195</v>
      </c>
      <c r="G1194" s="285" t="s">
        <v>4946</v>
      </c>
      <c r="H1194" s="285" t="s">
        <v>5127</v>
      </c>
      <c r="I1194" s="37"/>
      <c r="J1194" s="37"/>
      <c r="K1194" s="57"/>
      <c r="L1194" s="20"/>
      <c r="M1194" s="57"/>
      <c r="N1194" s="24">
        <v>1</v>
      </c>
      <c r="O1194" s="34">
        <v>3300</v>
      </c>
      <c r="P1194" s="34">
        <v>3300</v>
      </c>
      <c r="Q1194" s="17">
        <f t="shared" si="27"/>
        <v>0</v>
      </c>
      <c r="R1194" s="285"/>
      <c r="S1194" s="14"/>
      <c r="T1194" s="285"/>
    </row>
    <row r="1195" spans="1:20" ht="75" customHeight="1" x14ac:dyDescent="0.2">
      <c r="A1195" s="21">
        <v>1211</v>
      </c>
      <c r="B1195" s="289" t="s">
        <v>5190</v>
      </c>
      <c r="C1195" s="285"/>
      <c r="D1195" s="9" t="s">
        <v>6160</v>
      </c>
      <c r="E1195" s="12"/>
      <c r="F1195" s="13" t="s">
        <v>1799</v>
      </c>
      <c r="G1195" s="285" t="s">
        <v>4946</v>
      </c>
      <c r="H1195" s="285" t="s">
        <v>5127</v>
      </c>
      <c r="I1195" s="37"/>
      <c r="J1195" s="37"/>
      <c r="K1195" s="57"/>
      <c r="L1195" s="20"/>
      <c r="M1195" s="57"/>
      <c r="N1195" s="24">
        <v>1</v>
      </c>
      <c r="O1195" s="34">
        <v>6200</v>
      </c>
      <c r="P1195" s="34">
        <v>6200</v>
      </c>
      <c r="Q1195" s="17">
        <f t="shared" si="27"/>
        <v>0</v>
      </c>
      <c r="R1195" s="285"/>
      <c r="S1195" s="14"/>
      <c r="T1195" s="285"/>
    </row>
    <row r="1196" spans="1:20" ht="75" customHeight="1" x14ac:dyDescent="0.2">
      <c r="A1196" s="21">
        <v>1212</v>
      </c>
      <c r="B1196" s="289" t="s">
        <v>5191</v>
      </c>
      <c r="C1196" s="37"/>
      <c r="D1196" s="9" t="s">
        <v>6159</v>
      </c>
      <c r="E1196" s="12"/>
      <c r="F1196" s="55" t="s">
        <v>1669</v>
      </c>
      <c r="G1196" s="285" t="s">
        <v>4946</v>
      </c>
      <c r="H1196" s="285" t="s">
        <v>5127</v>
      </c>
      <c r="I1196" s="285"/>
      <c r="J1196" s="285"/>
      <c r="K1196" s="15"/>
      <c r="L1196" s="289"/>
      <c r="M1196" s="15"/>
      <c r="N1196" s="33">
        <v>1</v>
      </c>
      <c r="O1196" s="34">
        <v>5000</v>
      </c>
      <c r="P1196" s="34">
        <v>5000</v>
      </c>
      <c r="Q1196" s="17">
        <f t="shared" si="27"/>
        <v>0</v>
      </c>
      <c r="R1196" s="285"/>
      <c r="S1196" s="14"/>
      <c r="T1196" s="285"/>
    </row>
    <row r="1197" spans="1:20" ht="75" customHeight="1" x14ac:dyDescent="0.2">
      <c r="A1197" s="21">
        <v>1213</v>
      </c>
      <c r="B1197" s="289" t="s">
        <v>5192</v>
      </c>
      <c r="C1197" s="285" t="s">
        <v>5274</v>
      </c>
      <c r="D1197" s="9" t="s">
        <v>3730</v>
      </c>
      <c r="E1197" s="12"/>
      <c r="F1197" s="13" t="s">
        <v>4293</v>
      </c>
      <c r="G1197" s="285" t="s">
        <v>4946</v>
      </c>
      <c r="H1197" s="285" t="s">
        <v>5127</v>
      </c>
      <c r="I1197" s="285"/>
      <c r="J1197" s="285"/>
      <c r="K1197" s="15"/>
      <c r="L1197" s="289"/>
      <c r="M1197" s="15"/>
      <c r="N1197" s="24">
        <v>1</v>
      </c>
      <c r="O1197" s="17">
        <v>4500</v>
      </c>
      <c r="P1197" s="17">
        <v>4500</v>
      </c>
      <c r="Q1197" s="17">
        <f t="shared" si="27"/>
        <v>0</v>
      </c>
      <c r="R1197" s="285"/>
      <c r="S1197" s="14"/>
      <c r="T1197" s="285"/>
    </row>
    <row r="1198" spans="1:20" ht="75" customHeight="1" x14ac:dyDescent="0.2">
      <c r="A1198" s="21">
        <v>1214</v>
      </c>
      <c r="B1198" s="289" t="s">
        <v>5193</v>
      </c>
      <c r="C1198" s="285"/>
      <c r="D1198" s="9" t="s">
        <v>4509</v>
      </c>
      <c r="E1198" s="12"/>
      <c r="F1198" s="13" t="s">
        <v>4583</v>
      </c>
      <c r="G1198" s="285" t="s">
        <v>4946</v>
      </c>
      <c r="H1198" s="285" t="s">
        <v>5127</v>
      </c>
      <c r="I1198" s="285"/>
      <c r="J1198" s="285"/>
      <c r="K1198" s="15"/>
      <c r="L1198" s="289"/>
      <c r="M1198" s="15"/>
      <c r="N1198" s="24">
        <v>1</v>
      </c>
      <c r="O1198" s="17">
        <v>5000</v>
      </c>
      <c r="P1198" s="17">
        <v>5000</v>
      </c>
      <c r="Q1198" s="17">
        <f t="shared" si="27"/>
        <v>0</v>
      </c>
      <c r="R1198" s="285"/>
      <c r="S1198" s="14"/>
      <c r="T1198" s="285"/>
    </row>
    <row r="1199" spans="1:20" ht="75" customHeight="1" x14ac:dyDescent="0.2">
      <c r="A1199" s="21">
        <v>1215</v>
      </c>
      <c r="B1199" s="289" t="s">
        <v>5211</v>
      </c>
      <c r="C1199" s="285"/>
      <c r="D1199" s="9" t="s">
        <v>2523</v>
      </c>
      <c r="E1199" s="12"/>
      <c r="F1199" s="13" t="s">
        <v>6606</v>
      </c>
      <c r="G1199" s="37" t="s">
        <v>2074</v>
      </c>
      <c r="H1199" s="49" t="s">
        <v>5127</v>
      </c>
      <c r="I1199" s="285"/>
      <c r="J1199" s="285" t="s">
        <v>3136</v>
      </c>
      <c r="K1199" s="15">
        <v>39444</v>
      </c>
      <c r="L1199" s="289">
        <v>935</v>
      </c>
      <c r="M1199" s="15">
        <v>39444</v>
      </c>
      <c r="N1199" s="24">
        <v>1</v>
      </c>
      <c r="O1199" s="17">
        <v>3420.82</v>
      </c>
      <c r="P1199" s="17">
        <v>3420.82</v>
      </c>
      <c r="Q1199" s="17">
        <f t="shared" si="27"/>
        <v>0</v>
      </c>
      <c r="R1199" s="285"/>
      <c r="S1199" s="14"/>
      <c r="T1199" s="285"/>
    </row>
    <row r="1200" spans="1:20" ht="57" customHeight="1" x14ac:dyDescent="0.2">
      <c r="A1200" s="21">
        <v>1216</v>
      </c>
      <c r="B1200" s="289" t="s">
        <v>5212</v>
      </c>
      <c r="C1200" s="285" t="s">
        <v>5274</v>
      </c>
      <c r="D1200" s="9" t="s">
        <v>1423</v>
      </c>
      <c r="E1200" s="12"/>
      <c r="F1200" s="13" t="s">
        <v>6607</v>
      </c>
      <c r="G1200" s="37" t="s">
        <v>2074</v>
      </c>
      <c r="H1200" s="49" t="s">
        <v>5127</v>
      </c>
      <c r="I1200" s="285"/>
      <c r="J1200" s="285"/>
      <c r="K1200" s="15"/>
      <c r="L1200" s="289"/>
      <c r="M1200" s="15"/>
      <c r="N1200" s="24">
        <v>1</v>
      </c>
      <c r="O1200" s="17">
        <v>3633</v>
      </c>
      <c r="P1200" s="17">
        <v>3633</v>
      </c>
      <c r="Q1200" s="17">
        <f t="shared" si="27"/>
        <v>0</v>
      </c>
      <c r="R1200" s="285"/>
      <c r="S1200" s="14"/>
      <c r="T1200" s="285"/>
    </row>
    <row r="1201" spans="1:20" ht="54.75" customHeight="1" x14ac:dyDescent="0.2">
      <c r="A1201" s="21">
        <v>1217</v>
      </c>
      <c r="B1201" s="289" t="s">
        <v>5213</v>
      </c>
      <c r="C1201" s="285"/>
      <c r="D1201" s="9" t="s">
        <v>1424</v>
      </c>
      <c r="E1201" s="12"/>
      <c r="F1201" s="13" t="s">
        <v>6608</v>
      </c>
      <c r="G1201" s="37" t="s">
        <v>2074</v>
      </c>
      <c r="H1201" s="49" t="s">
        <v>5127</v>
      </c>
      <c r="I1201" s="285"/>
      <c r="J1201" s="285"/>
      <c r="K1201" s="15"/>
      <c r="L1201" s="289"/>
      <c r="M1201" s="15"/>
      <c r="N1201" s="24">
        <v>1</v>
      </c>
      <c r="O1201" s="17">
        <v>5761</v>
      </c>
      <c r="P1201" s="17">
        <v>5761</v>
      </c>
      <c r="Q1201" s="17">
        <f t="shared" si="27"/>
        <v>0</v>
      </c>
      <c r="R1201" s="285"/>
      <c r="S1201" s="14"/>
      <c r="T1201" s="285"/>
    </row>
    <row r="1202" spans="1:20" ht="60.75" customHeight="1" x14ac:dyDescent="0.2">
      <c r="A1202" s="21">
        <v>1218</v>
      </c>
      <c r="B1202" s="289" t="s">
        <v>5214</v>
      </c>
      <c r="C1202" s="285"/>
      <c r="D1202" s="9" t="s">
        <v>6609</v>
      </c>
      <c r="E1202" s="12"/>
      <c r="F1202" s="13" t="s">
        <v>6610</v>
      </c>
      <c r="G1202" s="37" t="s">
        <v>2074</v>
      </c>
      <c r="H1202" s="49" t="s">
        <v>5127</v>
      </c>
      <c r="I1202" s="285"/>
      <c r="J1202" s="285"/>
      <c r="K1202" s="15"/>
      <c r="L1202" s="289"/>
      <c r="M1202" s="15"/>
      <c r="N1202" s="24">
        <v>1</v>
      </c>
      <c r="O1202" s="17">
        <v>5000</v>
      </c>
      <c r="P1202" s="17">
        <v>5000</v>
      </c>
      <c r="Q1202" s="17">
        <f t="shared" si="27"/>
        <v>0</v>
      </c>
      <c r="R1202" s="285"/>
      <c r="S1202" s="14"/>
      <c r="T1202" s="285"/>
    </row>
    <row r="1203" spans="1:20" ht="52.5" customHeight="1" x14ac:dyDescent="0.2">
      <c r="A1203" s="21">
        <v>1219</v>
      </c>
      <c r="B1203" s="289" t="s">
        <v>5215</v>
      </c>
      <c r="C1203" s="285"/>
      <c r="D1203" s="9" t="s">
        <v>6612</v>
      </c>
      <c r="E1203" s="12"/>
      <c r="F1203" s="13" t="s">
        <v>6611</v>
      </c>
      <c r="G1203" s="37" t="s">
        <v>2074</v>
      </c>
      <c r="H1203" s="49" t="s">
        <v>5127</v>
      </c>
      <c r="I1203" s="285"/>
      <c r="J1203" s="285"/>
      <c r="K1203" s="15"/>
      <c r="L1203" s="289"/>
      <c r="M1203" s="15"/>
      <c r="N1203" s="24">
        <v>1</v>
      </c>
      <c r="O1203" s="17">
        <v>8000</v>
      </c>
      <c r="P1203" s="17">
        <v>8000</v>
      </c>
      <c r="Q1203" s="17">
        <f t="shared" si="27"/>
        <v>0</v>
      </c>
      <c r="R1203" s="285"/>
      <c r="S1203" s="14"/>
      <c r="T1203" s="285"/>
    </row>
    <row r="1204" spans="1:20" ht="57" customHeight="1" x14ac:dyDescent="0.2">
      <c r="A1204" s="21">
        <v>1220</v>
      </c>
      <c r="B1204" s="289" t="s">
        <v>5216</v>
      </c>
      <c r="C1204" s="49"/>
      <c r="D1204" s="46" t="s">
        <v>6613</v>
      </c>
      <c r="E1204" s="12"/>
      <c r="F1204" s="47" t="s">
        <v>6614</v>
      </c>
      <c r="G1204" s="37" t="s">
        <v>2074</v>
      </c>
      <c r="H1204" s="49" t="s">
        <v>5127</v>
      </c>
      <c r="I1204" s="285"/>
      <c r="J1204" s="285"/>
      <c r="K1204" s="289"/>
      <c r="L1204" s="289"/>
      <c r="M1204" s="18"/>
      <c r="N1204" s="52">
        <v>1</v>
      </c>
      <c r="O1204" s="48">
        <v>7004</v>
      </c>
      <c r="P1204" s="48">
        <v>7004</v>
      </c>
      <c r="Q1204" s="17">
        <f t="shared" si="27"/>
        <v>0</v>
      </c>
      <c r="R1204" s="285"/>
      <c r="S1204" s="14"/>
      <c r="T1204" s="285"/>
    </row>
    <row r="1205" spans="1:20" ht="57" customHeight="1" x14ac:dyDescent="0.2">
      <c r="A1205" s="21">
        <v>1221</v>
      </c>
      <c r="B1205" s="289" t="s">
        <v>5239</v>
      </c>
      <c r="C1205" s="49"/>
      <c r="D1205" s="9" t="s">
        <v>1739</v>
      </c>
      <c r="E1205" s="12"/>
      <c r="F1205" s="47"/>
      <c r="G1205" s="37" t="s">
        <v>4296</v>
      </c>
      <c r="H1205" s="49" t="s">
        <v>3793</v>
      </c>
      <c r="I1205" s="285"/>
      <c r="J1205" s="285" t="s">
        <v>3136</v>
      </c>
      <c r="K1205" s="14">
        <v>41079</v>
      </c>
      <c r="L1205" s="289">
        <v>592</v>
      </c>
      <c r="M1205" s="15"/>
      <c r="N1205" s="40">
        <v>1</v>
      </c>
      <c r="O1205" s="40">
        <v>60</v>
      </c>
      <c r="P1205" s="40">
        <v>60</v>
      </c>
      <c r="Q1205" s="17">
        <f t="shared" si="27"/>
        <v>0</v>
      </c>
      <c r="R1205" s="285"/>
      <c r="S1205" s="14"/>
      <c r="T1205" s="285"/>
    </row>
    <row r="1206" spans="1:20" ht="51.75" customHeight="1" x14ac:dyDescent="0.2">
      <c r="A1206" s="21">
        <v>1222</v>
      </c>
      <c r="B1206" s="289" t="s">
        <v>4201</v>
      </c>
      <c r="C1206" s="49"/>
      <c r="D1206" s="258" t="s">
        <v>2975</v>
      </c>
      <c r="E1206" s="12"/>
      <c r="F1206" s="47"/>
      <c r="G1206" s="37" t="s">
        <v>4296</v>
      </c>
      <c r="H1206" s="49" t="s">
        <v>3793</v>
      </c>
      <c r="I1206" s="285"/>
      <c r="J1206" s="285" t="s">
        <v>3136</v>
      </c>
      <c r="K1206" s="14">
        <v>41079</v>
      </c>
      <c r="L1206" s="289">
        <v>592</v>
      </c>
      <c r="M1206" s="15"/>
      <c r="N1206" s="24">
        <v>1</v>
      </c>
      <c r="O1206" s="259">
        <v>664.89</v>
      </c>
      <c r="P1206" s="259">
        <v>664.89</v>
      </c>
      <c r="Q1206" s="17">
        <f t="shared" si="27"/>
        <v>0</v>
      </c>
      <c r="R1206" s="285"/>
      <c r="S1206" s="14"/>
      <c r="T1206" s="285"/>
    </row>
    <row r="1207" spans="1:20" ht="51.75" customHeight="1" x14ac:dyDescent="0.2">
      <c r="A1207" s="21">
        <v>1223</v>
      </c>
      <c r="B1207" s="289" t="s">
        <v>3344</v>
      </c>
      <c r="C1207" s="285"/>
      <c r="D1207" s="258" t="s">
        <v>1623</v>
      </c>
      <c r="E1207" s="12"/>
      <c r="F1207" s="47" t="s">
        <v>1624</v>
      </c>
      <c r="G1207" s="37" t="s">
        <v>4296</v>
      </c>
      <c r="H1207" s="49" t="s">
        <v>3793</v>
      </c>
      <c r="I1207" s="285"/>
      <c r="J1207" s="285" t="s">
        <v>3136</v>
      </c>
      <c r="K1207" s="14">
        <v>41079</v>
      </c>
      <c r="L1207" s="289">
        <v>592</v>
      </c>
      <c r="M1207" s="15"/>
      <c r="N1207" s="24">
        <v>1</v>
      </c>
      <c r="O1207" s="63">
        <v>4423.22</v>
      </c>
      <c r="P1207" s="63">
        <v>4423.22</v>
      </c>
      <c r="Q1207" s="17">
        <f t="shared" si="27"/>
        <v>0</v>
      </c>
      <c r="R1207" s="285"/>
      <c r="S1207" s="14"/>
      <c r="T1207" s="285"/>
    </row>
    <row r="1208" spans="1:20" ht="59.25" customHeight="1" x14ac:dyDescent="0.2">
      <c r="A1208" s="21">
        <v>1224</v>
      </c>
      <c r="B1208" s="289" t="s">
        <v>4769</v>
      </c>
      <c r="C1208" s="285"/>
      <c r="D1208" s="258" t="s">
        <v>4772</v>
      </c>
      <c r="E1208" s="12"/>
      <c r="F1208" s="13" t="s">
        <v>4771</v>
      </c>
      <c r="G1208" s="260" t="s">
        <v>101</v>
      </c>
      <c r="H1208" s="49" t="s">
        <v>5127</v>
      </c>
      <c r="I1208" s="37"/>
      <c r="J1208" s="285" t="s">
        <v>3136</v>
      </c>
      <c r="K1208" s="15">
        <v>42118</v>
      </c>
      <c r="L1208" s="12" t="s">
        <v>5342</v>
      </c>
      <c r="M1208" s="15">
        <v>42096</v>
      </c>
      <c r="N1208" s="24">
        <v>1</v>
      </c>
      <c r="O1208" s="63">
        <v>29500</v>
      </c>
      <c r="P1208" s="63">
        <v>29500</v>
      </c>
      <c r="Q1208" s="17">
        <f t="shared" si="27"/>
        <v>0</v>
      </c>
      <c r="R1208" s="285" t="s">
        <v>3418</v>
      </c>
      <c r="S1208" s="14">
        <v>42096</v>
      </c>
      <c r="T1208" s="285">
        <v>3120152050</v>
      </c>
    </row>
    <row r="1209" spans="1:20" ht="59.25" customHeight="1" x14ac:dyDescent="0.2">
      <c r="A1209" s="21">
        <v>1225</v>
      </c>
      <c r="B1209" s="289" t="s">
        <v>4770</v>
      </c>
      <c r="C1209" s="18"/>
      <c r="D1209" s="46" t="s">
        <v>4773</v>
      </c>
      <c r="E1209" s="64"/>
      <c r="F1209" s="46" t="s">
        <v>4774</v>
      </c>
      <c r="G1209" s="260" t="s">
        <v>101</v>
      </c>
      <c r="H1209" s="49" t="s">
        <v>5127</v>
      </c>
      <c r="I1209" s="59"/>
      <c r="J1209" s="285" t="s">
        <v>3136</v>
      </c>
      <c r="K1209" s="15">
        <v>42118</v>
      </c>
      <c r="L1209" s="12" t="s">
        <v>5342</v>
      </c>
      <c r="M1209" s="15">
        <v>42096</v>
      </c>
      <c r="N1209" s="52">
        <v>1</v>
      </c>
      <c r="O1209" s="261">
        <v>23520</v>
      </c>
      <c r="P1209" s="261">
        <v>23520</v>
      </c>
      <c r="Q1209" s="17">
        <f t="shared" si="27"/>
        <v>0</v>
      </c>
      <c r="R1209" s="285" t="s">
        <v>3418</v>
      </c>
      <c r="S1209" s="14">
        <v>42096</v>
      </c>
      <c r="T1209" s="285">
        <v>3120152050</v>
      </c>
    </row>
    <row r="1210" spans="1:20" ht="46.5" customHeight="1" x14ac:dyDescent="0.2">
      <c r="A1210" s="21">
        <v>1226</v>
      </c>
      <c r="B1210" s="30" t="s">
        <v>4726</v>
      </c>
      <c r="C1210" s="18"/>
      <c r="D1210" s="9" t="s">
        <v>4727</v>
      </c>
      <c r="E1210" s="64"/>
      <c r="F1210" s="9" t="s">
        <v>4728</v>
      </c>
      <c r="G1210" s="56" t="s">
        <v>101</v>
      </c>
      <c r="H1210" s="49" t="s">
        <v>5127</v>
      </c>
      <c r="I1210" s="59"/>
      <c r="J1210" s="37" t="s">
        <v>3136</v>
      </c>
      <c r="K1210" s="57">
        <v>42138</v>
      </c>
      <c r="L1210" s="60" t="s">
        <v>4729</v>
      </c>
      <c r="M1210" s="15">
        <v>42110</v>
      </c>
      <c r="N1210" s="24">
        <v>1</v>
      </c>
      <c r="O1210" s="63">
        <v>4200</v>
      </c>
      <c r="P1210" s="63">
        <v>4200</v>
      </c>
      <c r="Q1210" s="17">
        <f t="shared" si="27"/>
        <v>0</v>
      </c>
      <c r="R1210" s="285" t="s">
        <v>3418</v>
      </c>
      <c r="S1210" s="14">
        <v>42110</v>
      </c>
      <c r="T1210" s="285">
        <v>3120152065</v>
      </c>
    </row>
    <row r="1211" spans="1:20" ht="54" customHeight="1" x14ac:dyDescent="0.2">
      <c r="A1211" s="21">
        <v>1227</v>
      </c>
      <c r="B1211" s="30" t="s">
        <v>4730</v>
      </c>
      <c r="C1211" s="18"/>
      <c r="D1211" s="54" t="s">
        <v>4733</v>
      </c>
      <c r="E1211" s="15">
        <v>42089</v>
      </c>
      <c r="F1211" s="54"/>
      <c r="G1211" s="285" t="s">
        <v>7981</v>
      </c>
      <c r="H1211" s="49" t="s">
        <v>5127</v>
      </c>
      <c r="I1211" s="59"/>
      <c r="J1211" s="37" t="s">
        <v>3136</v>
      </c>
      <c r="K1211" s="57">
        <v>42177</v>
      </c>
      <c r="L1211" s="60" t="s">
        <v>1252</v>
      </c>
      <c r="M1211" s="57">
        <v>42089</v>
      </c>
      <c r="N1211" s="33">
        <v>11</v>
      </c>
      <c r="O1211" s="61">
        <v>11</v>
      </c>
      <c r="P1211" s="61">
        <v>11</v>
      </c>
      <c r="Q1211" s="17">
        <f t="shared" si="27"/>
        <v>0</v>
      </c>
      <c r="R1211" s="285" t="s">
        <v>5303</v>
      </c>
      <c r="S1211" s="14" t="s">
        <v>4735</v>
      </c>
      <c r="T1211" s="285" t="s">
        <v>4736</v>
      </c>
    </row>
    <row r="1212" spans="1:20" ht="54" customHeight="1" x14ac:dyDescent="0.2">
      <c r="A1212" s="21">
        <v>1228</v>
      </c>
      <c r="B1212" s="289" t="s">
        <v>4731</v>
      </c>
      <c r="C1212" s="18"/>
      <c r="D1212" s="9" t="s">
        <v>4734</v>
      </c>
      <c r="E1212" s="15">
        <v>42089</v>
      </c>
      <c r="F1212" s="9"/>
      <c r="G1212" s="285" t="s">
        <v>7981</v>
      </c>
      <c r="H1212" s="49" t="s">
        <v>5127</v>
      </c>
      <c r="I1212" s="59"/>
      <c r="J1212" s="37" t="s">
        <v>3136</v>
      </c>
      <c r="K1212" s="57">
        <v>42177</v>
      </c>
      <c r="L1212" s="60" t="s">
        <v>1252</v>
      </c>
      <c r="M1212" s="57">
        <v>42089</v>
      </c>
      <c r="N1212" s="24">
        <v>22</v>
      </c>
      <c r="O1212" s="63">
        <v>22</v>
      </c>
      <c r="P1212" s="63">
        <v>22</v>
      </c>
      <c r="Q1212" s="17">
        <f t="shared" si="27"/>
        <v>0</v>
      </c>
      <c r="R1212" s="285" t="s">
        <v>5303</v>
      </c>
      <c r="S1212" s="14" t="s">
        <v>4735</v>
      </c>
      <c r="T1212" s="285" t="s">
        <v>4736</v>
      </c>
    </row>
    <row r="1213" spans="1:20" ht="97.5" customHeight="1" x14ac:dyDescent="0.2">
      <c r="A1213" s="21">
        <v>1229</v>
      </c>
      <c r="B1213" s="289" t="s">
        <v>4732</v>
      </c>
      <c r="C1213" s="18"/>
      <c r="D1213" s="9" t="s">
        <v>1151</v>
      </c>
      <c r="E1213" s="15">
        <v>42089</v>
      </c>
      <c r="F1213" s="9" t="s">
        <v>10142</v>
      </c>
      <c r="G1213" s="285" t="s">
        <v>7981</v>
      </c>
      <c r="H1213" s="49" t="s">
        <v>5127</v>
      </c>
      <c r="I1213" s="18"/>
      <c r="J1213" s="285" t="s">
        <v>3136</v>
      </c>
      <c r="K1213" s="15">
        <v>42177</v>
      </c>
      <c r="L1213" s="12" t="s">
        <v>1252</v>
      </c>
      <c r="M1213" s="15">
        <v>42089</v>
      </c>
      <c r="N1213" s="24">
        <v>34</v>
      </c>
      <c r="O1213" s="63">
        <v>34</v>
      </c>
      <c r="P1213" s="63">
        <v>34</v>
      </c>
      <c r="Q1213" s="17">
        <f t="shared" si="27"/>
        <v>0</v>
      </c>
      <c r="R1213" s="285" t="s">
        <v>5303</v>
      </c>
      <c r="S1213" s="14" t="s">
        <v>4735</v>
      </c>
      <c r="T1213" s="285" t="s">
        <v>4736</v>
      </c>
    </row>
    <row r="1214" spans="1:20" ht="97.5" customHeight="1" x14ac:dyDescent="0.2">
      <c r="A1214" s="21">
        <v>1230</v>
      </c>
      <c r="B1214" s="289" t="s">
        <v>4737</v>
      </c>
      <c r="C1214" s="18"/>
      <c r="D1214" s="9" t="s">
        <v>102</v>
      </c>
      <c r="E1214" s="289">
        <v>2013</v>
      </c>
      <c r="F1214" s="9" t="s">
        <v>103</v>
      </c>
      <c r="G1214" s="285" t="s">
        <v>7983</v>
      </c>
      <c r="H1214" s="49" t="s">
        <v>5127</v>
      </c>
      <c r="I1214" s="18"/>
      <c r="J1214" s="285" t="s">
        <v>3136</v>
      </c>
      <c r="K1214" s="15">
        <v>42150</v>
      </c>
      <c r="L1214" s="12" t="s">
        <v>104</v>
      </c>
      <c r="M1214" s="15">
        <v>42136</v>
      </c>
      <c r="N1214" s="24">
        <v>1</v>
      </c>
      <c r="O1214" s="63">
        <v>15620</v>
      </c>
      <c r="P1214" s="63">
        <v>15620</v>
      </c>
      <c r="Q1214" s="17">
        <f t="shared" si="27"/>
        <v>0</v>
      </c>
      <c r="R1214" s="285"/>
      <c r="S1214" s="14"/>
      <c r="T1214" s="285"/>
    </row>
    <row r="1215" spans="1:20" ht="98.25" customHeight="1" x14ac:dyDescent="0.2">
      <c r="A1215" s="21">
        <v>1231</v>
      </c>
      <c r="B1215" s="289" t="s">
        <v>4738</v>
      </c>
      <c r="C1215" s="18"/>
      <c r="D1215" s="9" t="s">
        <v>338</v>
      </c>
      <c r="E1215" s="289">
        <v>2013</v>
      </c>
      <c r="F1215" s="9" t="s">
        <v>339</v>
      </c>
      <c r="G1215" s="285" t="s">
        <v>7983</v>
      </c>
      <c r="H1215" s="49" t="s">
        <v>5127</v>
      </c>
      <c r="I1215" s="18"/>
      <c r="J1215" s="285" t="s">
        <v>3136</v>
      </c>
      <c r="K1215" s="15">
        <v>42150</v>
      </c>
      <c r="L1215" s="12" t="s">
        <v>104</v>
      </c>
      <c r="M1215" s="15">
        <v>41442</v>
      </c>
      <c r="N1215" s="24">
        <v>1</v>
      </c>
      <c r="O1215" s="63">
        <v>16280</v>
      </c>
      <c r="P1215" s="63">
        <v>16280</v>
      </c>
      <c r="Q1215" s="17">
        <f t="shared" si="27"/>
        <v>0</v>
      </c>
      <c r="R1215" s="285"/>
      <c r="S1215" s="14"/>
      <c r="T1215" s="285"/>
    </row>
    <row r="1216" spans="1:20" ht="98.25" customHeight="1" x14ac:dyDescent="0.2">
      <c r="A1216" s="21">
        <v>1232</v>
      </c>
      <c r="B1216" s="30" t="s">
        <v>4739</v>
      </c>
      <c r="C1216" s="50"/>
      <c r="D1216" s="9" t="s">
        <v>340</v>
      </c>
      <c r="E1216" s="30">
        <v>2012</v>
      </c>
      <c r="F1216" s="9" t="s">
        <v>341</v>
      </c>
      <c r="G1216" s="285" t="s">
        <v>7983</v>
      </c>
      <c r="H1216" s="49" t="s">
        <v>5127</v>
      </c>
      <c r="I1216" s="50"/>
      <c r="J1216" s="49" t="s">
        <v>3136</v>
      </c>
      <c r="K1216" s="51">
        <v>42150</v>
      </c>
      <c r="L1216" s="42" t="s">
        <v>104</v>
      </c>
      <c r="M1216" s="51">
        <v>41442</v>
      </c>
      <c r="N1216" s="24">
        <v>1</v>
      </c>
      <c r="O1216" s="63">
        <v>145064.5</v>
      </c>
      <c r="P1216" s="63">
        <v>145064.5</v>
      </c>
      <c r="Q1216" s="17">
        <f t="shared" si="27"/>
        <v>0</v>
      </c>
      <c r="R1216" s="49"/>
      <c r="S1216" s="53"/>
      <c r="T1216" s="49"/>
    </row>
    <row r="1217" spans="1:20" ht="98.25" customHeight="1" x14ac:dyDescent="0.2">
      <c r="A1217" s="21">
        <v>1233</v>
      </c>
      <c r="B1217" s="30" t="s">
        <v>4740</v>
      </c>
      <c r="C1217" s="18"/>
      <c r="D1217" s="9" t="s">
        <v>342</v>
      </c>
      <c r="E1217" s="289">
        <v>2013</v>
      </c>
      <c r="F1217" s="9" t="s">
        <v>343</v>
      </c>
      <c r="G1217" s="285" t="s">
        <v>7983</v>
      </c>
      <c r="H1217" s="49" t="s">
        <v>5127</v>
      </c>
      <c r="I1217" s="18"/>
      <c r="J1217" s="285" t="s">
        <v>3136</v>
      </c>
      <c r="K1217" s="15">
        <v>42150</v>
      </c>
      <c r="L1217" s="12" t="s">
        <v>104</v>
      </c>
      <c r="M1217" s="15">
        <v>41390</v>
      </c>
      <c r="N1217" s="24">
        <v>1</v>
      </c>
      <c r="O1217" s="63">
        <v>23000</v>
      </c>
      <c r="P1217" s="63">
        <v>23000</v>
      </c>
      <c r="Q1217" s="17">
        <f t="shared" ref="Q1217:Q1246" si="28">O1217-P1217</f>
        <v>0</v>
      </c>
      <c r="R1217" s="285"/>
      <c r="S1217" s="14"/>
      <c r="T1217" s="285"/>
    </row>
    <row r="1218" spans="1:20" ht="99.75" customHeight="1" x14ac:dyDescent="0.2">
      <c r="A1218" s="21">
        <v>1234</v>
      </c>
      <c r="B1218" s="30" t="s">
        <v>4741</v>
      </c>
      <c r="C1218" s="18"/>
      <c r="D1218" s="9" t="s">
        <v>344</v>
      </c>
      <c r="E1218" s="289">
        <v>2011</v>
      </c>
      <c r="F1218" s="9" t="s">
        <v>345</v>
      </c>
      <c r="G1218" s="285" t="s">
        <v>7983</v>
      </c>
      <c r="H1218" s="49" t="s">
        <v>5127</v>
      </c>
      <c r="I1218" s="18"/>
      <c r="J1218" s="285" t="s">
        <v>3136</v>
      </c>
      <c r="K1218" s="15">
        <v>42150</v>
      </c>
      <c r="L1218" s="12" t="s">
        <v>104</v>
      </c>
      <c r="M1218" s="15">
        <v>40819</v>
      </c>
      <c r="N1218" s="24">
        <v>1</v>
      </c>
      <c r="O1218" s="63">
        <v>4564</v>
      </c>
      <c r="P1218" s="63">
        <v>4564</v>
      </c>
      <c r="Q1218" s="17">
        <f t="shared" si="28"/>
        <v>0</v>
      </c>
      <c r="R1218" s="285"/>
      <c r="S1218" s="14"/>
      <c r="T1218" s="285"/>
    </row>
    <row r="1219" spans="1:20" ht="61.5" customHeight="1" x14ac:dyDescent="0.2">
      <c r="A1219" s="21">
        <v>1235</v>
      </c>
      <c r="B1219" s="30" t="s">
        <v>4742</v>
      </c>
      <c r="C1219" s="50"/>
      <c r="D1219" s="9" t="s">
        <v>346</v>
      </c>
      <c r="E1219" s="30">
        <v>2011</v>
      </c>
      <c r="F1219" s="9" t="s">
        <v>347</v>
      </c>
      <c r="G1219" s="285" t="s">
        <v>7983</v>
      </c>
      <c r="H1219" s="285" t="s">
        <v>5127</v>
      </c>
      <c r="I1219" s="18"/>
      <c r="J1219" s="285" t="s">
        <v>3136</v>
      </c>
      <c r="K1219" s="15">
        <v>42150</v>
      </c>
      <c r="L1219" s="12" t="s">
        <v>104</v>
      </c>
      <c r="M1219" s="15">
        <v>40616</v>
      </c>
      <c r="N1219" s="24">
        <v>1</v>
      </c>
      <c r="O1219" s="63">
        <v>6633</v>
      </c>
      <c r="P1219" s="63">
        <v>6633</v>
      </c>
      <c r="Q1219" s="17">
        <f t="shared" si="28"/>
        <v>0</v>
      </c>
      <c r="R1219" s="49"/>
      <c r="S1219" s="53"/>
      <c r="T1219" s="49"/>
    </row>
    <row r="1220" spans="1:20" ht="61.5" customHeight="1" x14ac:dyDescent="0.2">
      <c r="A1220" s="21">
        <v>1236</v>
      </c>
      <c r="B1220" s="30" t="s">
        <v>4743</v>
      </c>
      <c r="C1220" s="18"/>
      <c r="D1220" s="54" t="s">
        <v>348</v>
      </c>
      <c r="E1220" s="289">
        <v>2009</v>
      </c>
      <c r="F1220" s="9" t="s">
        <v>2675</v>
      </c>
      <c r="G1220" s="285" t="s">
        <v>7983</v>
      </c>
      <c r="H1220" s="285" t="s">
        <v>5127</v>
      </c>
      <c r="I1220" s="59"/>
      <c r="J1220" s="285" t="s">
        <v>3136</v>
      </c>
      <c r="K1220" s="15">
        <v>42150</v>
      </c>
      <c r="L1220" s="12" t="s">
        <v>104</v>
      </c>
      <c r="M1220" s="57">
        <v>40169</v>
      </c>
      <c r="N1220" s="33">
        <v>1</v>
      </c>
      <c r="O1220" s="61">
        <v>18112</v>
      </c>
      <c r="P1220" s="61">
        <v>18112</v>
      </c>
      <c r="Q1220" s="17">
        <f t="shared" si="28"/>
        <v>0</v>
      </c>
      <c r="R1220" s="285"/>
      <c r="S1220" s="14"/>
      <c r="T1220" s="285"/>
    </row>
    <row r="1221" spans="1:20" ht="59.25" customHeight="1" x14ac:dyDescent="0.2">
      <c r="A1221" s="21">
        <v>1237</v>
      </c>
      <c r="B1221" s="30" t="s">
        <v>4744</v>
      </c>
      <c r="C1221" s="18"/>
      <c r="D1221" s="9" t="s">
        <v>2676</v>
      </c>
      <c r="E1221" s="289">
        <v>2009</v>
      </c>
      <c r="F1221" s="9" t="s">
        <v>2677</v>
      </c>
      <c r="G1221" s="285" t="s">
        <v>7983</v>
      </c>
      <c r="H1221" s="285" t="s">
        <v>5127</v>
      </c>
      <c r="I1221" s="59"/>
      <c r="J1221" s="285" t="s">
        <v>3136</v>
      </c>
      <c r="K1221" s="15">
        <v>42150</v>
      </c>
      <c r="L1221" s="12" t="s">
        <v>104</v>
      </c>
      <c r="M1221" s="57">
        <v>40169</v>
      </c>
      <c r="N1221" s="24">
        <v>1</v>
      </c>
      <c r="O1221" s="63">
        <v>5400</v>
      </c>
      <c r="P1221" s="63">
        <v>5400</v>
      </c>
      <c r="Q1221" s="17">
        <f t="shared" si="28"/>
        <v>0</v>
      </c>
      <c r="R1221" s="285"/>
      <c r="S1221" s="14"/>
      <c r="T1221" s="285"/>
    </row>
    <row r="1222" spans="1:20" ht="59.25" customHeight="1" x14ac:dyDescent="0.2">
      <c r="A1222" s="21">
        <v>1238</v>
      </c>
      <c r="B1222" s="30" t="s">
        <v>4745</v>
      </c>
      <c r="C1222" s="18"/>
      <c r="D1222" s="9" t="s">
        <v>2678</v>
      </c>
      <c r="E1222" s="289">
        <v>2009</v>
      </c>
      <c r="F1222" s="9" t="s">
        <v>2679</v>
      </c>
      <c r="G1222" s="285" t="s">
        <v>7983</v>
      </c>
      <c r="H1222" s="285" t="s">
        <v>5127</v>
      </c>
      <c r="I1222" s="59"/>
      <c r="J1222" s="285" t="s">
        <v>3136</v>
      </c>
      <c r="K1222" s="15">
        <v>42150</v>
      </c>
      <c r="L1222" s="12" t="s">
        <v>104</v>
      </c>
      <c r="M1222" s="57">
        <v>40169</v>
      </c>
      <c r="N1222" s="24">
        <v>1</v>
      </c>
      <c r="O1222" s="63">
        <v>11332</v>
      </c>
      <c r="P1222" s="63">
        <v>11332</v>
      </c>
      <c r="Q1222" s="17">
        <f t="shared" si="28"/>
        <v>0</v>
      </c>
      <c r="R1222" s="285"/>
      <c r="S1222" s="14"/>
      <c r="T1222" s="285"/>
    </row>
    <row r="1223" spans="1:20" ht="60.75" customHeight="1" x14ac:dyDescent="0.2">
      <c r="A1223" s="21">
        <v>1239</v>
      </c>
      <c r="B1223" s="30" t="s">
        <v>4746</v>
      </c>
      <c r="C1223" s="18"/>
      <c r="D1223" s="9" t="s">
        <v>2680</v>
      </c>
      <c r="E1223" s="289">
        <v>2012</v>
      </c>
      <c r="F1223" s="9" t="s">
        <v>2681</v>
      </c>
      <c r="G1223" s="285" t="s">
        <v>7983</v>
      </c>
      <c r="H1223" s="285" t="s">
        <v>5127</v>
      </c>
      <c r="I1223" s="59"/>
      <c r="J1223" s="285" t="s">
        <v>3136</v>
      </c>
      <c r="K1223" s="15">
        <v>42150</v>
      </c>
      <c r="L1223" s="12" t="s">
        <v>104</v>
      </c>
      <c r="M1223" s="57">
        <v>41229</v>
      </c>
      <c r="N1223" s="24">
        <v>1</v>
      </c>
      <c r="O1223" s="63">
        <v>25395</v>
      </c>
      <c r="P1223" s="63">
        <v>25395</v>
      </c>
      <c r="Q1223" s="17">
        <f t="shared" si="28"/>
        <v>0</v>
      </c>
      <c r="R1223" s="285"/>
      <c r="S1223" s="14"/>
      <c r="T1223" s="285"/>
    </row>
    <row r="1224" spans="1:20" ht="60.75" customHeight="1" x14ac:dyDescent="0.2">
      <c r="A1224" s="21">
        <v>1240</v>
      </c>
      <c r="B1224" s="30" t="s">
        <v>4747</v>
      </c>
      <c r="C1224" s="18"/>
      <c r="D1224" s="9" t="s">
        <v>348</v>
      </c>
      <c r="E1224" s="289">
        <v>2011</v>
      </c>
      <c r="F1224" s="9" t="s">
        <v>10685</v>
      </c>
      <c r="G1224" s="285" t="s">
        <v>7983</v>
      </c>
      <c r="H1224" s="285" t="s">
        <v>5127</v>
      </c>
      <c r="I1224" s="59"/>
      <c r="J1224" s="285" t="s">
        <v>3136</v>
      </c>
      <c r="K1224" s="14" t="s">
        <v>10956</v>
      </c>
      <c r="L1224" s="12" t="s">
        <v>10955</v>
      </c>
      <c r="M1224" s="57">
        <v>40900</v>
      </c>
      <c r="N1224" s="24">
        <f>2-1</f>
        <v>1</v>
      </c>
      <c r="O1224" s="63">
        <f>28360-14180</f>
        <v>14180</v>
      </c>
      <c r="P1224" s="63">
        <f>28360-14180</f>
        <v>14180</v>
      </c>
      <c r="Q1224" s="17">
        <f t="shared" si="28"/>
        <v>0</v>
      </c>
      <c r="R1224" s="285"/>
      <c r="S1224" s="14"/>
      <c r="T1224" s="285"/>
    </row>
    <row r="1225" spans="1:20" ht="39.75" customHeight="1" x14ac:dyDescent="0.2">
      <c r="A1225" s="21">
        <v>1242</v>
      </c>
      <c r="B1225" s="30" t="s">
        <v>4788</v>
      </c>
      <c r="C1225" s="18"/>
      <c r="D1225" s="9" t="s">
        <v>2676</v>
      </c>
      <c r="E1225" s="289">
        <v>2009</v>
      </c>
      <c r="F1225" s="9" t="s">
        <v>481</v>
      </c>
      <c r="G1225" s="285" t="s">
        <v>7983</v>
      </c>
      <c r="H1225" s="285" t="s">
        <v>5127</v>
      </c>
      <c r="I1225" s="59"/>
      <c r="J1225" s="285" t="s">
        <v>3136</v>
      </c>
      <c r="K1225" s="15">
        <v>42150</v>
      </c>
      <c r="L1225" s="12" t="s">
        <v>104</v>
      </c>
      <c r="M1225" s="57">
        <v>40162</v>
      </c>
      <c r="N1225" s="24">
        <v>1</v>
      </c>
      <c r="O1225" s="63">
        <v>5400</v>
      </c>
      <c r="P1225" s="63">
        <v>5400</v>
      </c>
      <c r="Q1225" s="17">
        <f t="shared" si="28"/>
        <v>0</v>
      </c>
      <c r="R1225" s="285"/>
      <c r="S1225" s="14"/>
      <c r="T1225" s="285"/>
    </row>
    <row r="1226" spans="1:20" ht="39.75" customHeight="1" x14ac:dyDescent="0.2">
      <c r="A1226" s="21">
        <v>1243</v>
      </c>
      <c r="B1226" s="30" t="s">
        <v>4789</v>
      </c>
      <c r="C1226" s="50"/>
      <c r="D1226" s="46" t="s">
        <v>482</v>
      </c>
      <c r="E1226" s="30">
        <v>2011</v>
      </c>
      <c r="F1226" s="46" t="s">
        <v>483</v>
      </c>
      <c r="G1226" s="285" t="s">
        <v>7983</v>
      </c>
      <c r="H1226" s="49" t="s">
        <v>5127</v>
      </c>
      <c r="I1226" s="262"/>
      <c r="J1226" s="285" t="s">
        <v>3136</v>
      </c>
      <c r="K1226" s="15">
        <v>42150</v>
      </c>
      <c r="L1226" s="263" t="s">
        <v>104</v>
      </c>
      <c r="M1226" s="264">
        <v>40900</v>
      </c>
      <c r="N1226" s="52">
        <v>2</v>
      </c>
      <c r="O1226" s="261">
        <v>7382</v>
      </c>
      <c r="P1226" s="261">
        <v>7382</v>
      </c>
      <c r="Q1226" s="17">
        <f t="shared" si="28"/>
        <v>0</v>
      </c>
      <c r="R1226" s="49"/>
      <c r="S1226" s="53"/>
      <c r="T1226" s="49"/>
    </row>
    <row r="1227" spans="1:20" ht="64.5" customHeight="1" x14ac:dyDescent="0.2">
      <c r="A1227" s="21">
        <v>1244</v>
      </c>
      <c r="B1227" s="30" t="s">
        <v>4790</v>
      </c>
      <c r="C1227" s="18"/>
      <c r="D1227" s="9" t="s">
        <v>484</v>
      </c>
      <c r="E1227" s="289">
        <v>2010</v>
      </c>
      <c r="F1227" s="9" t="s">
        <v>6296</v>
      </c>
      <c r="G1227" s="285" t="s">
        <v>7983</v>
      </c>
      <c r="H1227" s="49" t="s">
        <v>5127</v>
      </c>
      <c r="I1227" s="18"/>
      <c r="J1227" s="285" t="s">
        <v>3136</v>
      </c>
      <c r="K1227" s="15">
        <v>42150</v>
      </c>
      <c r="L1227" s="12" t="s">
        <v>104</v>
      </c>
      <c r="M1227" s="15">
        <v>40506</v>
      </c>
      <c r="N1227" s="24">
        <v>2</v>
      </c>
      <c r="O1227" s="63">
        <v>10930</v>
      </c>
      <c r="P1227" s="63">
        <v>10930</v>
      </c>
      <c r="Q1227" s="17">
        <f t="shared" si="28"/>
        <v>0</v>
      </c>
      <c r="R1227" s="285"/>
      <c r="S1227" s="14"/>
      <c r="T1227" s="285"/>
    </row>
    <row r="1228" spans="1:20" ht="64.5" customHeight="1" x14ac:dyDescent="0.2">
      <c r="A1228" s="21">
        <v>1245</v>
      </c>
      <c r="B1228" s="30" t="s">
        <v>4791</v>
      </c>
      <c r="C1228" s="18"/>
      <c r="D1228" s="9" t="s">
        <v>6297</v>
      </c>
      <c r="E1228" s="289">
        <v>2009</v>
      </c>
      <c r="F1228" s="9" t="s">
        <v>6298</v>
      </c>
      <c r="G1228" s="285" t="s">
        <v>7983</v>
      </c>
      <c r="H1228" s="49" t="s">
        <v>5127</v>
      </c>
      <c r="I1228" s="18"/>
      <c r="J1228" s="285" t="s">
        <v>3136</v>
      </c>
      <c r="K1228" s="15">
        <v>42150</v>
      </c>
      <c r="L1228" s="12" t="s">
        <v>104</v>
      </c>
      <c r="M1228" s="15">
        <v>40162</v>
      </c>
      <c r="N1228" s="24">
        <v>1</v>
      </c>
      <c r="O1228" s="63">
        <v>9066</v>
      </c>
      <c r="P1228" s="63">
        <v>9066</v>
      </c>
      <c r="Q1228" s="17">
        <f t="shared" si="28"/>
        <v>0</v>
      </c>
      <c r="R1228" s="285"/>
      <c r="S1228" s="14"/>
      <c r="T1228" s="285"/>
    </row>
    <row r="1229" spans="1:20" ht="60" customHeight="1" x14ac:dyDescent="0.2">
      <c r="A1229" s="21">
        <v>1246</v>
      </c>
      <c r="B1229" s="30" t="s">
        <v>4792</v>
      </c>
      <c r="C1229" s="18"/>
      <c r="D1229" s="9" t="s">
        <v>6334</v>
      </c>
      <c r="E1229" s="289">
        <v>2012</v>
      </c>
      <c r="F1229" s="9" t="s">
        <v>6299</v>
      </c>
      <c r="G1229" s="285" t="s">
        <v>7983</v>
      </c>
      <c r="H1229" s="49" t="s">
        <v>5127</v>
      </c>
      <c r="I1229" s="18"/>
      <c r="J1229" s="285" t="s">
        <v>3136</v>
      </c>
      <c r="K1229" s="15">
        <v>42150</v>
      </c>
      <c r="L1229" s="12" t="s">
        <v>104</v>
      </c>
      <c r="M1229" s="15">
        <v>41229</v>
      </c>
      <c r="N1229" s="24">
        <v>1</v>
      </c>
      <c r="O1229" s="63">
        <v>17264</v>
      </c>
      <c r="P1229" s="63">
        <v>17264</v>
      </c>
      <c r="Q1229" s="17">
        <f t="shared" si="28"/>
        <v>0</v>
      </c>
      <c r="R1229" s="285"/>
      <c r="S1229" s="14"/>
      <c r="T1229" s="285"/>
    </row>
    <row r="1230" spans="1:20" ht="60" customHeight="1" x14ac:dyDescent="0.2">
      <c r="A1230" s="21">
        <v>1247</v>
      </c>
      <c r="B1230" s="30" t="s">
        <v>3378</v>
      </c>
      <c r="C1230" s="18"/>
      <c r="D1230" s="9" t="s">
        <v>6300</v>
      </c>
      <c r="E1230" s="289">
        <v>2012</v>
      </c>
      <c r="F1230" s="9" t="s">
        <v>6301</v>
      </c>
      <c r="G1230" s="285" t="s">
        <v>7983</v>
      </c>
      <c r="H1230" s="49" t="s">
        <v>5127</v>
      </c>
      <c r="I1230" s="18"/>
      <c r="J1230" s="285" t="s">
        <v>3136</v>
      </c>
      <c r="K1230" s="15">
        <v>42150</v>
      </c>
      <c r="L1230" s="12" t="s">
        <v>104</v>
      </c>
      <c r="M1230" s="15">
        <v>41229</v>
      </c>
      <c r="N1230" s="24">
        <v>1</v>
      </c>
      <c r="O1230" s="63">
        <v>21800</v>
      </c>
      <c r="P1230" s="63">
        <v>21800</v>
      </c>
      <c r="Q1230" s="17">
        <f t="shared" si="28"/>
        <v>0</v>
      </c>
      <c r="R1230" s="285"/>
      <c r="S1230" s="14"/>
      <c r="T1230" s="285"/>
    </row>
    <row r="1231" spans="1:20" ht="57" customHeight="1" x14ac:dyDescent="0.2">
      <c r="A1231" s="21">
        <v>1248</v>
      </c>
      <c r="B1231" s="30" t="s">
        <v>3379</v>
      </c>
      <c r="C1231" s="18"/>
      <c r="D1231" s="9" t="s">
        <v>6302</v>
      </c>
      <c r="E1231" s="289">
        <v>2013</v>
      </c>
      <c r="F1231" s="9" t="s">
        <v>6303</v>
      </c>
      <c r="G1231" s="285" t="s">
        <v>7983</v>
      </c>
      <c r="H1231" s="49" t="s">
        <v>5127</v>
      </c>
      <c r="I1231" s="18"/>
      <c r="J1231" s="285" t="s">
        <v>3136</v>
      </c>
      <c r="K1231" s="15">
        <v>42150</v>
      </c>
      <c r="L1231" s="12" t="s">
        <v>104</v>
      </c>
      <c r="M1231" s="15">
        <v>41600</v>
      </c>
      <c r="N1231" s="24">
        <v>1</v>
      </c>
      <c r="O1231" s="63">
        <v>17337</v>
      </c>
      <c r="P1231" s="63">
        <v>17337</v>
      </c>
      <c r="Q1231" s="17">
        <f t="shared" si="28"/>
        <v>0</v>
      </c>
      <c r="R1231" s="285"/>
      <c r="S1231" s="14"/>
      <c r="T1231" s="285"/>
    </row>
    <row r="1232" spans="1:20" ht="57" customHeight="1" x14ac:dyDescent="0.2">
      <c r="A1232" s="21">
        <v>1249</v>
      </c>
      <c r="B1232" s="30" t="s">
        <v>3380</v>
      </c>
      <c r="C1232" s="18"/>
      <c r="D1232" s="9" t="s">
        <v>2879</v>
      </c>
      <c r="E1232" s="289"/>
      <c r="F1232" s="9" t="s">
        <v>6304</v>
      </c>
      <c r="G1232" s="285" t="s">
        <v>7983</v>
      </c>
      <c r="H1232" s="49" t="s">
        <v>5127</v>
      </c>
      <c r="I1232" s="18"/>
      <c r="J1232" s="285" t="s">
        <v>3136</v>
      </c>
      <c r="K1232" s="15">
        <v>42150</v>
      </c>
      <c r="L1232" s="12" t="s">
        <v>104</v>
      </c>
      <c r="M1232" s="15">
        <v>41600</v>
      </c>
      <c r="N1232" s="24">
        <v>2</v>
      </c>
      <c r="O1232" s="63">
        <v>36990</v>
      </c>
      <c r="P1232" s="63">
        <v>36990</v>
      </c>
      <c r="Q1232" s="17">
        <f t="shared" si="28"/>
        <v>0</v>
      </c>
      <c r="R1232" s="285"/>
      <c r="S1232" s="14"/>
      <c r="T1232" s="285"/>
    </row>
    <row r="1233" spans="1:20" ht="51.75" customHeight="1" x14ac:dyDescent="0.2">
      <c r="A1233" s="21">
        <v>1250</v>
      </c>
      <c r="B1233" s="30" t="s">
        <v>3381</v>
      </c>
      <c r="C1233" s="18"/>
      <c r="D1233" s="9" t="s">
        <v>6305</v>
      </c>
      <c r="E1233" s="289">
        <v>2013</v>
      </c>
      <c r="F1233" s="9" t="s">
        <v>6306</v>
      </c>
      <c r="G1233" s="285" t="s">
        <v>7983</v>
      </c>
      <c r="H1233" s="49" t="s">
        <v>5127</v>
      </c>
      <c r="I1233" s="18"/>
      <c r="J1233" s="285" t="s">
        <v>3136</v>
      </c>
      <c r="K1233" s="15">
        <v>42150</v>
      </c>
      <c r="L1233" s="12" t="s">
        <v>104</v>
      </c>
      <c r="M1233" s="15">
        <v>41492</v>
      </c>
      <c r="N1233" s="24">
        <v>1</v>
      </c>
      <c r="O1233" s="63">
        <v>14193</v>
      </c>
      <c r="P1233" s="63">
        <v>14193</v>
      </c>
      <c r="Q1233" s="17">
        <f t="shared" si="28"/>
        <v>0</v>
      </c>
      <c r="R1233" s="285"/>
      <c r="S1233" s="14"/>
      <c r="T1233" s="285"/>
    </row>
    <row r="1234" spans="1:20" ht="51.75" customHeight="1" x14ac:dyDescent="0.2">
      <c r="A1234" s="21">
        <v>1251</v>
      </c>
      <c r="B1234" s="30" t="s">
        <v>1587</v>
      </c>
      <c r="C1234" s="18"/>
      <c r="D1234" s="9" t="s">
        <v>2580</v>
      </c>
      <c r="E1234" s="289">
        <v>2011</v>
      </c>
      <c r="F1234" s="9" t="s">
        <v>2581</v>
      </c>
      <c r="G1234" s="285" t="s">
        <v>7983</v>
      </c>
      <c r="H1234" s="49" t="s">
        <v>5127</v>
      </c>
      <c r="I1234" s="18"/>
      <c r="J1234" s="285" t="s">
        <v>3136</v>
      </c>
      <c r="K1234" s="15">
        <v>42150</v>
      </c>
      <c r="L1234" s="12" t="s">
        <v>104</v>
      </c>
      <c r="M1234" s="15">
        <v>40603</v>
      </c>
      <c r="N1234" s="24">
        <v>1</v>
      </c>
      <c r="O1234" s="63">
        <v>3274</v>
      </c>
      <c r="P1234" s="63">
        <v>3274</v>
      </c>
      <c r="Q1234" s="17">
        <f t="shared" si="28"/>
        <v>0</v>
      </c>
      <c r="R1234" s="285"/>
      <c r="S1234" s="14"/>
      <c r="T1234" s="285"/>
    </row>
    <row r="1235" spans="1:20" ht="52.5" customHeight="1" x14ac:dyDescent="0.2">
      <c r="A1235" s="21">
        <v>1252</v>
      </c>
      <c r="B1235" s="30" t="s">
        <v>1588</v>
      </c>
      <c r="C1235" s="18"/>
      <c r="D1235" s="46" t="s">
        <v>2416</v>
      </c>
      <c r="E1235" s="289">
        <v>2009</v>
      </c>
      <c r="F1235" s="46" t="s">
        <v>4016</v>
      </c>
      <c r="G1235" s="285" t="s">
        <v>7983</v>
      </c>
      <c r="H1235" s="49" t="s">
        <v>5127</v>
      </c>
      <c r="I1235" s="18"/>
      <c r="J1235" s="285" t="s">
        <v>3136</v>
      </c>
      <c r="K1235" s="15">
        <v>42150</v>
      </c>
      <c r="L1235" s="12" t="s">
        <v>104</v>
      </c>
      <c r="M1235" s="15">
        <v>40164</v>
      </c>
      <c r="N1235" s="162">
        <v>1</v>
      </c>
      <c r="O1235" s="265">
        <v>18480</v>
      </c>
      <c r="P1235" s="265">
        <v>18480</v>
      </c>
      <c r="Q1235" s="17">
        <f t="shared" si="28"/>
        <v>0</v>
      </c>
      <c r="R1235" s="285"/>
      <c r="S1235" s="14"/>
      <c r="T1235" s="285"/>
    </row>
    <row r="1236" spans="1:20" ht="52.5" customHeight="1" x14ac:dyDescent="0.2">
      <c r="A1236" s="21">
        <v>1253</v>
      </c>
      <c r="B1236" s="30" t="s">
        <v>1801</v>
      </c>
      <c r="C1236" s="18"/>
      <c r="D1236" s="46" t="s">
        <v>4265</v>
      </c>
      <c r="E1236" s="289">
        <v>2009</v>
      </c>
      <c r="F1236" s="46" t="s">
        <v>3866</v>
      </c>
      <c r="G1236" s="285" t="s">
        <v>4946</v>
      </c>
      <c r="H1236" s="49" t="s">
        <v>5127</v>
      </c>
      <c r="I1236" s="18"/>
      <c r="J1236" s="285" t="s">
        <v>3136</v>
      </c>
      <c r="K1236" s="15">
        <v>43397</v>
      </c>
      <c r="L1236" s="12" t="s">
        <v>8490</v>
      </c>
      <c r="M1236" s="15">
        <v>40165</v>
      </c>
      <c r="N1236" s="52">
        <v>1</v>
      </c>
      <c r="O1236" s="261">
        <v>6900</v>
      </c>
      <c r="P1236" s="261">
        <v>6900</v>
      </c>
      <c r="Q1236" s="17">
        <f t="shared" si="28"/>
        <v>0</v>
      </c>
      <c r="R1236" s="285"/>
      <c r="S1236" s="14"/>
      <c r="T1236" s="285"/>
    </row>
    <row r="1237" spans="1:20" ht="52.5" customHeight="1" x14ac:dyDescent="0.2">
      <c r="A1237" s="21">
        <v>1254</v>
      </c>
      <c r="B1237" s="30" t="s">
        <v>1802</v>
      </c>
      <c r="C1237" s="18"/>
      <c r="D1237" s="9" t="s">
        <v>3867</v>
      </c>
      <c r="E1237" s="289">
        <v>2009</v>
      </c>
      <c r="F1237" s="9" t="s">
        <v>3868</v>
      </c>
      <c r="G1237" s="285" t="s">
        <v>4946</v>
      </c>
      <c r="H1237" s="49" t="s">
        <v>5127</v>
      </c>
      <c r="I1237" s="18"/>
      <c r="J1237" s="285" t="s">
        <v>3136</v>
      </c>
      <c r="K1237" s="15">
        <v>43397</v>
      </c>
      <c r="L1237" s="12" t="s">
        <v>8490</v>
      </c>
      <c r="M1237" s="15">
        <v>40165</v>
      </c>
      <c r="N1237" s="24">
        <v>1</v>
      </c>
      <c r="O1237" s="63">
        <v>9800</v>
      </c>
      <c r="P1237" s="63">
        <v>9800</v>
      </c>
      <c r="Q1237" s="17">
        <f t="shared" si="28"/>
        <v>0</v>
      </c>
      <c r="R1237" s="285"/>
      <c r="S1237" s="14"/>
      <c r="T1237" s="285"/>
    </row>
    <row r="1238" spans="1:20" ht="52.5" customHeight="1" x14ac:dyDescent="0.2">
      <c r="A1238" s="21">
        <v>1255</v>
      </c>
      <c r="B1238" s="30" t="s">
        <v>1803</v>
      </c>
      <c r="C1238" s="50"/>
      <c r="D1238" s="46" t="s">
        <v>1832</v>
      </c>
      <c r="E1238" s="30">
        <v>2009</v>
      </c>
      <c r="F1238" s="46" t="s">
        <v>1833</v>
      </c>
      <c r="G1238" s="49" t="s">
        <v>4946</v>
      </c>
      <c r="H1238" s="285" t="s">
        <v>5127</v>
      </c>
      <c r="I1238" s="18"/>
      <c r="J1238" s="285" t="s">
        <v>3136</v>
      </c>
      <c r="K1238" s="15">
        <v>43397</v>
      </c>
      <c r="L1238" s="12" t="s">
        <v>8490</v>
      </c>
      <c r="M1238" s="15">
        <v>40165</v>
      </c>
      <c r="N1238" s="24">
        <v>1</v>
      </c>
      <c r="O1238" s="63">
        <v>12000</v>
      </c>
      <c r="P1238" s="63">
        <v>12000</v>
      </c>
      <c r="Q1238" s="17">
        <f t="shared" si="28"/>
        <v>0</v>
      </c>
      <c r="R1238" s="49"/>
      <c r="S1238" s="53"/>
      <c r="T1238" s="49"/>
    </row>
    <row r="1239" spans="1:20" ht="63" customHeight="1" x14ac:dyDescent="0.2">
      <c r="A1239" s="21">
        <v>1256</v>
      </c>
      <c r="B1239" s="30" t="s">
        <v>1804</v>
      </c>
      <c r="C1239" s="18"/>
      <c r="D1239" s="9" t="s">
        <v>1834</v>
      </c>
      <c r="E1239" s="289">
        <v>2011</v>
      </c>
      <c r="F1239" s="9" t="s">
        <v>5968</v>
      </c>
      <c r="G1239" s="285" t="s">
        <v>7464</v>
      </c>
      <c r="H1239" s="37" t="s">
        <v>5127</v>
      </c>
      <c r="I1239" s="59"/>
      <c r="J1239" s="37" t="s">
        <v>3136</v>
      </c>
      <c r="K1239" s="57">
        <v>43811</v>
      </c>
      <c r="L1239" s="60" t="s">
        <v>9231</v>
      </c>
      <c r="M1239" s="57">
        <v>40784</v>
      </c>
      <c r="N1239" s="24">
        <v>1</v>
      </c>
      <c r="O1239" s="63">
        <v>3393</v>
      </c>
      <c r="P1239" s="63">
        <v>3393</v>
      </c>
      <c r="Q1239" s="17">
        <f t="shared" si="28"/>
        <v>0</v>
      </c>
      <c r="R1239" s="285"/>
      <c r="S1239" s="14"/>
      <c r="T1239" s="285"/>
    </row>
    <row r="1240" spans="1:20" ht="63" customHeight="1" x14ac:dyDescent="0.2">
      <c r="A1240" s="21">
        <v>1257</v>
      </c>
      <c r="B1240" s="30" t="s">
        <v>1805</v>
      </c>
      <c r="C1240" s="50"/>
      <c r="D1240" s="9" t="s">
        <v>5969</v>
      </c>
      <c r="E1240" s="289">
        <v>2009</v>
      </c>
      <c r="F1240" s="46" t="s">
        <v>5970</v>
      </c>
      <c r="G1240" s="285" t="s">
        <v>7464</v>
      </c>
      <c r="H1240" s="285" t="s">
        <v>5127</v>
      </c>
      <c r="I1240" s="59"/>
      <c r="J1240" s="37" t="s">
        <v>3136</v>
      </c>
      <c r="K1240" s="57">
        <v>42830</v>
      </c>
      <c r="L1240" s="60" t="s">
        <v>7465</v>
      </c>
      <c r="M1240" s="57">
        <v>40154</v>
      </c>
      <c r="N1240" s="52">
        <v>1</v>
      </c>
      <c r="O1240" s="261">
        <v>19202</v>
      </c>
      <c r="P1240" s="261">
        <v>19202</v>
      </c>
      <c r="Q1240" s="17">
        <f t="shared" si="28"/>
        <v>0</v>
      </c>
      <c r="R1240" s="285"/>
      <c r="S1240" s="14"/>
      <c r="T1240" s="285"/>
    </row>
    <row r="1241" spans="1:20" ht="63" customHeight="1" x14ac:dyDescent="0.2">
      <c r="A1241" s="21">
        <v>1258</v>
      </c>
      <c r="B1241" s="30" t="s">
        <v>1806</v>
      </c>
      <c r="C1241" s="18"/>
      <c r="D1241" s="9" t="s">
        <v>5023</v>
      </c>
      <c r="E1241" s="289">
        <v>2009</v>
      </c>
      <c r="F1241" s="46" t="s">
        <v>1589</v>
      </c>
      <c r="G1241" s="285" t="s">
        <v>7464</v>
      </c>
      <c r="H1241" s="285" t="s">
        <v>5127</v>
      </c>
      <c r="I1241" s="59"/>
      <c r="J1241" s="37" t="s">
        <v>3136</v>
      </c>
      <c r="K1241" s="57">
        <v>42830</v>
      </c>
      <c r="L1241" s="60" t="s">
        <v>7465</v>
      </c>
      <c r="M1241" s="57">
        <v>40154</v>
      </c>
      <c r="N1241" s="24">
        <v>1</v>
      </c>
      <c r="O1241" s="63">
        <v>23560</v>
      </c>
      <c r="P1241" s="63">
        <v>23560</v>
      </c>
      <c r="Q1241" s="17">
        <f t="shared" si="28"/>
        <v>0</v>
      </c>
      <c r="R1241" s="285"/>
      <c r="S1241" s="14"/>
      <c r="T1241" s="285"/>
    </row>
    <row r="1242" spans="1:20" ht="63" customHeight="1" x14ac:dyDescent="0.2">
      <c r="A1242" s="21">
        <v>1259</v>
      </c>
      <c r="B1242" s="30" t="s">
        <v>1807</v>
      </c>
      <c r="C1242" s="18"/>
      <c r="D1242" s="9" t="s">
        <v>1590</v>
      </c>
      <c r="E1242" s="289">
        <v>2011</v>
      </c>
      <c r="F1242" s="46" t="s">
        <v>1591</v>
      </c>
      <c r="G1242" s="285" t="s">
        <v>7464</v>
      </c>
      <c r="H1242" s="285" t="s">
        <v>5127</v>
      </c>
      <c r="I1242" s="59"/>
      <c r="J1242" s="37" t="s">
        <v>3136</v>
      </c>
      <c r="K1242" s="57">
        <v>42830</v>
      </c>
      <c r="L1242" s="60" t="s">
        <v>7465</v>
      </c>
      <c r="M1242" s="57">
        <v>40730</v>
      </c>
      <c r="N1242" s="24">
        <v>1</v>
      </c>
      <c r="O1242" s="63">
        <v>7287</v>
      </c>
      <c r="P1242" s="63">
        <v>7287</v>
      </c>
      <c r="Q1242" s="17">
        <f t="shared" si="28"/>
        <v>0</v>
      </c>
      <c r="R1242" s="285"/>
      <c r="S1242" s="14"/>
      <c r="T1242" s="285"/>
    </row>
    <row r="1243" spans="1:20" ht="64.5" customHeight="1" x14ac:dyDescent="0.2">
      <c r="A1243" s="21">
        <v>1260</v>
      </c>
      <c r="B1243" s="30" t="s">
        <v>1808</v>
      </c>
      <c r="C1243" s="18"/>
      <c r="D1243" s="9" t="s">
        <v>1592</v>
      </c>
      <c r="E1243" s="289">
        <v>2011</v>
      </c>
      <c r="F1243" s="46" t="s">
        <v>1602</v>
      </c>
      <c r="G1243" s="285" t="s">
        <v>7464</v>
      </c>
      <c r="H1243" s="285" t="s">
        <v>5127</v>
      </c>
      <c r="I1243" s="59"/>
      <c r="J1243" s="37" t="s">
        <v>3136</v>
      </c>
      <c r="K1243" s="57">
        <v>42830</v>
      </c>
      <c r="L1243" s="60" t="s">
        <v>7465</v>
      </c>
      <c r="M1243" s="57">
        <v>40730</v>
      </c>
      <c r="N1243" s="52">
        <v>1</v>
      </c>
      <c r="O1243" s="261">
        <v>3847</v>
      </c>
      <c r="P1243" s="261">
        <v>3847</v>
      </c>
      <c r="Q1243" s="17">
        <f t="shared" si="28"/>
        <v>0</v>
      </c>
      <c r="R1243" s="285"/>
      <c r="S1243" s="14"/>
      <c r="T1243" s="285"/>
    </row>
    <row r="1244" spans="1:20" ht="64.5" customHeight="1" x14ac:dyDescent="0.2">
      <c r="A1244" s="21">
        <v>1261</v>
      </c>
      <c r="B1244" s="30" t="s">
        <v>1809</v>
      </c>
      <c r="C1244" s="18"/>
      <c r="D1244" s="46" t="s">
        <v>484</v>
      </c>
      <c r="E1244" s="289">
        <v>2010</v>
      </c>
      <c r="F1244" s="9" t="s">
        <v>1603</v>
      </c>
      <c r="G1244" s="285" t="s">
        <v>7983</v>
      </c>
      <c r="H1244" s="285" t="s">
        <v>5127</v>
      </c>
      <c r="I1244" s="59"/>
      <c r="J1244" s="285" t="s">
        <v>3136</v>
      </c>
      <c r="K1244" s="15">
        <v>42150</v>
      </c>
      <c r="L1244" s="12" t="s">
        <v>104</v>
      </c>
      <c r="M1244" s="15">
        <v>40506</v>
      </c>
      <c r="N1244" s="24">
        <v>1</v>
      </c>
      <c r="O1244" s="63">
        <v>5465</v>
      </c>
      <c r="P1244" s="63">
        <v>5465</v>
      </c>
      <c r="Q1244" s="17">
        <f t="shared" si="28"/>
        <v>0</v>
      </c>
      <c r="R1244" s="285"/>
      <c r="S1244" s="14"/>
      <c r="T1244" s="285"/>
    </row>
    <row r="1245" spans="1:20" ht="33.75" customHeight="1" x14ac:dyDescent="0.2">
      <c r="A1245" s="21">
        <v>1263</v>
      </c>
      <c r="B1245" s="30" t="s">
        <v>1810</v>
      </c>
      <c r="C1245" s="58"/>
      <c r="D1245" s="9" t="s">
        <v>1605</v>
      </c>
      <c r="E1245" s="72">
        <v>2013</v>
      </c>
      <c r="F1245" s="9" t="s">
        <v>1606</v>
      </c>
      <c r="G1245" s="285" t="s">
        <v>7983</v>
      </c>
      <c r="H1245" s="285" t="s">
        <v>5127</v>
      </c>
      <c r="I1245" s="59"/>
      <c r="J1245" s="37" t="s">
        <v>3136</v>
      </c>
      <c r="K1245" s="57">
        <v>42150</v>
      </c>
      <c r="L1245" s="60" t="s">
        <v>104</v>
      </c>
      <c r="M1245" s="57">
        <v>41600</v>
      </c>
      <c r="N1245" s="33">
        <v>1</v>
      </c>
      <c r="O1245" s="63">
        <v>17337</v>
      </c>
      <c r="P1245" s="63">
        <v>17337</v>
      </c>
      <c r="Q1245" s="17">
        <f t="shared" si="28"/>
        <v>0</v>
      </c>
      <c r="R1245" s="285"/>
      <c r="S1245" s="14"/>
      <c r="T1245" s="285"/>
    </row>
    <row r="1246" spans="1:20" ht="57" customHeight="1" x14ac:dyDescent="0.2">
      <c r="A1246" s="21">
        <v>1264</v>
      </c>
      <c r="B1246" s="30" t="s">
        <v>1811</v>
      </c>
      <c r="C1246" s="58"/>
      <c r="D1246" s="9" t="s">
        <v>2879</v>
      </c>
      <c r="E1246" s="72"/>
      <c r="F1246" s="9" t="s">
        <v>5286</v>
      </c>
      <c r="G1246" s="285" t="s">
        <v>7983</v>
      </c>
      <c r="H1246" s="285" t="s">
        <v>5127</v>
      </c>
      <c r="I1246" s="59"/>
      <c r="J1246" s="37" t="s">
        <v>3136</v>
      </c>
      <c r="K1246" s="57">
        <v>42150</v>
      </c>
      <c r="L1246" s="60" t="s">
        <v>104</v>
      </c>
      <c r="M1246" s="57">
        <v>41600</v>
      </c>
      <c r="N1246" s="33">
        <v>1</v>
      </c>
      <c r="O1246" s="63">
        <v>22282</v>
      </c>
      <c r="P1246" s="63">
        <v>22282</v>
      </c>
      <c r="Q1246" s="17">
        <f t="shared" si="28"/>
        <v>0</v>
      </c>
      <c r="R1246" s="285"/>
      <c r="S1246" s="14"/>
      <c r="T1246" s="285"/>
    </row>
    <row r="1247" spans="1:20" ht="57" customHeight="1" x14ac:dyDescent="0.2">
      <c r="A1247" s="21">
        <v>1265</v>
      </c>
      <c r="B1247" s="289" t="s">
        <v>8605</v>
      </c>
      <c r="C1247" s="18"/>
      <c r="D1247" s="9" t="s">
        <v>8606</v>
      </c>
      <c r="E1247" s="289">
        <v>2015</v>
      </c>
      <c r="F1247" s="9" t="s">
        <v>8607</v>
      </c>
      <c r="G1247" s="285" t="s">
        <v>4296</v>
      </c>
      <c r="H1247" s="285" t="s">
        <v>3793</v>
      </c>
      <c r="I1247" s="18"/>
      <c r="J1247" s="285" t="s">
        <v>3136</v>
      </c>
      <c r="K1247" s="14">
        <v>42150</v>
      </c>
      <c r="L1247" s="12" t="s">
        <v>8608</v>
      </c>
      <c r="M1247" s="57">
        <v>42117</v>
      </c>
      <c r="N1247" s="33">
        <v>1</v>
      </c>
      <c r="O1247" s="61">
        <v>173991.53</v>
      </c>
      <c r="P1247" s="63">
        <v>173991.53</v>
      </c>
      <c r="Q1247" s="17">
        <f t="shared" ref="Q1247:Q1278" si="29">O1247-P1247</f>
        <v>0</v>
      </c>
      <c r="R1247" s="285" t="s">
        <v>5363</v>
      </c>
      <c r="S1247" s="14">
        <v>42081</v>
      </c>
      <c r="T1247" s="285">
        <v>36</v>
      </c>
    </row>
    <row r="1248" spans="1:20" ht="71.25" customHeight="1" x14ac:dyDescent="0.2">
      <c r="A1248" s="21">
        <v>1268</v>
      </c>
      <c r="B1248" s="266" t="s">
        <v>8409</v>
      </c>
      <c r="C1248" s="18"/>
      <c r="D1248" s="9" t="s">
        <v>6161</v>
      </c>
      <c r="E1248" s="289"/>
      <c r="F1248" s="9" t="s">
        <v>2240</v>
      </c>
      <c r="G1248" s="285" t="s">
        <v>4296</v>
      </c>
      <c r="H1248" s="285" t="s">
        <v>3793</v>
      </c>
      <c r="I1248" s="289"/>
      <c r="J1248" s="285" t="s">
        <v>3136</v>
      </c>
      <c r="K1248" s="14">
        <v>43374</v>
      </c>
      <c r="L1248" s="12" t="s">
        <v>3302</v>
      </c>
      <c r="M1248" s="15">
        <v>42166</v>
      </c>
      <c r="N1248" s="24">
        <v>1</v>
      </c>
      <c r="O1248" s="63">
        <v>1</v>
      </c>
      <c r="P1248" s="63">
        <v>1</v>
      </c>
      <c r="Q1248" s="17">
        <f t="shared" si="29"/>
        <v>0</v>
      </c>
      <c r="R1248" s="285" t="s">
        <v>1595</v>
      </c>
      <c r="S1248" s="285" t="s">
        <v>1596</v>
      </c>
      <c r="T1248" s="285" t="s">
        <v>1597</v>
      </c>
    </row>
    <row r="1249" spans="1:20" ht="75" customHeight="1" x14ac:dyDescent="0.2">
      <c r="A1249" s="21">
        <v>1269</v>
      </c>
      <c r="B1249" s="266" t="s">
        <v>8410</v>
      </c>
      <c r="C1249" s="18"/>
      <c r="D1249" s="9" t="s">
        <v>6241</v>
      </c>
      <c r="E1249" s="289" t="s">
        <v>6147</v>
      </c>
      <c r="F1249" s="9" t="s">
        <v>2241</v>
      </c>
      <c r="G1249" s="285" t="s">
        <v>4296</v>
      </c>
      <c r="H1249" s="285" t="s">
        <v>3793</v>
      </c>
      <c r="I1249" s="289"/>
      <c r="J1249" s="285" t="s">
        <v>3136</v>
      </c>
      <c r="K1249" s="14">
        <v>43374</v>
      </c>
      <c r="L1249" s="12" t="s">
        <v>3302</v>
      </c>
      <c r="M1249" s="15">
        <v>42166</v>
      </c>
      <c r="N1249" s="24">
        <v>2</v>
      </c>
      <c r="O1249" s="63">
        <v>2</v>
      </c>
      <c r="P1249" s="63">
        <v>2</v>
      </c>
      <c r="Q1249" s="17">
        <f t="shared" si="29"/>
        <v>0</v>
      </c>
      <c r="R1249" s="285" t="s">
        <v>1595</v>
      </c>
      <c r="S1249" s="285" t="s">
        <v>1596</v>
      </c>
      <c r="T1249" s="285" t="s">
        <v>1597</v>
      </c>
    </row>
    <row r="1250" spans="1:20" ht="45" customHeight="1" x14ac:dyDescent="0.2">
      <c r="A1250" s="21">
        <v>1272</v>
      </c>
      <c r="B1250" s="267" t="s">
        <v>8411</v>
      </c>
      <c r="C1250" s="18"/>
      <c r="D1250" s="9" t="s">
        <v>352</v>
      </c>
      <c r="E1250" s="289"/>
      <c r="F1250" s="9" t="s">
        <v>12406</v>
      </c>
      <c r="G1250" s="285" t="s">
        <v>4296</v>
      </c>
      <c r="H1250" s="285" t="s">
        <v>3793</v>
      </c>
      <c r="I1250" s="20"/>
      <c r="J1250" s="37" t="s">
        <v>3136</v>
      </c>
      <c r="K1250" s="14" t="s">
        <v>11851</v>
      </c>
      <c r="L1250" s="12" t="s">
        <v>11852</v>
      </c>
      <c r="M1250" s="57">
        <v>42166</v>
      </c>
      <c r="N1250" s="33">
        <v>1</v>
      </c>
      <c r="O1250" s="61">
        <v>1</v>
      </c>
      <c r="P1250" s="61">
        <v>1</v>
      </c>
      <c r="Q1250" s="17">
        <f t="shared" si="29"/>
        <v>0</v>
      </c>
      <c r="R1250" s="285" t="s">
        <v>1595</v>
      </c>
      <c r="S1250" s="285" t="s">
        <v>1596</v>
      </c>
      <c r="T1250" s="285" t="s">
        <v>1597</v>
      </c>
    </row>
    <row r="1251" spans="1:20" ht="42.75" customHeight="1" x14ac:dyDescent="0.2">
      <c r="A1251" s="21">
        <v>1274</v>
      </c>
      <c r="B1251" s="267" t="s">
        <v>8412</v>
      </c>
      <c r="C1251" s="18"/>
      <c r="D1251" s="9" t="s">
        <v>4074</v>
      </c>
      <c r="E1251" s="289"/>
      <c r="F1251" s="18" t="s">
        <v>4075</v>
      </c>
      <c r="G1251" s="285" t="s">
        <v>4296</v>
      </c>
      <c r="H1251" s="285" t="s">
        <v>3793</v>
      </c>
      <c r="I1251" s="20"/>
      <c r="J1251" s="37" t="s">
        <v>3136</v>
      </c>
      <c r="K1251" s="32">
        <v>43374</v>
      </c>
      <c r="L1251" s="60" t="s">
        <v>3302</v>
      </c>
      <c r="M1251" s="57">
        <v>42166</v>
      </c>
      <c r="N1251" s="33">
        <v>1</v>
      </c>
      <c r="O1251" s="61">
        <v>1</v>
      </c>
      <c r="P1251" s="61">
        <v>1</v>
      </c>
      <c r="Q1251" s="17">
        <f t="shared" si="29"/>
        <v>0</v>
      </c>
      <c r="R1251" s="285" t="s">
        <v>1595</v>
      </c>
      <c r="S1251" s="285" t="s">
        <v>1596</v>
      </c>
      <c r="T1251" s="285" t="s">
        <v>1597</v>
      </c>
    </row>
    <row r="1252" spans="1:20" ht="42.75" customHeight="1" x14ac:dyDescent="0.2">
      <c r="A1252" s="21">
        <v>1275</v>
      </c>
      <c r="B1252" s="267" t="s">
        <v>8413</v>
      </c>
      <c r="C1252" s="18"/>
      <c r="D1252" s="41" t="s">
        <v>5606</v>
      </c>
      <c r="E1252" s="289"/>
      <c r="F1252" s="9" t="s">
        <v>5607</v>
      </c>
      <c r="G1252" s="285" t="s">
        <v>4296</v>
      </c>
      <c r="H1252" s="285" t="s">
        <v>3793</v>
      </c>
      <c r="I1252" s="20"/>
      <c r="J1252" s="37" t="s">
        <v>3136</v>
      </c>
      <c r="K1252" s="32">
        <v>43374</v>
      </c>
      <c r="L1252" s="60" t="s">
        <v>3302</v>
      </c>
      <c r="M1252" s="57">
        <v>42166</v>
      </c>
      <c r="N1252" s="33">
        <v>2</v>
      </c>
      <c r="O1252" s="61">
        <v>2</v>
      </c>
      <c r="P1252" s="61">
        <v>2</v>
      </c>
      <c r="Q1252" s="17">
        <f t="shared" si="29"/>
        <v>0</v>
      </c>
      <c r="R1252" s="285" t="s">
        <v>1595</v>
      </c>
      <c r="S1252" s="285" t="s">
        <v>1596</v>
      </c>
      <c r="T1252" s="285" t="s">
        <v>1597</v>
      </c>
    </row>
    <row r="1253" spans="1:20" ht="42.75" customHeight="1" x14ac:dyDescent="0.2">
      <c r="A1253" s="21">
        <v>1276</v>
      </c>
      <c r="B1253" s="267" t="s">
        <v>8414</v>
      </c>
      <c r="C1253" s="18"/>
      <c r="D1253" s="9" t="s">
        <v>2116</v>
      </c>
      <c r="E1253" s="289"/>
      <c r="F1253" s="9" t="s">
        <v>1403</v>
      </c>
      <c r="G1253" s="285" t="s">
        <v>4296</v>
      </c>
      <c r="H1253" s="285" t="s">
        <v>3793</v>
      </c>
      <c r="I1253" s="20"/>
      <c r="J1253" s="37" t="s">
        <v>3136</v>
      </c>
      <c r="K1253" s="32">
        <v>43374</v>
      </c>
      <c r="L1253" s="60" t="s">
        <v>3302</v>
      </c>
      <c r="M1253" s="57">
        <v>42166</v>
      </c>
      <c r="N1253" s="33">
        <v>2</v>
      </c>
      <c r="O1253" s="61">
        <v>2</v>
      </c>
      <c r="P1253" s="61">
        <v>2</v>
      </c>
      <c r="Q1253" s="17">
        <f t="shared" si="29"/>
        <v>0</v>
      </c>
      <c r="R1253" s="285" t="s">
        <v>1595</v>
      </c>
      <c r="S1253" s="285" t="s">
        <v>1596</v>
      </c>
      <c r="T1253" s="285" t="s">
        <v>1597</v>
      </c>
    </row>
    <row r="1254" spans="1:20" ht="54.75" customHeight="1" x14ac:dyDescent="0.2">
      <c r="A1254" s="21">
        <v>1277</v>
      </c>
      <c r="B1254" s="267" t="s">
        <v>8415</v>
      </c>
      <c r="C1254" s="18"/>
      <c r="D1254" s="9" t="s">
        <v>1404</v>
      </c>
      <c r="E1254" s="289"/>
      <c r="F1254" s="9" t="s">
        <v>280</v>
      </c>
      <c r="G1254" s="285" t="s">
        <v>4296</v>
      </c>
      <c r="H1254" s="285" t="s">
        <v>3793</v>
      </c>
      <c r="I1254" s="20"/>
      <c r="J1254" s="37" t="s">
        <v>3136</v>
      </c>
      <c r="K1254" s="32">
        <v>43374</v>
      </c>
      <c r="L1254" s="60" t="s">
        <v>3302</v>
      </c>
      <c r="M1254" s="57">
        <v>42166</v>
      </c>
      <c r="N1254" s="33">
        <v>5</v>
      </c>
      <c r="O1254" s="61">
        <v>5</v>
      </c>
      <c r="P1254" s="61">
        <v>5</v>
      </c>
      <c r="Q1254" s="17">
        <f t="shared" si="29"/>
        <v>0</v>
      </c>
      <c r="R1254" s="285" t="s">
        <v>1595</v>
      </c>
      <c r="S1254" s="285" t="s">
        <v>1596</v>
      </c>
      <c r="T1254" s="285" t="s">
        <v>1597</v>
      </c>
    </row>
    <row r="1255" spans="1:20" ht="42" customHeight="1" x14ac:dyDescent="0.2">
      <c r="A1255" s="21">
        <v>1278</v>
      </c>
      <c r="B1255" s="267" t="s">
        <v>8416</v>
      </c>
      <c r="C1255" s="18"/>
      <c r="D1255" s="9" t="s">
        <v>3987</v>
      </c>
      <c r="E1255" s="289"/>
      <c r="F1255" s="9" t="s">
        <v>3988</v>
      </c>
      <c r="G1255" s="285" t="s">
        <v>4296</v>
      </c>
      <c r="H1255" s="285" t="s">
        <v>3793</v>
      </c>
      <c r="I1255" s="20"/>
      <c r="J1255" s="37" t="s">
        <v>3136</v>
      </c>
      <c r="K1255" s="32">
        <v>43374</v>
      </c>
      <c r="L1255" s="60" t="s">
        <v>3302</v>
      </c>
      <c r="M1255" s="57">
        <v>42166</v>
      </c>
      <c r="N1255" s="33">
        <v>1</v>
      </c>
      <c r="O1255" s="61">
        <v>1</v>
      </c>
      <c r="P1255" s="61">
        <v>1</v>
      </c>
      <c r="Q1255" s="17">
        <f t="shared" si="29"/>
        <v>0</v>
      </c>
      <c r="R1255" s="285" t="s">
        <v>1595</v>
      </c>
      <c r="S1255" s="285" t="s">
        <v>1596</v>
      </c>
      <c r="T1255" s="285" t="s">
        <v>1597</v>
      </c>
    </row>
    <row r="1256" spans="1:20" ht="42" customHeight="1" x14ac:dyDescent="0.2">
      <c r="A1256" s="21">
        <v>1279</v>
      </c>
      <c r="B1256" s="267" t="s">
        <v>8417</v>
      </c>
      <c r="C1256" s="18"/>
      <c r="D1256" s="9" t="s">
        <v>3989</v>
      </c>
      <c r="E1256" s="289"/>
      <c r="F1256" s="9" t="s">
        <v>3392</v>
      </c>
      <c r="G1256" s="285" t="s">
        <v>4296</v>
      </c>
      <c r="H1256" s="285" t="s">
        <v>3793</v>
      </c>
      <c r="I1256" s="20"/>
      <c r="J1256" s="37" t="s">
        <v>3136</v>
      </c>
      <c r="K1256" s="32">
        <v>43374</v>
      </c>
      <c r="L1256" s="60" t="s">
        <v>3302</v>
      </c>
      <c r="M1256" s="57">
        <v>42166</v>
      </c>
      <c r="N1256" s="33">
        <v>1</v>
      </c>
      <c r="O1256" s="61">
        <v>1</v>
      </c>
      <c r="P1256" s="61">
        <v>1</v>
      </c>
      <c r="Q1256" s="17">
        <f t="shared" si="29"/>
        <v>0</v>
      </c>
      <c r="R1256" s="285" t="s">
        <v>1595</v>
      </c>
      <c r="S1256" s="285" t="s">
        <v>1596</v>
      </c>
      <c r="T1256" s="285" t="s">
        <v>1597</v>
      </c>
    </row>
    <row r="1257" spans="1:20" ht="63" customHeight="1" x14ac:dyDescent="0.2">
      <c r="A1257" s="21">
        <v>1281</v>
      </c>
      <c r="B1257" s="289" t="s">
        <v>8072</v>
      </c>
      <c r="C1257" s="58"/>
      <c r="D1257" s="9" t="s">
        <v>3950</v>
      </c>
      <c r="E1257" s="72">
        <v>2015</v>
      </c>
      <c r="F1257" s="9" t="s">
        <v>3639</v>
      </c>
      <c r="G1257" s="285"/>
      <c r="H1257" s="285" t="s">
        <v>2042</v>
      </c>
      <c r="I1257" s="20" t="s">
        <v>2207</v>
      </c>
      <c r="J1257" s="37" t="s">
        <v>3136</v>
      </c>
      <c r="K1257" s="57">
        <v>42201</v>
      </c>
      <c r="L1257" s="60" t="s">
        <v>7398</v>
      </c>
      <c r="M1257" s="57">
        <v>42179</v>
      </c>
      <c r="N1257" s="33">
        <v>1</v>
      </c>
      <c r="O1257" s="61">
        <v>584593</v>
      </c>
      <c r="P1257" s="61">
        <v>0</v>
      </c>
      <c r="Q1257" s="17">
        <f t="shared" si="29"/>
        <v>584593</v>
      </c>
      <c r="R1257" s="285" t="s">
        <v>2429</v>
      </c>
      <c r="S1257" s="14">
        <v>42180</v>
      </c>
      <c r="T1257" s="228" t="s">
        <v>1029</v>
      </c>
    </row>
    <row r="1258" spans="1:20" ht="63" customHeight="1" x14ac:dyDescent="0.2">
      <c r="A1258" s="21">
        <v>1282</v>
      </c>
      <c r="B1258" s="289" t="s">
        <v>64</v>
      </c>
      <c r="C1258" s="18"/>
      <c r="D1258" s="9" t="s">
        <v>3300</v>
      </c>
      <c r="E1258" s="14"/>
      <c r="F1258" s="9" t="s">
        <v>2113</v>
      </c>
      <c r="G1258" s="285" t="s">
        <v>4946</v>
      </c>
      <c r="H1258" s="285" t="s">
        <v>5127</v>
      </c>
      <c r="I1258" s="289"/>
      <c r="J1258" s="37" t="s">
        <v>3136</v>
      </c>
      <c r="K1258" s="57">
        <v>42221</v>
      </c>
      <c r="L1258" s="60" t="s">
        <v>7392</v>
      </c>
      <c r="M1258" s="15">
        <v>42199</v>
      </c>
      <c r="N1258" s="33">
        <v>1</v>
      </c>
      <c r="O1258" s="61">
        <v>3498</v>
      </c>
      <c r="P1258" s="61">
        <v>3498</v>
      </c>
      <c r="Q1258" s="17">
        <f t="shared" si="29"/>
        <v>0</v>
      </c>
      <c r="R1258" s="285" t="s">
        <v>3418</v>
      </c>
      <c r="S1258" s="14">
        <v>42199</v>
      </c>
      <c r="T1258" s="285">
        <v>3320152071</v>
      </c>
    </row>
    <row r="1259" spans="1:20" ht="68.25" customHeight="1" x14ac:dyDescent="0.2">
      <c r="A1259" s="21">
        <v>1283</v>
      </c>
      <c r="B1259" s="289" t="s">
        <v>5825</v>
      </c>
      <c r="C1259" s="18"/>
      <c r="D1259" s="9" t="s">
        <v>5826</v>
      </c>
      <c r="E1259" s="285">
        <v>2015</v>
      </c>
      <c r="F1259" s="9" t="s">
        <v>3856</v>
      </c>
      <c r="G1259" s="285" t="s">
        <v>6266</v>
      </c>
      <c r="H1259" s="285" t="s">
        <v>5127</v>
      </c>
      <c r="I1259" s="289"/>
      <c r="J1259" s="285" t="s">
        <v>3136</v>
      </c>
      <c r="K1259" s="15">
        <v>42233</v>
      </c>
      <c r="L1259" s="12" t="s">
        <v>7394</v>
      </c>
      <c r="M1259" s="15">
        <v>42156</v>
      </c>
      <c r="N1259" s="33">
        <v>1</v>
      </c>
      <c r="O1259" s="61">
        <v>8200</v>
      </c>
      <c r="P1259" s="61">
        <v>8200</v>
      </c>
      <c r="Q1259" s="34">
        <f t="shared" si="29"/>
        <v>0</v>
      </c>
      <c r="R1259" s="285" t="s">
        <v>2627</v>
      </c>
      <c r="S1259" s="14">
        <v>42143</v>
      </c>
      <c r="T1259" s="285">
        <v>22015044</v>
      </c>
    </row>
    <row r="1260" spans="1:20" ht="39.75" customHeight="1" x14ac:dyDescent="0.2">
      <c r="A1260" s="21">
        <v>1284</v>
      </c>
      <c r="B1260" s="289" t="s">
        <v>6015</v>
      </c>
      <c r="C1260" s="18"/>
      <c r="D1260" s="54" t="s">
        <v>6016</v>
      </c>
      <c r="E1260" s="37">
        <v>2015</v>
      </c>
      <c r="F1260" s="54" t="s">
        <v>7068</v>
      </c>
      <c r="G1260" s="285" t="s">
        <v>7981</v>
      </c>
      <c r="H1260" s="285" t="s">
        <v>5127</v>
      </c>
      <c r="I1260" s="20"/>
      <c r="J1260" s="37" t="s">
        <v>3136</v>
      </c>
      <c r="K1260" s="57">
        <v>42236</v>
      </c>
      <c r="L1260" s="60" t="s">
        <v>452</v>
      </c>
      <c r="M1260" s="57">
        <v>42170</v>
      </c>
      <c r="N1260" s="33">
        <v>1</v>
      </c>
      <c r="O1260" s="61">
        <v>3850</v>
      </c>
      <c r="P1260" s="61">
        <v>3850</v>
      </c>
      <c r="Q1260" s="17">
        <f t="shared" si="29"/>
        <v>0</v>
      </c>
      <c r="R1260" s="285" t="s">
        <v>6017</v>
      </c>
      <c r="S1260" s="14">
        <v>42160</v>
      </c>
      <c r="T1260" s="285" t="s">
        <v>6018</v>
      </c>
    </row>
    <row r="1261" spans="1:20" ht="39.75" customHeight="1" x14ac:dyDescent="0.2">
      <c r="A1261" s="21">
        <v>1285</v>
      </c>
      <c r="B1261" s="289" t="s">
        <v>3871</v>
      </c>
      <c r="C1261" s="18"/>
      <c r="D1261" s="9" t="s">
        <v>3872</v>
      </c>
      <c r="E1261" s="285">
        <v>2015</v>
      </c>
      <c r="F1261" s="9" t="s">
        <v>3338</v>
      </c>
      <c r="G1261" s="285" t="s">
        <v>4296</v>
      </c>
      <c r="H1261" s="285" t="s">
        <v>3793</v>
      </c>
      <c r="I1261" s="20"/>
      <c r="J1261" s="37" t="s">
        <v>3136</v>
      </c>
      <c r="K1261" s="32">
        <v>42236</v>
      </c>
      <c r="L1261" s="60" t="s">
        <v>3524</v>
      </c>
      <c r="M1261" s="57">
        <v>42212</v>
      </c>
      <c r="N1261" s="33">
        <v>1</v>
      </c>
      <c r="O1261" s="61">
        <v>6550</v>
      </c>
      <c r="P1261" s="61">
        <v>6550</v>
      </c>
      <c r="Q1261" s="17">
        <f t="shared" si="29"/>
        <v>0</v>
      </c>
      <c r="R1261" s="285" t="s">
        <v>5110</v>
      </c>
      <c r="S1261" s="14">
        <v>42212</v>
      </c>
      <c r="T1261" s="14">
        <v>42212</v>
      </c>
    </row>
    <row r="1262" spans="1:20" ht="49.9" customHeight="1" x14ac:dyDescent="0.2">
      <c r="A1262" s="21">
        <v>1287</v>
      </c>
      <c r="B1262" s="12" t="s">
        <v>3608</v>
      </c>
      <c r="C1262" s="18"/>
      <c r="D1262" s="9" t="s">
        <v>4206</v>
      </c>
      <c r="E1262" s="22" t="s">
        <v>4207</v>
      </c>
      <c r="F1262" s="9" t="s">
        <v>4208</v>
      </c>
      <c r="G1262" s="285" t="s">
        <v>7982</v>
      </c>
      <c r="H1262" s="285" t="s">
        <v>5127</v>
      </c>
      <c r="I1262" s="20"/>
      <c r="J1262" s="37" t="s">
        <v>3136</v>
      </c>
      <c r="K1262" s="57">
        <v>42275</v>
      </c>
      <c r="L1262" s="60" t="s">
        <v>2215</v>
      </c>
      <c r="M1262" s="57">
        <v>42227</v>
      </c>
      <c r="N1262" s="33">
        <v>1</v>
      </c>
      <c r="O1262" s="61">
        <v>37683</v>
      </c>
      <c r="P1262" s="61">
        <v>37683</v>
      </c>
      <c r="Q1262" s="17">
        <f t="shared" si="29"/>
        <v>0</v>
      </c>
      <c r="R1262" s="285" t="s">
        <v>6155</v>
      </c>
      <c r="S1262" s="14">
        <v>42227</v>
      </c>
      <c r="T1262" s="22" t="s">
        <v>4209</v>
      </c>
    </row>
    <row r="1263" spans="1:20" ht="45.75" customHeight="1" x14ac:dyDescent="0.2">
      <c r="A1263" s="21">
        <v>1288</v>
      </c>
      <c r="B1263" s="12" t="s">
        <v>3609</v>
      </c>
      <c r="C1263" s="18"/>
      <c r="D1263" s="9" t="s">
        <v>4210</v>
      </c>
      <c r="E1263" s="22" t="s">
        <v>4211</v>
      </c>
      <c r="F1263" s="9" t="s">
        <v>4212</v>
      </c>
      <c r="G1263" s="285" t="s">
        <v>7982</v>
      </c>
      <c r="H1263" s="285" t="s">
        <v>5127</v>
      </c>
      <c r="I1263" s="20"/>
      <c r="J1263" s="37" t="s">
        <v>3136</v>
      </c>
      <c r="K1263" s="57">
        <v>42275</v>
      </c>
      <c r="L1263" s="60" t="s">
        <v>2215</v>
      </c>
      <c r="M1263" s="57">
        <v>42227</v>
      </c>
      <c r="N1263" s="33">
        <v>1</v>
      </c>
      <c r="O1263" s="61">
        <v>5706</v>
      </c>
      <c r="P1263" s="61">
        <v>5706</v>
      </c>
      <c r="Q1263" s="17">
        <f t="shared" si="29"/>
        <v>0</v>
      </c>
      <c r="R1263" s="285" t="s">
        <v>6155</v>
      </c>
      <c r="S1263" s="14">
        <v>42227</v>
      </c>
      <c r="T1263" s="22" t="s">
        <v>4209</v>
      </c>
    </row>
    <row r="1264" spans="1:20" ht="45.75" customHeight="1" x14ac:dyDescent="0.2">
      <c r="A1264" s="21">
        <v>1289</v>
      </c>
      <c r="B1264" s="12" t="s">
        <v>4205</v>
      </c>
      <c r="C1264" s="18"/>
      <c r="D1264" s="9" t="s">
        <v>4213</v>
      </c>
      <c r="E1264" s="22" t="s">
        <v>4214</v>
      </c>
      <c r="F1264" s="9" t="s">
        <v>4832</v>
      </c>
      <c r="G1264" s="285" t="s">
        <v>7982</v>
      </c>
      <c r="H1264" s="285" t="s">
        <v>5127</v>
      </c>
      <c r="I1264" s="20"/>
      <c r="J1264" s="37" t="s">
        <v>3136</v>
      </c>
      <c r="K1264" s="57">
        <v>42275</v>
      </c>
      <c r="L1264" s="60" t="s">
        <v>2215</v>
      </c>
      <c r="M1264" s="57">
        <v>42227</v>
      </c>
      <c r="N1264" s="33">
        <v>1</v>
      </c>
      <c r="O1264" s="61">
        <v>8003.9</v>
      </c>
      <c r="P1264" s="61">
        <v>8003.9</v>
      </c>
      <c r="Q1264" s="17">
        <f t="shared" si="29"/>
        <v>0</v>
      </c>
      <c r="R1264" s="285" t="s">
        <v>6155</v>
      </c>
      <c r="S1264" s="14">
        <v>42227</v>
      </c>
      <c r="T1264" s="22" t="s">
        <v>4209</v>
      </c>
    </row>
    <row r="1265" spans="1:20" ht="67.5" customHeight="1" x14ac:dyDescent="0.2">
      <c r="A1265" s="21">
        <v>1290</v>
      </c>
      <c r="B1265" s="12" t="s">
        <v>4833</v>
      </c>
      <c r="C1265" s="18"/>
      <c r="D1265" s="46" t="s">
        <v>4835</v>
      </c>
      <c r="E1265" s="22" t="s">
        <v>4834</v>
      </c>
      <c r="F1265" s="9" t="s">
        <v>4836</v>
      </c>
      <c r="G1265" s="285" t="s">
        <v>4877</v>
      </c>
      <c r="H1265" s="285" t="s">
        <v>3793</v>
      </c>
      <c r="I1265" s="20"/>
      <c r="J1265" s="37" t="s">
        <v>3136</v>
      </c>
      <c r="K1265" s="57">
        <v>42275</v>
      </c>
      <c r="L1265" s="60" t="s">
        <v>2213</v>
      </c>
      <c r="M1265" s="57">
        <v>42237</v>
      </c>
      <c r="N1265" s="33">
        <v>1</v>
      </c>
      <c r="O1265" s="61">
        <v>12490</v>
      </c>
      <c r="P1265" s="61">
        <v>12490</v>
      </c>
      <c r="Q1265" s="17">
        <f t="shared" si="29"/>
        <v>0</v>
      </c>
      <c r="R1265" s="285" t="s">
        <v>5071</v>
      </c>
      <c r="S1265" s="14">
        <v>42237</v>
      </c>
      <c r="T1265" s="22" t="s">
        <v>4837</v>
      </c>
    </row>
    <row r="1266" spans="1:20" ht="57.75" customHeight="1" x14ac:dyDescent="0.2">
      <c r="A1266" s="21">
        <v>1291</v>
      </c>
      <c r="B1266" s="12" t="s">
        <v>469</v>
      </c>
      <c r="C1266" s="18"/>
      <c r="D1266" s="9" t="s">
        <v>2359</v>
      </c>
      <c r="E1266" s="22" t="s">
        <v>4834</v>
      </c>
      <c r="F1266" s="9" t="s">
        <v>3338</v>
      </c>
      <c r="G1266" s="285" t="s">
        <v>7917</v>
      </c>
      <c r="H1266" s="285" t="s">
        <v>5127</v>
      </c>
      <c r="I1266" s="20"/>
      <c r="J1266" s="37" t="s">
        <v>3136</v>
      </c>
      <c r="K1266" s="57">
        <v>42285</v>
      </c>
      <c r="L1266" s="60" t="s">
        <v>6175</v>
      </c>
      <c r="M1266" s="57">
        <v>42285</v>
      </c>
      <c r="N1266" s="33">
        <v>1</v>
      </c>
      <c r="O1266" s="61">
        <v>5726</v>
      </c>
      <c r="P1266" s="61">
        <v>5726</v>
      </c>
      <c r="Q1266" s="17">
        <f t="shared" si="29"/>
        <v>0</v>
      </c>
      <c r="R1266" s="285" t="s">
        <v>5303</v>
      </c>
      <c r="S1266" s="14">
        <v>42258</v>
      </c>
      <c r="T1266" s="22" t="s">
        <v>1029</v>
      </c>
    </row>
    <row r="1267" spans="1:20" ht="57.75" customHeight="1" x14ac:dyDescent="0.2">
      <c r="A1267" s="21">
        <v>1292</v>
      </c>
      <c r="B1267" s="12" t="s">
        <v>469</v>
      </c>
      <c r="C1267" s="18"/>
      <c r="D1267" s="41" t="s">
        <v>470</v>
      </c>
      <c r="E1267" s="22" t="s">
        <v>4834</v>
      </c>
      <c r="F1267" s="9" t="s">
        <v>471</v>
      </c>
      <c r="G1267" s="285" t="s">
        <v>4946</v>
      </c>
      <c r="H1267" s="285" t="s">
        <v>5127</v>
      </c>
      <c r="I1267" s="20"/>
      <c r="J1267" s="37" t="s">
        <v>3136</v>
      </c>
      <c r="K1267" s="57">
        <v>42278</v>
      </c>
      <c r="L1267" s="60" t="s">
        <v>4611</v>
      </c>
      <c r="M1267" s="57">
        <v>42227</v>
      </c>
      <c r="N1267" s="33">
        <v>1</v>
      </c>
      <c r="O1267" s="61">
        <v>4200</v>
      </c>
      <c r="P1267" s="61">
        <v>4200</v>
      </c>
      <c r="Q1267" s="17">
        <f t="shared" si="29"/>
        <v>0</v>
      </c>
      <c r="R1267" s="285" t="s">
        <v>3418</v>
      </c>
      <c r="S1267" s="14">
        <v>42227</v>
      </c>
      <c r="T1267" s="22" t="s">
        <v>472</v>
      </c>
    </row>
    <row r="1268" spans="1:20" ht="61.5" customHeight="1" x14ac:dyDescent="0.2">
      <c r="A1268" s="21">
        <v>1293</v>
      </c>
      <c r="B1268" s="12" t="s">
        <v>5626</v>
      </c>
      <c r="C1268" s="18"/>
      <c r="D1268" s="9" t="s">
        <v>2360</v>
      </c>
      <c r="E1268" s="22" t="s">
        <v>4834</v>
      </c>
      <c r="F1268" s="9" t="s">
        <v>6864</v>
      </c>
      <c r="G1268" s="285" t="s">
        <v>7917</v>
      </c>
      <c r="H1268" s="285" t="s">
        <v>5127</v>
      </c>
      <c r="I1268" s="20"/>
      <c r="J1268" s="37" t="s">
        <v>3136</v>
      </c>
      <c r="K1268" s="57">
        <v>42285</v>
      </c>
      <c r="L1268" s="60" t="s">
        <v>6175</v>
      </c>
      <c r="M1268" s="57">
        <v>42285</v>
      </c>
      <c r="N1268" s="33">
        <v>8</v>
      </c>
      <c r="O1268" s="61">
        <v>251680</v>
      </c>
      <c r="P1268" s="61">
        <v>251680</v>
      </c>
      <c r="Q1268" s="17">
        <f t="shared" si="29"/>
        <v>0</v>
      </c>
      <c r="R1268" s="285" t="s">
        <v>5303</v>
      </c>
      <c r="S1268" s="14">
        <v>42258</v>
      </c>
      <c r="T1268" s="22" t="s">
        <v>1029</v>
      </c>
    </row>
    <row r="1269" spans="1:20" ht="61.5" customHeight="1" x14ac:dyDescent="0.2">
      <c r="A1269" s="21">
        <v>1294</v>
      </c>
      <c r="B1269" s="12" t="s">
        <v>4198</v>
      </c>
      <c r="C1269" s="18"/>
      <c r="D1269" s="9" t="s">
        <v>4200</v>
      </c>
      <c r="E1269" s="22" t="s">
        <v>4834</v>
      </c>
      <c r="F1269" s="9" t="s">
        <v>5523</v>
      </c>
      <c r="G1269" s="285" t="s">
        <v>7967</v>
      </c>
      <c r="H1269" s="285" t="s">
        <v>5127</v>
      </c>
      <c r="I1269" s="20"/>
      <c r="J1269" s="37" t="s">
        <v>3136</v>
      </c>
      <c r="K1269" s="57">
        <v>42285</v>
      </c>
      <c r="L1269" s="60" t="s">
        <v>2022</v>
      </c>
      <c r="M1269" s="57">
        <v>42236</v>
      </c>
      <c r="N1269" s="33">
        <v>1</v>
      </c>
      <c r="O1269" s="61">
        <v>23122.1</v>
      </c>
      <c r="P1269" s="61">
        <v>23122.1</v>
      </c>
      <c r="Q1269" s="17">
        <f t="shared" si="29"/>
        <v>0</v>
      </c>
      <c r="R1269" s="285" t="s">
        <v>5524</v>
      </c>
      <c r="S1269" s="14">
        <v>42236</v>
      </c>
      <c r="T1269" s="22" t="s">
        <v>5525</v>
      </c>
    </row>
    <row r="1270" spans="1:20" ht="61.5" customHeight="1" x14ac:dyDescent="0.2">
      <c r="A1270" s="21">
        <v>1295</v>
      </c>
      <c r="B1270" s="12" t="s">
        <v>4199</v>
      </c>
      <c r="C1270" s="18"/>
      <c r="D1270" s="9" t="s">
        <v>5526</v>
      </c>
      <c r="E1270" s="22" t="s">
        <v>4834</v>
      </c>
      <c r="F1270" s="9" t="s">
        <v>5527</v>
      </c>
      <c r="G1270" s="285" t="s">
        <v>7967</v>
      </c>
      <c r="H1270" s="285" t="s">
        <v>5127</v>
      </c>
      <c r="I1270" s="20"/>
      <c r="J1270" s="37" t="s">
        <v>3136</v>
      </c>
      <c r="K1270" s="57">
        <v>42285</v>
      </c>
      <c r="L1270" s="60" t="s">
        <v>2022</v>
      </c>
      <c r="M1270" s="57">
        <v>42276</v>
      </c>
      <c r="N1270" s="33">
        <v>1</v>
      </c>
      <c r="O1270" s="61">
        <v>9593</v>
      </c>
      <c r="P1270" s="61">
        <v>9593</v>
      </c>
      <c r="Q1270" s="17">
        <f t="shared" si="29"/>
        <v>0</v>
      </c>
      <c r="R1270" s="285" t="s">
        <v>5110</v>
      </c>
      <c r="S1270" s="14">
        <v>42255</v>
      </c>
      <c r="T1270" s="22" t="s">
        <v>5528</v>
      </c>
    </row>
    <row r="1271" spans="1:20" ht="99.75" customHeight="1" x14ac:dyDescent="0.2">
      <c r="A1271" s="21">
        <v>1296</v>
      </c>
      <c r="B1271" s="12" t="s">
        <v>2411</v>
      </c>
      <c r="C1271" s="18"/>
      <c r="D1271" s="9" t="s">
        <v>878</v>
      </c>
      <c r="E1271" s="22"/>
      <c r="F1271" s="9" t="s">
        <v>1302</v>
      </c>
      <c r="G1271" s="285" t="s">
        <v>7464</v>
      </c>
      <c r="H1271" s="285" t="s">
        <v>5127</v>
      </c>
      <c r="I1271" s="20"/>
      <c r="J1271" s="37" t="s">
        <v>3136</v>
      </c>
      <c r="K1271" s="57">
        <v>42297</v>
      </c>
      <c r="L1271" s="60" t="s">
        <v>5022</v>
      </c>
      <c r="M1271" s="57">
        <v>42254</v>
      </c>
      <c r="N1271" s="33">
        <v>1</v>
      </c>
      <c r="O1271" s="61">
        <v>41620.9</v>
      </c>
      <c r="P1271" s="61">
        <v>41620.9</v>
      </c>
      <c r="Q1271" s="17">
        <f t="shared" si="29"/>
        <v>0</v>
      </c>
      <c r="R1271" s="285" t="s">
        <v>1303</v>
      </c>
      <c r="S1271" s="14"/>
      <c r="T1271" s="22"/>
    </row>
    <row r="1272" spans="1:20" ht="95.25" customHeight="1" x14ac:dyDescent="0.2">
      <c r="A1272" s="21">
        <v>1297</v>
      </c>
      <c r="B1272" s="12" t="s">
        <v>2524</v>
      </c>
      <c r="C1272" s="18"/>
      <c r="D1272" s="9" t="s">
        <v>2528</v>
      </c>
      <c r="E1272" s="22" t="s">
        <v>1374</v>
      </c>
      <c r="F1272" s="9" t="s">
        <v>2529</v>
      </c>
      <c r="G1272" s="285" t="s">
        <v>2074</v>
      </c>
      <c r="H1272" s="285" t="s">
        <v>5127</v>
      </c>
      <c r="I1272" s="20"/>
      <c r="J1272" s="37" t="s">
        <v>3136</v>
      </c>
      <c r="K1272" s="57">
        <v>42304</v>
      </c>
      <c r="L1272" s="60" t="s">
        <v>5872</v>
      </c>
      <c r="M1272" s="57">
        <v>41899</v>
      </c>
      <c r="N1272" s="33">
        <v>1</v>
      </c>
      <c r="O1272" s="61">
        <v>6771</v>
      </c>
      <c r="P1272" s="61">
        <v>6771</v>
      </c>
      <c r="Q1272" s="17">
        <f t="shared" si="29"/>
        <v>0</v>
      </c>
      <c r="R1272" s="285" t="s">
        <v>1120</v>
      </c>
      <c r="S1272" s="14">
        <v>41899</v>
      </c>
      <c r="T1272" s="22" t="s">
        <v>1121</v>
      </c>
    </row>
    <row r="1273" spans="1:20" ht="95.25" customHeight="1" x14ac:dyDescent="0.2">
      <c r="A1273" s="21">
        <v>1298</v>
      </c>
      <c r="B1273" s="12" t="s">
        <v>2525</v>
      </c>
      <c r="C1273" s="18"/>
      <c r="D1273" s="9" t="s">
        <v>2530</v>
      </c>
      <c r="E1273" s="22" t="s">
        <v>1374</v>
      </c>
      <c r="F1273" s="9" t="s">
        <v>2531</v>
      </c>
      <c r="G1273" s="285" t="s">
        <v>2074</v>
      </c>
      <c r="H1273" s="285" t="s">
        <v>5127</v>
      </c>
      <c r="I1273" s="20"/>
      <c r="J1273" s="37" t="s">
        <v>3136</v>
      </c>
      <c r="K1273" s="57">
        <v>42304</v>
      </c>
      <c r="L1273" s="60" t="s">
        <v>5872</v>
      </c>
      <c r="M1273" s="57">
        <v>41899</v>
      </c>
      <c r="N1273" s="33">
        <v>1</v>
      </c>
      <c r="O1273" s="61">
        <v>13654</v>
      </c>
      <c r="P1273" s="61">
        <v>13654</v>
      </c>
      <c r="Q1273" s="17">
        <f t="shared" si="29"/>
        <v>0</v>
      </c>
      <c r="R1273" s="285" t="s">
        <v>1120</v>
      </c>
      <c r="S1273" s="14">
        <v>41899</v>
      </c>
      <c r="T1273" s="22" t="s">
        <v>1121</v>
      </c>
    </row>
    <row r="1274" spans="1:20" ht="96" customHeight="1" x14ac:dyDescent="0.2">
      <c r="A1274" s="21">
        <v>1299</v>
      </c>
      <c r="B1274" s="12" t="s">
        <v>2526</v>
      </c>
      <c r="C1274" s="18"/>
      <c r="D1274" s="9" t="s">
        <v>2197</v>
      </c>
      <c r="E1274" s="22" t="s">
        <v>1374</v>
      </c>
      <c r="F1274" s="9" t="s">
        <v>2198</v>
      </c>
      <c r="G1274" s="285" t="s">
        <v>2074</v>
      </c>
      <c r="H1274" s="285" t="s">
        <v>5127</v>
      </c>
      <c r="I1274" s="20"/>
      <c r="J1274" s="37" t="s">
        <v>3136</v>
      </c>
      <c r="K1274" s="57">
        <v>42304</v>
      </c>
      <c r="L1274" s="60" t="s">
        <v>5872</v>
      </c>
      <c r="M1274" s="57">
        <v>41899</v>
      </c>
      <c r="N1274" s="33">
        <v>1</v>
      </c>
      <c r="O1274" s="61">
        <v>14302</v>
      </c>
      <c r="P1274" s="61">
        <v>14302</v>
      </c>
      <c r="Q1274" s="17">
        <f t="shared" si="29"/>
        <v>0</v>
      </c>
      <c r="R1274" s="285" t="s">
        <v>1120</v>
      </c>
      <c r="S1274" s="14">
        <v>41899</v>
      </c>
      <c r="T1274" s="22" t="s">
        <v>1121</v>
      </c>
    </row>
    <row r="1275" spans="1:20" ht="96" customHeight="1" x14ac:dyDescent="0.2">
      <c r="A1275" s="21">
        <v>1300</v>
      </c>
      <c r="B1275" s="12" t="s">
        <v>2527</v>
      </c>
      <c r="C1275" s="18"/>
      <c r="D1275" s="9" t="s">
        <v>5870</v>
      </c>
      <c r="E1275" s="22" t="s">
        <v>1374</v>
      </c>
      <c r="F1275" s="9" t="s">
        <v>2199</v>
      </c>
      <c r="G1275" s="285" t="s">
        <v>2074</v>
      </c>
      <c r="H1275" s="285" t="s">
        <v>5127</v>
      </c>
      <c r="I1275" s="20"/>
      <c r="J1275" s="37" t="s">
        <v>3136</v>
      </c>
      <c r="K1275" s="57">
        <v>42304</v>
      </c>
      <c r="L1275" s="60" t="s">
        <v>5872</v>
      </c>
      <c r="M1275" s="57">
        <v>41899</v>
      </c>
      <c r="N1275" s="33">
        <v>1</v>
      </c>
      <c r="O1275" s="61">
        <v>20828</v>
      </c>
      <c r="P1275" s="61">
        <v>20828</v>
      </c>
      <c r="Q1275" s="17">
        <f t="shared" si="29"/>
        <v>0</v>
      </c>
      <c r="R1275" s="285" t="s">
        <v>1120</v>
      </c>
      <c r="S1275" s="14">
        <v>41899</v>
      </c>
      <c r="T1275" s="22" t="s">
        <v>1121</v>
      </c>
    </row>
    <row r="1276" spans="1:20" ht="37.5" customHeight="1" x14ac:dyDescent="0.2">
      <c r="A1276" s="21">
        <v>1301</v>
      </c>
      <c r="B1276" s="12" t="s">
        <v>8073</v>
      </c>
      <c r="C1276" s="18"/>
      <c r="D1276" s="9" t="s">
        <v>3950</v>
      </c>
      <c r="E1276" s="22" t="s">
        <v>4834</v>
      </c>
      <c r="F1276" s="9" t="s">
        <v>1551</v>
      </c>
      <c r="G1276" s="285"/>
      <c r="H1276" s="285" t="s">
        <v>2042</v>
      </c>
      <c r="I1276" s="20" t="s">
        <v>2207</v>
      </c>
      <c r="J1276" s="37" t="s">
        <v>3136</v>
      </c>
      <c r="K1276" s="57">
        <v>42304</v>
      </c>
      <c r="L1276" s="60" t="s">
        <v>1416</v>
      </c>
      <c r="M1276" s="57">
        <v>42304</v>
      </c>
      <c r="N1276" s="33">
        <v>1</v>
      </c>
      <c r="O1276" s="61">
        <v>385530</v>
      </c>
      <c r="P1276" s="61">
        <v>0</v>
      </c>
      <c r="Q1276" s="17">
        <f t="shared" si="29"/>
        <v>385530</v>
      </c>
      <c r="R1276" s="285" t="s">
        <v>1722</v>
      </c>
      <c r="S1276" s="14"/>
      <c r="T1276" s="22"/>
    </row>
    <row r="1277" spans="1:20" ht="37.5" customHeight="1" x14ac:dyDescent="0.2">
      <c r="A1277" s="21">
        <v>1302</v>
      </c>
      <c r="B1277" s="12" t="s">
        <v>6288</v>
      </c>
      <c r="C1277" s="18"/>
      <c r="D1277" s="9" t="s">
        <v>4110</v>
      </c>
      <c r="E1277" s="22" t="s">
        <v>4834</v>
      </c>
      <c r="F1277" s="9" t="s">
        <v>4111</v>
      </c>
      <c r="G1277" s="285" t="s">
        <v>7983</v>
      </c>
      <c r="H1277" s="285" t="s">
        <v>5127</v>
      </c>
      <c r="I1277" s="20"/>
      <c r="J1277" s="37" t="s">
        <v>3136</v>
      </c>
      <c r="K1277" s="57">
        <v>42307</v>
      </c>
      <c r="L1277" s="60" t="s">
        <v>2299</v>
      </c>
      <c r="M1277" s="57">
        <v>42278</v>
      </c>
      <c r="N1277" s="33">
        <v>1</v>
      </c>
      <c r="O1277" s="61">
        <v>335000</v>
      </c>
      <c r="P1277" s="61">
        <v>335000</v>
      </c>
      <c r="Q1277" s="17">
        <f t="shared" si="29"/>
        <v>0</v>
      </c>
      <c r="R1277" s="285" t="s">
        <v>4112</v>
      </c>
      <c r="S1277" s="14">
        <v>42278</v>
      </c>
      <c r="T1277" s="22" t="s">
        <v>4113</v>
      </c>
    </row>
    <row r="1278" spans="1:20" ht="65.25" customHeight="1" x14ac:dyDescent="0.2">
      <c r="A1278" s="21">
        <v>1303</v>
      </c>
      <c r="B1278" s="12" t="s">
        <v>2300</v>
      </c>
      <c r="C1278" s="18"/>
      <c r="D1278" s="9" t="s">
        <v>2301</v>
      </c>
      <c r="E1278" s="22" t="s">
        <v>4834</v>
      </c>
      <c r="F1278" s="9" t="s">
        <v>3338</v>
      </c>
      <c r="G1278" s="285" t="s">
        <v>4296</v>
      </c>
      <c r="H1278" s="285" t="s">
        <v>3793</v>
      </c>
      <c r="I1278" s="289"/>
      <c r="J1278" s="285" t="s">
        <v>3136</v>
      </c>
      <c r="K1278" s="14">
        <v>42325</v>
      </c>
      <c r="L1278" s="12" t="s">
        <v>3794</v>
      </c>
      <c r="M1278" s="15">
        <v>42307</v>
      </c>
      <c r="N1278" s="33">
        <v>2</v>
      </c>
      <c r="O1278" s="61">
        <v>55694.92</v>
      </c>
      <c r="P1278" s="61">
        <v>55694.92</v>
      </c>
      <c r="Q1278" s="34">
        <f t="shared" si="29"/>
        <v>0</v>
      </c>
      <c r="R1278" s="285" t="s">
        <v>5110</v>
      </c>
      <c r="S1278" s="14">
        <v>42250</v>
      </c>
      <c r="T1278" s="22" t="s">
        <v>2302</v>
      </c>
    </row>
    <row r="1279" spans="1:20" ht="46.5" customHeight="1" x14ac:dyDescent="0.2">
      <c r="A1279" s="21">
        <v>1304</v>
      </c>
      <c r="B1279" s="12" t="s">
        <v>3560</v>
      </c>
      <c r="C1279" s="289" t="s">
        <v>5274</v>
      </c>
      <c r="D1279" s="9" t="s">
        <v>3561</v>
      </c>
      <c r="E1279" s="22" t="s">
        <v>4834</v>
      </c>
      <c r="F1279" s="9" t="s">
        <v>3562</v>
      </c>
      <c r="G1279" s="285" t="s">
        <v>9194</v>
      </c>
      <c r="H1279" s="285" t="s">
        <v>5127</v>
      </c>
      <c r="I1279" s="20"/>
      <c r="J1279" s="37" t="s">
        <v>3136</v>
      </c>
      <c r="K1279" s="32">
        <v>42338</v>
      </c>
      <c r="L1279" s="37">
        <v>970</v>
      </c>
      <c r="M1279" s="57">
        <v>42331</v>
      </c>
      <c r="N1279" s="33">
        <v>1</v>
      </c>
      <c r="O1279" s="61">
        <v>49760</v>
      </c>
      <c r="P1279" s="61">
        <v>35246.949999999997</v>
      </c>
      <c r="Q1279" s="17">
        <f t="shared" ref="Q1279:Q1303" si="30">O1279-P1279</f>
        <v>14513.050000000003</v>
      </c>
      <c r="R1279" s="285" t="s">
        <v>5110</v>
      </c>
      <c r="S1279" s="14">
        <v>42327</v>
      </c>
      <c r="T1279" s="22" t="s">
        <v>3563</v>
      </c>
    </row>
    <row r="1280" spans="1:20" ht="46.5" customHeight="1" x14ac:dyDescent="0.2">
      <c r="A1280" s="21">
        <v>1305</v>
      </c>
      <c r="B1280" s="12" t="s">
        <v>686</v>
      </c>
      <c r="C1280" s="289"/>
      <c r="D1280" s="9" t="s">
        <v>878</v>
      </c>
      <c r="E1280" s="22" t="s">
        <v>4834</v>
      </c>
      <c r="F1280" s="9" t="s">
        <v>687</v>
      </c>
      <c r="G1280" s="285" t="s">
        <v>7464</v>
      </c>
      <c r="H1280" s="285" t="s">
        <v>5127</v>
      </c>
      <c r="I1280" s="20"/>
      <c r="J1280" s="37" t="s">
        <v>3136</v>
      </c>
      <c r="K1280" s="32">
        <v>42362</v>
      </c>
      <c r="L1280" s="37">
        <v>1047</v>
      </c>
      <c r="M1280" s="57">
        <v>42342</v>
      </c>
      <c r="N1280" s="33">
        <v>1</v>
      </c>
      <c r="O1280" s="61">
        <v>41620</v>
      </c>
      <c r="P1280" s="61">
        <v>41620</v>
      </c>
      <c r="Q1280" s="17">
        <f t="shared" si="30"/>
        <v>0</v>
      </c>
      <c r="R1280" s="285" t="s">
        <v>2627</v>
      </c>
      <c r="S1280" s="14">
        <v>42342</v>
      </c>
      <c r="T1280" s="22" t="s">
        <v>688</v>
      </c>
    </row>
    <row r="1281" spans="1:20" ht="99.75" customHeight="1" x14ac:dyDescent="0.2">
      <c r="A1281" s="21">
        <v>1306</v>
      </c>
      <c r="B1281" s="12" t="s">
        <v>1204</v>
      </c>
      <c r="C1281" s="289"/>
      <c r="D1281" s="9" t="s">
        <v>1205</v>
      </c>
      <c r="E1281" s="22" t="s">
        <v>4834</v>
      </c>
      <c r="F1281" s="9" t="s">
        <v>1206</v>
      </c>
      <c r="G1281" s="285" t="s">
        <v>6266</v>
      </c>
      <c r="H1281" s="37" t="s">
        <v>5127</v>
      </c>
      <c r="I1281" s="20"/>
      <c r="J1281" s="37" t="s">
        <v>3136</v>
      </c>
      <c r="K1281" s="32">
        <v>42410</v>
      </c>
      <c r="L1281" s="37">
        <v>140</v>
      </c>
      <c r="M1281" s="57">
        <v>42367</v>
      </c>
      <c r="N1281" s="33">
        <v>1</v>
      </c>
      <c r="O1281" s="61">
        <v>9590</v>
      </c>
      <c r="P1281" s="61">
        <v>9590</v>
      </c>
      <c r="Q1281" s="17">
        <f t="shared" si="30"/>
        <v>0</v>
      </c>
      <c r="R1281" s="285" t="s">
        <v>3418</v>
      </c>
      <c r="S1281" s="14">
        <v>42366</v>
      </c>
      <c r="T1281" s="22" t="s">
        <v>1207</v>
      </c>
    </row>
    <row r="1282" spans="1:20" ht="84.75" customHeight="1" x14ac:dyDescent="0.2">
      <c r="A1282" s="21">
        <v>1307</v>
      </c>
      <c r="B1282" s="12" t="s">
        <v>1208</v>
      </c>
      <c r="C1282" s="289"/>
      <c r="D1282" s="9" t="s">
        <v>1209</v>
      </c>
      <c r="E1282" s="22" t="s">
        <v>4834</v>
      </c>
      <c r="F1282" s="79" t="s">
        <v>1210</v>
      </c>
      <c r="G1282" s="285" t="s">
        <v>6266</v>
      </c>
      <c r="H1282" s="37" t="s">
        <v>5127</v>
      </c>
      <c r="I1282" s="20"/>
      <c r="J1282" s="37" t="s">
        <v>3136</v>
      </c>
      <c r="K1282" s="32">
        <v>42410</v>
      </c>
      <c r="L1282" s="37">
        <v>140</v>
      </c>
      <c r="M1282" s="57">
        <v>42367</v>
      </c>
      <c r="N1282" s="33">
        <v>1</v>
      </c>
      <c r="O1282" s="61">
        <v>5290</v>
      </c>
      <c r="P1282" s="61">
        <v>5290</v>
      </c>
      <c r="Q1282" s="17">
        <f t="shared" si="30"/>
        <v>0</v>
      </c>
      <c r="R1282" s="285" t="s">
        <v>3418</v>
      </c>
      <c r="S1282" s="14">
        <v>42366</v>
      </c>
      <c r="T1282" s="22" t="s">
        <v>1207</v>
      </c>
    </row>
    <row r="1283" spans="1:20" ht="84.75" customHeight="1" x14ac:dyDescent="0.2">
      <c r="A1283" s="21">
        <v>1308</v>
      </c>
      <c r="B1283" s="12" t="s">
        <v>3710</v>
      </c>
      <c r="C1283" s="289"/>
      <c r="D1283" s="9" t="s">
        <v>3715</v>
      </c>
      <c r="E1283" s="22" t="s">
        <v>4834</v>
      </c>
      <c r="F1283" s="79" t="s">
        <v>3716</v>
      </c>
      <c r="G1283" s="285" t="s">
        <v>7983</v>
      </c>
      <c r="H1283" s="285" t="s">
        <v>5127</v>
      </c>
      <c r="I1283" s="20"/>
      <c r="J1283" s="37" t="s">
        <v>3136</v>
      </c>
      <c r="K1283" s="32">
        <v>42368</v>
      </c>
      <c r="L1283" s="37">
        <v>1078</v>
      </c>
      <c r="M1283" s="57">
        <v>42352</v>
      </c>
      <c r="N1283" s="33">
        <v>6</v>
      </c>
      <c r="O1283" s="61">
        <v>113526</v>
      </c>
      <c r="P1283" s="61">
        <v>113526</v>
      </c>
      <c r="Q1283" s="17">
        <f t="shared" si="30"/>
        <v>0</v>
      </c>
      <c r="R1283" s="285"/>
      <c r="S1283" s="14"/>
      <c r="T1283" s="22"/>
    </row>
    <row r="1284" spans="1:20" ht="83.25" customHeight="1" x14ac:dyDescent="0.2">
      <c r="A1284" s="21">
        <v>1309</v>
      </c>
      <c r="B1284" s="12" t="s">
        <v>3711</v>
      </c>
      <c r="C1284" s="289"/>
      <c r="D1284" s="9" t="s">
        <v>7393</v>
      </c>
      <c r="E1284" s="22" t="s">
        <v>4834</v>
      </c>
      <c r="F1284" s="79" t="s">
        <v>6211</v>
      </c>
      <c r="G1284" s="285" t="s">
        <v>7983</v>
      </c>
      <c r="H1284" s="285" t="s">
        <v>5127</v>
      </c>
      <c r="I1284" s="20"/>
      <c r="J1284" s="37" t="s">
        <v>3136</v>
      </c>
      <c r="K1284" s="32">
        <v>42368</v>
      </c>
      <c r="L1284" s="37">
        <v>1078</v>
      </c>
      <c r="M1284" s="57">
        <v>42352</v>
      </c>
      <c r="N1284" s="33">
        <v>1</v>
      </c>
      <c r="O1284" s="61">
        <v>22467</v>
      </c>
      <c r="P1284" s="61">
        <v>22467</v>
      </c>
      <c r="Q1284" s="17">
        <f t="shared" si="30"/>
        <v>0</v>
      </c>
      <c r="R1284" s="285"/>
      <c r="S1284" s="14"/>
      <c r="T1284" s="22"/>
    </row>
    <row r="1285" spans="1:20" ht="83.25" customHeight="1" x14ac:dyDescent="0.2">
      <c r="A1285" s="21">
        <v>1310</v>
      </c>
      <c r="B1285" s="12" t="s">
        <v>3712</v>
      </c>
      <c r="C1285" s="268"/>
      <c r="D1285" s="121" t="s">
        <v>3717</v>
      </c>
      <c r="E1285" s="119" t="s">
        <v>4834</v>
      </c>
      <c r="F1285" s="269" t="s">
        <v>3718</v>
      </c>
      <c r="G1285" s="285" t="s">
        <v>7983</v>
      </c>
      <c r="H1285" s="285" t="s">
        <v>5127</v>
      </c>
      <c r="I1285" s="20"/>
      <c r="J1285" s="37" t="s">
        <v>3136</v>
      </c>
      <c r="K1285" s="32">
        <v>42368</v>
      </c>
      <c r="L1285" s="37">
        <v>1078</v>
      </c>
      <c r="M1285" s="57">
        <v>42352</v>
      </c>
      <c r="N1285" s="33">
        <v>1</v>
      </c>
      <c r="O1285" s="61">
        <v>10209.23</v>
      </c>
      <c r="P1285" s="61">
        <v>10209.23</v>
      </c>
      <c r="Q1285" s="17">
        <f t="shared" si="30"/>
        <v>0</v>
      </c>
      <c r="R1285" s="285"/>
      <c r="S1285" s="14"/>
      <c r="T1285" s="22"/>
    </row>
    <row r="1286" spans="1:20" ht="84.75" customHeight="1" x14ac:dyDescent="0.2">
      <c r="A1286" s="21">
        <v>1311</v>
      </c>
      <c r="B1286" s="12" t="s">
        <v>3713</v>
      </c>
      <c r="C1286" s="289"/>
      <c r="D1286" s="9" t="s">
        <v>3719</v>
      </c>
      <c r="E1286" s="22" t="s">
        <v>4834</v>
      </c>
      <c r="F1286" s="79" t="s">
        <v>3720</v>
      </c>
      <c r="G1286" s="285" t="s">
        <v>7983</v>
      </c>
      <c r="H1286" s="285" t="s">
        <v>5127</v>
      </c>
      <c r="I1286" s="20"/>
      <c r="J1286" s="37" t="s">
        <v>3136</v>
      </c>
      <c r="K1286" s="32">
        <v>42368</v>
      </c>
      <c r="L1286" s="37">
        <v>1078</v>
      </c>
      <c r="M1286" s="57">
        <v>42352</v>
      </c>
      <c r="N1286" s="33">
        <v>1</v>
      </c>
      <c r="O1286" s="61">
        <v>12700</v>
      </c>
      <c r="P1286" s="61">
        <v>12700</v>
      </c>
      <c r="Q1286" s="17">
        <f t="shared" si="30"/>
        <v>0</v>
      </c>
      <c r="R1286" s="285"/>
      <c r="S1286" s="14"/>
      <c r="T1286" s="22"/>
    </row>
    <row r="1287" spans="1:20" ht="84.75" customHeight="1" x14ac:dyDescent="0.2">
      <c r="A1287" s="21">
        <v>1312</v>
      </c>
      <c r="B1287" s="12" t="s">
        <v>3714</v>
      </c>
      <c r="C1287" s="289"/>
      <c r="D1287" s="9" t="s">
        <v>71</v>
      </c>
      <c r="E1287" s="22" t="s">
        <v>4834</v>
      </c>
      <c r="F1287" s="79" t="s">
        <v>72</v>
      </c>
      <c r="G1287" s="285" t="s">
        <v>7983</v>
      </c>
      <c r="H1287" s="285" t="s">
        <v>5127</v>
      </c>
      <c r="I1287" s="20"/>
      <c r="J1287" s="37" t="s">
        <v>3136</v>
      </c>
      <c r="K1287" s="32">
        <v>42368</v>
      </c>
      <c r="L1287" s="37">
        <v>1078</v>
      </c>
      <c r="M1287" s="57">
        <v>42352</v>
      </c>
      <c r="N1287" s="33">
        <v>1</v>
      </c>
      <c r="O1287" s="61">
        <v>33000</v>
      </c>
      <c r="P1287" s="61">
        <v>33000</v>
      </c>
      <c r="Q1287" s="17">
        <f t="shared" si="30"/>
        <v>0</v>
      </c>
      <c r="R1287" s="285"/>
      <c r="S1287" s="14"/>
      <c r="T1287" s="22"/>
    </row>
    <row r="1288" spans="1:20" ht="84" customHeight="1" x14ac:dyDescent="0.2">
      <c r="A1288" s="21">
        <v>1313</v>
      </c>
      <c r="B1288" s="12" t="s">
        <v>788</v>
      </c>
      <c r="C1288" s="289"/>
      <c r="D1288" s="9" t="s">
        <v>5170</v>
      </c>
      <c r="E1288" s="22" t="s">
        <v>4834</v>
      </c>
      <c r="F1288" s="79"/>
      <c r="G1288" s="285" t="s">
        <v>4296</v>
      </c>
      <c r="H1288" s="285" t="s">
        <v>3793</v>
      </c>
      <c r="I1288" s="20"/>
      <c r="J1288" s="37" t="s">
        <v>3136</v>
      </c>
      <c r="K1288" s="32">
        <v>42384</v>
      </c>
      <c r="L1288" s="37">
        <v>15</v>
      </c>
      <c r="M1288" s="57">
        <v>42366</v>
      </c>
      <c r="N1288" s="33">
        <v>1</v>
      </c>
      <c r="O1288" s="61">
        <v>20644.060000000001</v>
      </c>
      <c r="P1288" s="61">
        <v>20644.060000000001</v>
      </c>
      <c r="Q1288" s="17">
        <f t="shared" si="30"/>
        <v>0</v>
      </c>
      <c r="R1288" s="285" t="s">
        <v>5110</v>
      </c>
      <c r="S1288" s="14">
        <v>42340</v>
      </c>
      <c r="T1288" s="22" t="s">
        <v>789</v>
      </c>
    </row>
    <row r="1289" spans="1:20" ht="84" customHeight="1" x14ac:dyDescent="0.2">
      <c r="A1289" s="21">
        <v>1314</v>
      </c>
      <c r="B1289" s="12" t="s">
        <v>6208</v>
      </c>
      <c r="C1289" s="289"/>
      <c r="D1289" s="9" t="s">
        <v>6210</v>
      </c>
      <c r="E1289" s="22" t="s">
        <v>4834</v>
      </c>
      <c r="F1289" s="79" t="s">
        <v>6212</v>
      </c>
      <c r="G1289" s="285" t="s">
        <v>7846</v>
      </c>
      <c r="H1289" s="285" t="s">
        <v>5127</v>
      </c>
      <c r="I1289" s="20"/>
      <c r="J1289" s="37" t="s">
        <v>3136</v>
      </c>
      <c r="K1289" s="32">
        <v>42402</v>
      </c>
      <c r="L1289" s="37">
        <v>111</v>
      </c>
      <c r="M1289" s="57">
        <v>42331</v>
      </c>
      <c r="N1289" s="33">
        <v>1</v>
      </c>
      <c r="O1289" s="61">
        <v>30573.25</v>
      </c>
      <c r="P1289" s="61">
        <v>30573.25</v>
      </c>
      <c r="Q1289" s="17">
        <f t="shared" si="30"/>
        <v>0</v>
      </c>
      <c r="R1289" s="285" t="s">
        <v>6213</v>
      </c>
      <c r="S1289" s="14" t="s">
        <v>6214</v>
      </c>
      <c r="T1289" s="22" t="s">
        <v>6215</v>
      </c>
    </row>
    <row r="1290" spans="1:20" ht="91.5" customHeight="1" x14ac:dyDescent="0.2">
      <c r="A1290" s="21">
        <v>1315</v>
      </c>
      <c r="B1290" s="12" t="s">
        <v>6209</v>
      </c>
      <c r="C1290" s="289"/>
      <c r="D1290" s="9" t="s">
        <v>6216</v>
      </c>
      <c r="E1290" s="22" t="s">
        <v>4834</v>
      </c>
      <c r="F1290" s="41" t="s">
        <v>6217</v>
      </c>
      <c r="G1290" s="285" t="s">
        <v>7846</v>
      </c>
      <c r="H1290" s="285" t="s">
        <v>5127</v>
      </c>
      <c r="I1290" s="20"/>
      <c r="J1290" s="37" t="s">
        <v>3136</v>
      </c>
      <c r="K1290" s="32">
        <v>42402</v>
      </c>
      <c r="L1290" s="37">
        <v>111</v>
      </c>
      <c r="M1290" s="57">
        <v>42331</v>
      </c>
      <c r="N1290" s="33">
        <v>1</v>
      </c>
      <c r="O1290" s="61">
        <v>11096</v>
      </c>
      <c r="P1290" s="61">
        <v>11096</v>
      </c>
      <c r="Q1290" s="17">
        <f t="shared" si="30"/>
        <v>0</v>
      </c>
      <c r="R1290" s="285" t="s">
        <v>6213</v>
      </c>
      <c r="S1290" s="14" t="s">
        <v>6214</v>
      </c>
      <c r="T1290" s="22" t="s">
        <v>6215</v>
      </c>
    </row>
    <row r="1291" spans="1:20" ht="91.5" customHeight="1" x14ac:dyDescent="0.2">
      <c r="A1291" s="21">
        <v>1316</v>
      </c>
      <c r="B1291" s="12" t="s">
        <v>6224</v>
      </c>
      <c r="C1291" s="289"/>
      <c r="D1291" s="9" t="s">
        <v>6225</v>
      </c>
      <c r="E1291" s="22" t="s">
        <v>4834</v>
      </c>
      <c r="F1291" s="79" t="s">
        <v>6226</v>
      </c>
      <c r="G1291" s="285" t="s">
        <v>4296</v>
      </c>
      <c r="H1291" s="285" t="s">
        <v>3793</v>
      </c>
      <c r="I1291" s="20"/>
      <c r="J1291" s="37" t="s">
        <v>3136</v>
      </c>
      <c r="K1291" s="32">
        <v>42405</v>
      </c>
      <c r="L1291" s="37">
        <v>128</v>
      </c>
      <c r="M1291" s="57">
        <v>42384</v>
      </c>
      <c r="N1291" s="33">
        <v>1</v>
      </c>
      <c r="O1291" s="61">
        <v>23137.279999999999</v>
      </c>
      <c r="P1291" s="61">
        <v>23137.279999999999</v>
      </c>
      <c r="Q1291" s="17">
        <f t="shared" si="30"/>
        <v>0</v>
      </c>
      <c r="R1291" s="285" t="s">
        <v>5363</v>
      </c>
      <c r="S1291" s="14">
        <v>42299</v>
      </c>
      <c r="T1291" s="22" t="s">
        <v>6227</v>
      </c>
    </row>
    <row r="1292" spans="1:20" ht="84" customHeight="1" x14ac:dyDescent="0.2">
      <c r="A1292" s="21">
        <v>1317</v>
      </c>
      <c r="B1292" s="12" t="s">
        <v>6231</v>
      </c>
      <c r="C1292" s="289"/>
      <c r="D1292" s="9" t="s">
        <v>6228</v>
      </c>
      <c r="E1292" s="22" t="s">
        <v>4980</v>
      </c>
      <c r="F1292" s="79" t="s">
        <v>6229</v>
      </c>
      <c r="G1292" s="285" t="s">
        <v>4296</v>
      </c>
      <c r="H1292" s="285" t="s">
        <v>3793</v>
      </c>
      <c r="I1292" s="20"/>
      <c r="J1292" s="37" t="s">
        <v>3136</v>
      </c>
      <c r="K1292" s="32">
        <v>42410</v>
      </c>
      <c r="L1292" s="37">
        <v>141</v>
      </c>
      <c r="M1292" s="57">
        <v>42390</v>
      </c>
      <c r="N1292" s="33">
        <v>1</v>
      </c>
      <c r="O1292" s="61">
        <v>70803.73</v>
      </c>
      <c r="P1292" s="61">
        <v>70803.73</v>
      </c>
      <c r="Q1292" s="17">
        <f t="shared" si="30"/>
        <v>0</v>
      </c>
      <c r="R1292" s="285" t="s">
        <v>6233</v>
      </c>
      <c r="S1292" s="14" t="s">
        <v>6234</v>
      </c>
      <c r="T1292" s="22" t="s">
        <v>4047</v>
      </c>
    </row>
    <row r="1293" spans="1:20" ht="84" customHeight="1" x14ac:dyDescent="0.2">
      <c r="A1293" s="21">
        <v>1318</v>
      </c>
      <c r="B1293" s="12" t="s">
        <v>6232</v>
      </c>
      <c r="C1293" s="289"/>
      <c r="D1293" s="9" t="s">
        <v>6228</v>
      </c>
      <c r="E1293" s="22" t="s">
        <v>3412</v>
      </c>
      <c r="F1293" s="79" t="s">
        <v>6230</v>
      </c>
      <c r="G1293" s="285" t="s">
        <v>4296</v>
      </c>
      <c r="H1293" s="285" t="s">
        <v>3793</v>
      </c>
      <c r="I1293" s="20"/>
      <c r="J1293" s="37" t="s">
        <v>3136</v>
      </c>
      <c r="K1293" s="32">
        <v>42410</v>
      </c>
      <c r="L1293" s="37">
        <v>141</v>
      </c>
      <c r="M1293" s="57">
        <v>42390</v>
      </c>
      <c r="N1293" s="33">
        <v>1</v>
      </c>
      <c r="O1293" s="61">
        <v>97355.13</v>
      </c>
      <c r="P1293" s="61">
        <v>97355.13</v>
      </c>
      <c r="Q1293" s="17">
        <f t="shared" si="30"/>
        <v>0</v>
      </c>
      <c r="R1293" s="285" t="s">
        <v>6233</v>
      </c>
      <c r="S1293" s="14" t="s">
        <v>6234</v>
      </c>
      <c r="T1293" s="22" t="s">
        <v>4047</v>
      </c>
    </row>
    <row r="1294" spans="1:20" ht="84" customHeight="1" x14ac:dyDescent="0.2">
      <c r="A1294" s="21">
        <v>1319</v>
      </c>
      <c r="B1294" s="12" t="s">
        <v>6252</v>
      </c>
      <c r="C1294" s="289"/>
      <c r="D1294" s="9" t="s">
        <v>6253</v>
      </c>
      <c r="E1294" s="22" t="s">
        <v>6254</v>
      </c>
      <c r="F1294" s="79" t="s">
        <v>6255</v>
      </c>
      <c r="G1294" s="285" t="s">
        <v>4296</v>
      </c>
      <c r="H1294" s="285" t="s">
        <v>3793</v>
      </c>
      <c r="I1294" s="20"/>
      <c r="J1294" s="37" t="s">
        <v>3136</v>
      </c>
      <c r="K1294" s="32">
        <v>42432</v>
      </c>
      <c r="L1294" s="37">
        <v>219</v>
      </c>
      <c r="M1294" s="57">
        <v>42412</v>
      </c>
      <c r="N1294" s="33">
        <v>1</v>
      </c>
      <c r="O1294" s="61">
        <v>42548.31</v>
      </c>
      <c r="P1294" s="61">
        <v>41535.46</v>
      </c>
      <c r="Q1294" s="17">
        <f t="shared" si="30"/>
        <v>1012.8499999999985</v>
      </c>
      <c r="R1294" s="285" t="s">
        <v>5110</v>
      </c>
      <c r="S1294" s="14">
        <v>42023</v>
      </c>
      <c r="T1294" s="22" t="s">
        <v>6256</v>
      </c>
    </row>
    <row r="1295" spans="1:20" ht="87" customHeight="1" x14ac:dyDescent="0.2">
      <c r="A1295" s="21">
        <v>1320</v>
      </c>
      <c r="B1295" s="12" t="s">
        <v>6262</v>
      </c>
      <c r="C1295" s="289"/>
      <c r="D1295" s="9" t="s">
        <v>6263</v>
      </c>
      <c r="E1295" s="22" t="s">
        <v>4834</v>
      </c>
      <c r="F1295" s="79" t="s">
        <v>6264</v>
      </c>
      <c r="G1295" s="285" t="s">
        <v>6266</v>
      </c>
      <c r="H1295" s="285" t="s">
        <v>5127</v>
      </c>
      <c r="I1295" s="20"/>
      <c r="J1295" s="37" t="s">
        <v>3136</v>
      </c>
      <c r="K1295" s="32">
        <v>42443</v>
      </c>
      <c r="L1295" s="37">
        <v>231</v>
      </c>
      <c r="M1295" s="57">
        <v>42429</v>
      </c>
      <c r="N1295" s="33">
        <v>1</v>
      </c>
      <c r="O1295" s="61">
        <v>19990</v>
      </c>
      <c r="P1295" s="61">
        <v>19990</v>
      </c>
      <c r="Q1295" s="17">
        <f t="shared" si="30"/>
        <v>0</v>
      </c>
      <c r="R1295" s="285" t="s">
        <v>3418</v>
      </c>
      <c r="S1295" s="14">
        <v>42417</v>
      </c>
      <c r="T1295" s="22" t="s">
        <v>6265</v>
      </c>
    </row>
    <row r="1296" spans="1:20" ht="87" customHeight="1" x14ac:dyDescent="0.2">
      <c r="A1296" s="21">
        <v>1321</v>
      </c>
      <c r="B1296" s="12" t="s">
        <v>5536</v>
      </c>
      <c r="C1296" s="289"/>
      <c r="D1296" s="9" t="s">
        <v>4868</v>
      </c>
      <c r="E1296" s="22" t="s">
        <v>1409</v>
      </c>
      <c r="F1296" s="79"/>
      <c r="G1296" s="285" t="s">
        <v>7983</v>
      </c>
      <c r="H1296" s="285" t="s">
        <v>5127</v>
      </c>
      <c r="I1296" s="20"/>
      <c r="J1296" s="37" t="s">
        <v>3136</v>
      </c>
      <c r="K1296" s="32">
        <v>42447</v>
      </c>
      <c r="L1296" s="37">
        <v>253</v>
      </c>
      <c r="M1296" s="57">
        <v>39070</v>
      </c>
      <c r="N1296" s="33">
        <v>1</v>
      </c>
      <c r="O1296" s="61">
        <v>16113.96</v>
      </c>
      <c r="P1296" s="61">
        <v>16113.96</v>
      </c>
      <c r="Q1296" s="17">
        <f t="shared" si="30"/>
        <v>0</v>
      </c>
      <c r="R1296" s="285" t="s">
        <v>5890</v>
      </c>
      <c r="S1296" s="14">
        <v>40598</v>
      </c>
      <c r="T1296" s="22" t="s">
        <v>4043</v>
      </c>
    </row>
    <row r="1297" spans="1:20" ht="299.25" customHeight="1" x14ac:dyDescent="0.2">
      <c r="A1297" s="21">
        <v>1322</v>
      </c>
      <c r="B1297" s="12" t="s">
        <v>586</v>
      </c>
      <c r="C1297" s="289"/>
      <c r="D1297" s="9" t="s">
        <v>587</v>
      </c>
      <c r="E1297" s="22" t="s">
        <v>4834</v>
      </c>
      <c r="F1297" s="9" t="s">
        <v>588</v>
      </c>
      <c r="G1297" s="285" t="s">
        <v>515</v>
      </c>
      <c r="H1297" s="285" t="s">
        <v>5127</v>
      </c>
      <c r="I1297" s="20"/>
      <c r="J1297" s="285" t="s">
        <v>3136</v>
      </c>
      <c r="K1297" s="14">
        <v>42454</v>
      </c>
      <c r="L1297" s="285">
        <v>270</v>
      </c>
      <c r="M1297" s="15">
        <v>42429</v>
      </c>
      <c r="N1297" s="24">
        <v>1</v>
      </c>
      <c r="O1297" s="63">
        <v>13514</v>
      </c>
      <c r="P1297" s="63">
        <v>13514</v>
      </c>
      <c r="Q1297" s="17">
        <f t="shared" si="30"/>
        <v>0</v>
      </c>
      <c r="R1297" s="285" t="s">
        <v>6261</v>
      </c>
      <c r="S1297" s="14">
        <v>42366</v>
      </c>
      <c r="T1297" s="22" t="s">
        <v>589</v>
      </c>
    </row>
    <row r="1298" spans="1:20" ht="50.25" customHeight="1" x14ac:dyDescent="0.2">
      <c r="A1298" s="21">
        <v>1323</v>
      </c>
      <c r="B1298" s="12" t="s">
        <v>591</v>
      </c>
      <c r="C1298" s="289"/>
      <c r="D1298" s="9" t="s">
        <v>597</v>
      </c>
      <c r="E1298" s="22" t="s">
        <v>4426</v>
      </c>
      <c r="F1298" s="9" t="s">
        <v>598</v>
      </c>
      <c r="G1298" s="285" t="s">
        <v>7983</v>
      </c>
      <c r="H1298" s="285" t="s">
        <v>5127</v>
      </c>
      <c r="I1298" s="289"/>
      <c r="J1298" s="285" t="s">
        <v>3136</v>
      </c>
      <c r="K1298" s="14">
        <v>42459</v>
      </c>
      <c r="L1298" s="285">
        <v>300</v>
      </c>
      <c r="M1298" s="15">
        <v>40162</v>
      </c>
      <c r="N1298" s="24">
        <v>1</v>
      </c>
      <c r="O1298" s="63">
        <v>9066</v>
      </c>
      <c r="P1298" s="63">
        <v>9066</v>
      </c>
      <c r="Q1298" s="17">
        <f t="shared" si="30"/>
        <v>0</v>
      </c>
      <c r="R1298" s="285"/>
      <c r="S1298" s="14"/>
      <c r="T1298" s="22"/>
    </row>
    <row r="1299" spans="1:20" ht="50.25" customHeight="1" x14ac:dyDescent="0.2">
      <c r="A1299" s="21">
        <v>1324</v>
      </c>
      <c r="B1299" s="12" t="s">
        <v>592</v>
      </c>
      <c r="C1299" s="289"/>
      <c r="D1299" s="9" t="s">
        <v>3722</v>
      </c>
      <c r="E1299" s="22" t="s">
        <v>4426</v>
      </c>
      <c r="F1299" s="9" t="s">
        <v>3353</v>
      </c>
      <c r="G1299" s="285" t="s">
        <v>7983</v>
      </c>
      <c r="H1299" s="285" t="s">
        <v>5127</v>
      </c>
      <c r="I1299" s="289"/>
      <c r="J1299" s="285" t="s">
        <v>3136</v>
      </c>
      <c r="K1299" s="14">
        <v>42459</v>
      </c>
      <c r="L1299" s="285">
        <v>300</v>
      </c>
      <c r="M1299" s="15">
        <v>40169</v>
      </c>
      <c r="N1299" s="24">
        <v>1</v>
      </c>
      <c r="O1299" s="63">
        <v>5400</v>
      </c>
      <c r="P1299" s="63">
        <v>5400</v>
      </c>
      <c r="Q1299" s="17">
        <f t="shared" si="30"/>
        <v>0</v>
      </c>
      <c r="R1299" s="285"/>
      <c r="S1299" s="14"/>
      <c r="T1299" s="22"/>
    </row>
    <row r="1300" spans="1:20" ht="75.75" customHeight="1" x14ac:dyDescent="0.2">
      <c r="A1300" s="21">
        <v>1325</v>
      </c>
      <c r="B1300" s="12" t="s">
        <v>593</v>
      </c>
      <c r="C1300" s="289"/>
      <c r="D1300" s="9" t="s">
        <v>599</v>
      </c>
      <c r="E1300" s="22" t="s">
        <v>6220</v>
      </c>
      <c r="F1300" s="9" t="s">
        <v>3823</v>
      </c>
      <c r="G1300" s="285" t="s">
        <v>792</v>
      </c>
      <c r="H1300" s="37" t="s">
        <v>5127</v>
      </c>
      <c r="I1300" s="20"/>
      <c r="J1300" s="37" t="s">
        <v>3136</v>
      </c>
      <c r="K1300" s="32">
        <v>42459</v>
      </c>
      <c r="L1300" s="37">
        <v>298</v>
      </c>
      <c r="M1300" s="57">
        <v>42443</v>
      </c>
      <c r="N1300" s="33">
        <v>1</v>
      </c>
      <c r="O1300" s="61">
        <v>29990</v>
      </c>
      <c r="P1300" s="61">
        <v>29990</v>
      </c>
      <c r="Q1300" s="17">
        <f t="shared" si="30"/>
        <v>0</v>
      </c>
      <c r="R1300" s="285" t="s">
        <v>3418</v>
      </c>
      <c r="S1300" s="14">
        <v>42417</v>
      </c>
      <c r="T1300" s="22" t="s">
        <v>6265</v>
      </c>
    </row>
    <row r="1301" spans="1:20" ht="67.5" customHeight="1" x14ac:dyDescent="0.2">
      <c r="A1301" s="21">
        <v>1326</v>
      </c>
      <c r="B1301" s="12" t="s">
        <v>594</v>
      </c>
      <c r="C1301" s="289"/>
      <c r="D1301" s="9" t="s">
        <v>600</v>
      </c>
      <c r="E1301" s="22" t="s">
        <v>6220</v>
      </c>
      <c r="F1301" s="9" t="s">
        <v>3338</v>
      </c>
      <c r="G1301" s="285" t="s">
        <v>4296</v>
      </c>
      <c r="H1301" s="285" t="s">
        <v>3793</v>
      </c>
      <c r="I1301" s="289"/>
      <c r="J1301" s="285" t="s">
        <v>3136</v>
      </c>
      <c r="K1301" s="14">
        <v>42471</v>
      </c>
      <c r="L1301" s="285">
        <v>322</v>
      </c>
      <c r="M1301" s="15">
        <v>42440</v>
      </c>
      <c r="N1301" s="24">
        <v>2</v>
      </c>
      <c r="O1301" s="63">
        <v>36440.68</v>
      </c>
      <c r="P1301" s="63">
        <v>36440.68</v>
      </c>
      <c r="Q1301" s="17">
        <f t="shared" si="30"/>
        <v>0</v>
      </c>
      <c r="R1301" s="285" t="s">
        <v>5110</v>
      </c>
      <c r="S1301" s="14">
        <v>41308</v>
      </c>
      <c r="T1301" s="22" t="s">
        <v>601</v>
      </c>
    </row>
    <row r="1302" spans="1:20" ht="34.5" customHeight="1" x14ac:dyDescent="0.2">
      <c r="A1302" s="21">
        <v>1327</v>
      </c>
      <c r="B1302" s="12" t="s">
        <v>595</v>
      </c>
      <c r="C1302" s="289"/>
      <c r="D1302" s="9" t="s">
        <v>602</v>
      </c>
      <c r="E1302" s="22" t="s">
        <v>6220</v>
      </c>
      <c r="F1302" s="9"/>
      <c r="G1302" s="285" t="s">
        <v>4296</v>
      </c>
      <c r="H1302" s="37" t="s">
        <v>3793</v>
      </c>
      <c r="I1302" s="20"/>
      <c r="J1302" s="37" t="s">
        <v>3136</v>
      </c>
      <c r="K1302" s="32">
        <v>42471</v>
      </c>
      <c r="L1302" s="37">
        <v>322</v>
      </c>
      <c r="M1302" s="57">
        <v>42440</v>
      </c>
      <c r="N1302" s="33">
        <v>2</v>
      </c>
      <c r="O1302" s="61">
        <v>42542.37</v>
      </c>
      <c r="P1302" s="61">
        <v>42542.37</v>
      </c>
      <c r="Q1302" s="17">
        <f t="shared" si="30"/>
        <v>0</v>
      </c>
      <c r="R1302" s="285" t="s">
        <v>5110</v>
      </c>
      <c r="S1302" s="14">
        <v>41308</v>
      </c>
      <c r="T1302" s="22" t="s">
        <v>601</v>
      </c>
    </row>
    <row r="1303" spans="1:20" ht="75" customHeight="1" x14ac:dyDescent="0.2">
      <c r="A1303" s="21">
        <v>1328</v>
      </c>
      <c r="B1303" s="12" t="s">
        <v>596</v>
      </c>
      <c r="C1303" s="289"/>
      <c r="D1303" s="9" t="s">
        <v>604</v>
      </c>
      <c r="E1303" s="22" t="s">
        <v>6220</v>
      </c>
      <c r="F1303" s="9" t="s">
        <v>605</v>
      </c>
      <c r="G1303" s="285" t="s">
        <v>6266</v>
      </c>
      <c r="H1303" s="285" t="s">
        <v>5127</v>
      </c>
      <c r="I1303" s="289"/>
      <c r="J1303" s="285" t="s">
        <v>3136</v>
      </c>
      <c r="K1303" s="14">
        <v>42471</v>
      </c>
      <c r="L1303" s="285">
        <v>321</v>
      </c>
      <c r="M1303" s="15">
        <v>42446</v>
      </c>
      <c r="N1303" s="24">
        <v>1</v>
      </c>
      <c r="O1303" s="63">
        <v>13990</v>
      </c>
      <c r="P1303" s="63">
        <v>13990</v>
      </c>
      <c r="Q1303" s="17">
        <f t="shared" si="30"/>
        <v>0</v>
      </c>
      <c r="R1303" s="285" t="s">
        <v>2627</v>
      </c>
      <c r="S1303" s="14">
        <v>42123</v>
      </c>
      <c r="T1303" s="22" t="s">
        <v>606</v>
      </c>
    </row>
    <row r="1304" spans="1:20" ht="75.75" customHeight="1" x14ac:dyDescent="0.2">
      <c r="A1304" s="21">
        <v>1329</v>
      </c>
      <c r="B1304" s="12" t="s">
        <v>6314</v>
      </c>
      <c r="C1304" s="289"/>
      <c r="D1304" s="9" t="s">
        <v>3601</v>
      </c>
      <c r="E1304" s="22" t="s">
        <v>2222</v>
      </c>
      <c r="F1304" s="9" t="s">
        <v>6317</v>
      </c>
      <c r="G1304" s="285" t="s">
        <v>7917</v>
      </c>
      <c r="H1304" s="285" t="s">
        <v>5127</v>
      </c>
      <c r="I1304" s="20"/>
      <c r="J1304" s="285" t="s">
        <v>3136</v>
      </c>
      <c r="K1304" s="32">
        <v>42501</v>
      </c>
      <c r="L1304" s="37">
        <v>415</v>
      </c>
      <c r="M1304" s="57">
        <v>42481</v>
      </c>
      <c r="N1304" s="33">
        <v>1</v>
      </c>
      <c r="O1304" s="61">
        <v>23408</v>
      </c>
      <c r="P1304" s="61">
        <v>23408</v>
      </c>
      <c r="Q1304" s="17">
        <f t="shared" ref="Q1304:Q1366" si="31">O1304-P1304</f>
        <v>0</v>
      </c>
      <c r="R1304" s="285" t="s">
        <v>5364</v>
      </c>
      <c r="S1304" s="14">
        <v>42430</v>
      </c>
      <c r="T1304" s="22" t="s">
        <v>6382</v>
      </c>
    </row>
    <row r="1305" spans="1:20" ht="125.25" customHeight="1" x14ac:dyDescent="0.2">
      <c r="A1305" s="21">
        <v>1330</v>
      </c>
      <c r="B1305" s="12" t="s">
        <v>6315</v>
      </c>
      <c r="C1305" s="289"/>
      <c r="D1305" s="9" t="s">
        <v>6318</v>
      </c>
      <c r="E1305" s="22" t="s">
        <v>2222</v>
      </c>
      <c r="F1305" s="9" t="s">
        <v>6319</v>
      </c>
      <c r="G1305" s="285" t="s">
        <v>7917</v>
      </c>
      <c r="H1305" s="285" t="s">
        <v>5127</v>
      </c>
      <c r="I1305" s="20"/>
      <c r="J1305" s="285" t="s">
        <v>3136</v>
      </c>
      <c r="K1305" s="32">
        <v>42501</v>
      </c>
      <c r="L1305" s="37">
        <v>415</v>
      </c>
      <c r="M1305" s="57"/>
      <c r="N1305" s="33">
        <v>4</v>
      </c>
      <c r="O1305" s="61">
        <v>94372</v>
      </c>
      <c r="P1305" s="61">
        <v>94372</v>
      </c>
      <c r="Q1305" s="17">
        <f t="shared" si="31"/>
        <v>0</v>
      </c>
      <c r="R1305" s="285" t="s">
        <v>5364</v>
      </c>
      <c r="S1305" s="14">
        <v>42430</v>
      </c>
      <c r="T1305" s="22" t="s">
        <v>6382</v>
      </c>
    </row>
    <row r="1306" spans="1:20" ht="120" x14ac:dyDescent="0.2">
      <c r="A1306" s="21">
        <v>1331</v>
      </c>
      <c r="B1306" s="12" t="s">
        <v>6315</v>
      </c>
      <c r="C1306" s="289"/>
      <c r="D1306" s="9" t="s">
        <v>6318</v>
      </c>
      <c r="E1306" s="22" t="s">
        <v>2222</v>
      </c>
      <c r="F1306" s="9" t="s">
        <v>6319</v>
      </c>
      <c r="G1306" s="285" t="s">
        <v>7982</v>
      </c>
      <c r="H1306" s="285" t="s">
        <v>5127</v>
      </c>
      <c r="I1306" s="289"/>
      <c r="J1306" s="285" t="s">
        <v>3136</v>
      </c>
      <c r="K1306" s="14">
        <v>42501</v>
      </c>
      <c r="L1306" s="285">
        <v>416</v>
      </c>
      <c r="M1306" s="15"/>
      <c r="N1306" s="24">
        <v>2</v>
      </c>
      <c r="O1306" s="63">
        <v>47186</v>
      </c>
      <c r="P1306" s="63">
        <v>47186</v>
      </c>
      <c r="Q1306" s="17">
        <f t="shared" si="31"/>
        <v>0</v>
      </c>
      <c r="R1306" s="285" t="s">
        <v>5364</v>
      </c>
      <c r="S1306" s="14">
        <v>42430</v>
      </c>
      <c r="T1306" s="22" t="s">
        <v>6382</v>
      </c>
    </row>
    <row r="1307" spans="1:20" ht="60" customHeight="1" x14ac:dyDescent="0.2">
      <c r="A1307" s="21">
        <v>1332</v>
      </c>
      <c r="B1307" s="60" t="s">
        <v>6316</v>
      </c>
      <c r="C1307" s="20"/>
      <c r="D1307" s="54" t="s">
        <v>6320</v>
      </c>
      <c r="E1307" s="65" t="s">
        <v>2222</v>
      </c>
      <c r="F1307" s="54"/>
      <c r="G1307" s="37" t="s">
        <v>792</v>
      </c>
      <c r="H1307" s="37" t="s">
        <v>5127</v>
      </c>
      <c r="I1307" s="20"/>
      <c r="J1307" s="37" t="s">
        <v>3136</v>
      </c>
      <c r="K1307" s="32">
        <v>42501</v>
      </c>
      <c r="L1307" s="37">
        <v>419</v>
      </c>
      <c r="M1307" s="57"/>
      <c r="N1307" s="33">
        <v>1</v>
      </c>
      <c r="O1307" s="61">
        <v>399182.06</v>
      </c>
      <c r="P1307" s="61">
        <v>399182.06</v>
      </c>
      <c r="Q1307" s="34">
        <f t="shared" si="31"/>
        <v>0</v>
      </c>
      <c r="R1307" s="37" t="s">
        <v>5364</v>
      </c>
      <c r="S1307" s="32">
        <v>42430</v>
      </c>
      <c r="T1307" s="65" t="s">
        <v>6382</v>
      </c>
    </row>
    <row r="1308" spans="1:20" ht="45.75" customHeight="1" x14ac:dyDescent="0.2">
      <c r="A1308" s="21">
        <v>1333</v>
      </c>
      <c r="B1308" s="12" t="s">
        <v>6368</v>
      </c>
      <c r="C1308" s="289"/>
      <c r="D1308" s="9" t="s">
        <v>6369</v>
      </c>
      <c r="E1308" s="22" t="s">
        <v>6220</v>
      </c>
      <c r="F1308" s="9" t="s">
        <v>6371</v>
      </c>
      <c r="G1308" s="285" t="s">
        <v>7934</v>
      </c>
      <c r="H1308" s="37" t="s">
        <v>5127</v>
      </c>
      <c r="I1308" s="20"/>
      <c r="J1308" s="285" t="s">
        <v>3136</v>
      </c>
      <c r="K1308" s="32">
        <v>42501</v>
      </c>
      <c r="L1308" s="37">
        <v>428</v>
      </c>
      <c r="M1308" s="57">
        <v>42481</v>
      </c>
      <c r="N1308" s="33">
        <v>1</v>
      </c>
      <c r="O1308" s="61">
        <v>16499</v>
      </c>
      <c r="P1308" s="61">
        <v>16499</v>
      </c>
      <c r="Q1308" s="17">
        <f t="shared" si="31"/>
        <v>0</v>
      </c>
      <c r="R1308" s="285" t="s">
        <v>3418</v>
      </c>
      <c r="S1308" s="14">
        <v>42466</v>
      </c>
      <c r="T1308" s="22" t="s">
        <v>6370</v>
      </c>
    </row>
    <row r="1309" spans="1:20" ht="72" customHeight="1" x14ac:dyDescent="0.2">
      <c r="A1309" s="21">
        <v>1334</v>
      </c>
      <c r="B1309" s="12" t="s">
        <v>6379</v>
      </c>
      <c r="C1309" s="289"/>
      <c r="D1309" s="9" t="s">
        <v>6380</v>
      </c>
      <c r="E1309" s="22" t="s">
        <v>6220</v>
      </c>
      <c r="F1309" s="9" t="s">
        <v>7309</v>
      </c>
      <c r="G1309" s="285" t="s">
        <v>4296</v>
      </c>
      <c r="H1309" s="37" t="s">
        <v>3793</v>
      </c>
      <c r="I1309" s="20"/>
      <c r="J1309" s="37" t="s">
        <v>3136</v>
      </c>
      <c r="K1309" s="32" t="s">
        <v>7327</v>
      </c>
      <c r="L1309" s="37" t="s">
        <v>7328</v>
      </c>
      <c r="M1309" s="32" t="s">
        <v>7310</v>
      </c>
      <c r="N1309" s="33">
        <f>1+1</f>
        <v>2</v>
      </c>
      <c r="O1309" s="61">
        <f>43644.07+44915.25</f>
        <v>88559.32</v>
      </c>
      <c r="P1309" s="61">
        <v>56044.88</v>
      </c>
      <c r="Q1309" s="17">
        <f t="shared" si="31"/>
        <v>32514.44000000001</v>
      </c>
      <c r="R1309" s="285" t="s">
        <v>5110</v>
      </c>
      <c r="S1309" s="14" t="s">
        <v>7311</v>
      </c>
      <c r="T1309" s="22" t="s">
        <v>7312</v>
      </c>
    </row>
    <row r="1310" spans="1:20" ht="72" customHeight="1" x14ac:dyDescent="0.2">
      <c r="A1310" s="21">
        <v>1335</v>
      </c>
      <c r="B1310" s="12" t="s">
        <v>6391</v>
      </c>
      <c r="C1310" s="289"/>
      <c r="D1310" s="9" t="s">
        <v>3323</v>
      </c>
      <c r="E1310" s="22" t="s">
        <v>1409</v>
      </c>
      <c r="F1310" s="9" t="s">
        <v>6411</v>
      </c>
      <c r="G1310" s="285" t="s">
        <v>4720</v>
      </c>
      <c r="H1310" s="37" t="s">
        <v>5127</v>
      </c>
      <c r="I1310" s="20"/>
      <c r="J1310" s="37" t="s">
        <v>3136</v>
      </c>
      <c r="K1310" s="32">
        <v>42509</v>
      </c>
      <c r="L1310" s="37">
        <v>478</v>
      </c>
      <c r="M1310" s="57">
        <v>39070</v>
      </c>
      <c r="N1310" s="33">
        <v>6</v>
      </c>
      <c r="O1310" s="61">
        <v>20006.28</v>
      </c>
      <c r="P1310" s="61">
        <v>20006.28</v>
      </c>
      <c r="Q1310" s="17">
        <f t="shared" si="31"/>
        <v>0</v>
      </c>
      <c r="R1310" s="285"/>
      <c r="S1310" s="14"/>
      <c r="T1310" s="22"/>
    </row>
    <row r="1311" spans="1:20" ht="87.75" customHeight="1" x14ac:dyDescent="0.2">
      <c r="A1311" s="21">
        <v>1336</v>
      </c>
      <c r="B1311" s="12" t="s">
        <v>6392</v>
      </c>
      <c r="C1311" s="289"/>
      <c r="D1311" s="9" t="s">
        <v>3323</v>
      </c>
      <c r="E1311" s="22" t="s">
        <v>2291</v>
      </c>
      <c r="F1311" s="9" t="s">
        <v>6412</v>
      </c>
      <c r="G1311" s="285" t="s">
        <v>4720</v>
      </c>
      <c r="H1311" s="37" t="s">
        <v>5127</v>
      </c>
      <c r="I1311" s="20"/>
      <c r="J1311" s="37" t="s">
        <v>3136</v>
      </c>
      <c r="K1311" s="32">
        <v>42509</v>
      </c>
      <c r="L1311" s="37">
        <v>478</v>
      </c>
      <c r="M1311" s="57">
        <v>39437</v>
      </c>
      <c r="N1311" s="33">
        <v>2</v>
      </c>
      <c r="O1311" s="61">
        <v>13892.8</v>
      </c>
      <c r="P1311" s="61">
        <v>13892.8</v>
      </c>
      <c r="Q1311" s="17">
        <f t="shared" si="31"/>
        <v>0</v>
      </c>
      <c r="R1311" s="285"/>
      <c r="S1311" s="14"/>
      <c r="T1311" s="22"/>
    </row>
    <row r="1312" spans="1:20" ht="77.25" customHeight="1" x14ac:dyDescent="0.2">
      <c r="A1312" s="21">
        <v>1337</v>
      </c>
      <c r="B1312" s="12" t="s">
        <v>6393</v>
      </c>
      <c r="C1312" s="289"/>
      <c r="D1312" s="9" t="s">
        <v>3419</v>
      </c>
      <c r="E1312" s="22" t="s">
        <v>1409</v>
      </c>
      <c r="F1312" s="9" t="s">
        <v>7830</v>
      </c>
      <c r="G1312" s="285" t="s">
        <v>4720</v>
      </c>
      <c r="H1312" s="37" t="s">
        <v>5127</v>
      </c>
      <c r="I1312" s="20"/>
      <c r="J1312" s="37" t="s">
        <v>3136</v>
      </c>
      <c r="K1312" s="32">
        <v>42509</v>
      </c>
      <c r="L1312" s="37">
        <v>478</v>
      </c>
      <c r="M1312" s="57">
        <v>39072</v>
      </c>
      <c r="N1312" s="33">
        <f>4-1</f>
        <v>3</v>
      </c>
      <c r="O1312" s="61">
        <f>37904-9476</f>
        <v>28428</v>
      </c>
      <c r="P1312" s="61">
        <f>37904-9476</f>
        <v>28428</v>
      </c>
      <c r="Q1312" s="17">
        <f t="shared" si="31"/>
        <v>0</v>
      </c>
      <c r="R1312" s="285"/>
      <c r="S1312" s="14"/>
      <c r="T1312" s="22"/>
    </row>
    <row r="1313" spans="1:20" ht="41.25" customHeight="1" x14ac:dyDescent="0.2">
      <c r="A1313" s="21">
        <v>1338</v>
      </c>
      <c r="B1313" s="12" t="s">
        <v>6393</v>
      </c>
      <c r="C1313" s="289"/>
      <c r="D1313" s="9" t="s">
        <v>3419</v>
      </c>
      <c r="E1313" s="22" t="s">
        <v>1409</v>
      </c>
      <c r="F1313" s="9" t="s">
        <v>4554</v>
      </c>
      <c r="G1313" s="285" t="s">
        <v>7983</v>
      </c>
      <c r="H1313" s="37" t="s">
        <v>5127</v>
      </c>
      <c r="I1313" s="20"/>
      <c r="J1313" s="37" t="s">
        <v>3136</v>
      </c>
      <c r="K1313" s="32">
        <v>43075</v>
      </c>
      <c r="L1313" s="37">
        <v>1069</v>
      </c>
      <c r="M1313" s="57">
        <v>39072</v>
      </c>
      <c r="N1313" s="33">
        <v>1</v>
      </c>
      <c r="O1313" s="61">
        <v>9476</v>
      </c>
      <c r="P1313" s="61">
        <v>9476</v>
      </c>
      <c r="Q1313" s="17">
        <f t="shared" si="31"/>
        <v>0</v>
      </c>
      <c r="R1313" s="285"/>
      <c r="S1313" s="14"/>
      <c r="T1313" s="22"/>
    </row>
    <row r="1314" spans="1:20" ht="95.25" customHeight="1" x14ac:dyDescent="0.2">
      <c r="A1314" s="21">
        <v>1339</v>
      </c>
      <c r="B1314" s="12" t="s">
        <v>8136</v>
      </c>
      <c r="C1314" s="289"/>
      <c r="D1314" s="9" t="s">
        <v>3419</v>
      </c>
      <c r="E1314" s="22"/>
      <c r="F1314" s="9" t="s">
        <v>8137</v>
      </c>
      <c r="G1314" s="285" t="s">
        <v>4720</v>
      </c>
      <c r="H1314" s="285" t="s">
        <v>5127</v>
      </c>
      <c r="I1314" s="270"/>
      <c r="J1314" s="271" t="s">
        <v>3136</v>
      </c>
      <c r="K1314" s="272">
        <v>42509</v>
      </c>
      <c r="L1314" s="271">
        <v>478</v>
      </c>
      <c r="M1314" s="273">
        <v>39811</v>
      </c>
      <c r="N1314" s="24">
        <v>1</v>
      </c>
      <c r="O1314" s="63">
        <v>16000</v>
      </c>
      <c r="P1314" s="63">
        <v>16000</v>
      </c>
      <c r="Q1314" s="17">
        <f t="shared" si="31"/>
        <v>0</v>
      </c>
      <c r="R1314" s="285"/>
      <c r="S1314" s="14"/>
      <c r="T1314" s="22"/>
    </row>
    <row r="1315" spans="1:20" ht="72.75" customHeight="1" x14ac:dyDescent="0.2">
      <c r="A1315" s="21">
        <v>1340</v>
      </c>
      <c r="B1315" s="12" t="s">
        <v>6394</v>
      </c>
      <c r="C1315" s="289"/>
      <c r="D1315" s="9" t="s">
        <v>6405</v>
      </c>
      <c r="E1315" s="22"/>
      <c r="F1315" s="9" t="s">
        <v>6413</v>
      </c>
      <c r="G1315" s="285" t="s">
        <v>4720</v>
      </c>
      <c r="H1315" s="37" t="s">
        <v>5127</v>
      </c>
      <c r="I1315" s="20"/>
      <c r="J1315" s="37" t="s">
        <v>3136</v>
      </c>
      <c r="K1315" s="32">
        <v>42509</v>
      </c>
      <c r="L1315" s="37">
        <v>478</v>
      </c>
      <c r="M1315" s="57">
        <v>39070</v>
      </c>
      <c r="N1315" s="33">
        <v>1</v>
      </c>
      <c r="O1315" s="61">
        <v>10544.76</v>
      </c>
      <c r="P1315" s="61">
        <v>10544.76</v>
      </c>
      <c r="Q1315" s="17">
        <f t="shared" si="31"/>
        <v>0</v>
      </c>
      <c r="R1315" s="285"/>
      <c r="S1315" s="14"/>
      <c r="T1315" s="22"/>
    </row>
    <row r="1316" spans="1:20" ht="72.75" customHeight="1" x14ac:dyDescent="0.2">
      <c r="A1316" s="21">
        <v>1341</v>
      </c>
      <c r="B1316" s="12" t="s">
        <v>6395</v>
      </c>
      <c r="C1316" s="289"/>
      <c r="D1316" s="9" t="s">
        <v>8600</v>
      </c>
      <c r="E1316" s="22"/>
      <c r="F1316" s="9" t="s">
        <v>8599</v>
      </c>
      <c r="G1316" s="285" t="s">
        <v>4720</v>
      </c>
      <c r="H1316" s="37" t="s">
        <v>5127</v>
      </c>
      <c r="I1316" s="20"/>
      <c r="J1316" s="37" t="s">
        <v>3136</v>
      </c>
      <c r="K1316" s="32">
        <v>42509</v>
      </c>
      <c r="L1316" s="37">
        <v>478</v>
      </c>
      <c r="M1316" s="57">
        <v>42502</v>
      </c>
      <c r="N1316" s="33">
        <v>1</v>
      </c>
      <c r="O1316" s="61">
        <v>7370</v>
      </c>
      <c r="P1316" s="61">
        <v>7370</v>
      </c>
      <c r="Q1316" s="17">
        <f t="shared" si="31"/>
        <v>0</v>
      </c>
      <c r="R1316" s="285" t="s">
        <v>5071</v>
      </c>
      <c r="S1316" s="14">
        <v>42136</v>
      </c>
      <c r="T1316" s="22" t="s">
        <v>1096</v>
      </c>
    </row>
    <row r="1317" spans="1:20" ht="75.75" customHeight="1" x14ac:dyDescent="0.2">
      <c r="A1317" s="21">
        <v>1342</v>
      </c>
      <c r="B1317" s="12" t="s">
        <v>6396</v>
      </c>
      <c r="C1317" s="289"/>
      <c r="D1317" s="9" t="s">
        <v>8602</v>
      </c>
      <c r="E1317" s="22"/>
      <c r="F1317" s="9" t="s">
        <v>8601</v>
      </c>
      <c r="G1317" s="285" t="s">
        <v>4720</v>
      </c>
      <c r="H1317" s="37" t="s">
        <v>5127</v>
      </c>
      <c r="I1317" s="20"/>
      <c r="J1317" s="37" t="s">
        <v>3136</v>
      </c>
      <c r="K1317" s="32">
        <v>42509</v>
      </c>
      <c r="L1317" s="37">
        <v>478</v>
      </c>
      <c r="M1317" s="57">
        <v>39667</v>
      </c>
      <c r="N1317" s="33">
        <v>1</v>
      </c>
      <c r="O1317" s="61">
        <v>10921</v>
      </c>
      <c r="P1317" s="61">
        <v>10921</v>
      </c>
      <c r="Q1317" s="17">
        <f t="shared" si="31"/>
        <v>0</v>
      </c>
      <c r="R1317" s="285"/>
      <c r="S1317" s="14"/>
      <c r="T1317" s="22"/>
    </row>
    <row r="1318" spans="1:20" ht="75.75" customHeight="1" x14ac:dyDescent="0.2">
      <c r="A1318" s="21">
        <v>1343</v>
      </c>
      <c r="B1318" s="12" t="s">
        <v>6397</v>
      </c>
      <c r="C1318" s="289"/>
      <c r="D1318" s="9" t="s">
        <v>8604</v>
      </c>
      <c r="E1318" s="22"/>
      <c r="F1318" s="9" t="s">
        <v>8603</v>
      </c>
      <c r="G1318" s="285" t="s">
        <v>4720</v>
      </c>
      <c r="H1318" s="37" t="s">
        <v>5127</v>
      </c>
      <c r="I1318" s="20"/>
      <c r="J1318" s="37" t="s">
        <v>3136</v>
      </c>
      <c r="K1318" s="32">
        <v>42509</v>
      </c>
      <c r="L1318" s="37">
        <v>478</v>
      </c>
      <c r="M1318" s="57">
        <v>39751</v>
      </c>
      <c r="N1318" s="33">
        <v>3</v>
      </c>
      <c r="O1318" s="61">
        <v>19899</v>
      </c>
      <c r="P1318" s="61">
        <v>19899</v>
      </c>
      <c r="Q1318" s="17">
        <f t="shared" si="31"/>
        <v>0</v>
      </c>
      <c r="R1318" s="285"/>
      <c r="S1318" s="14"/>
      <c r="T1318" s="22"/>
    </row>
    <row r="1319" spans="1:20" ht="90" customHeight="1" x14ac:dyDescent="0.2">
      <c r="A1319" s="21">
        <v>1344</v>
      </c>
      <c r="B1319" s="12" t="s">
        <v>6398</v>
      </c>
      <c r="C1319" s="289"/>
      <c r="D1319" s="9" t="s">
        <v>5984</v>
      </c>
      <c r="E1319" s="22"/>
      <c r="F1319" s="9" t="s">
        <v>6414</v>
      </c>
      <c r="G1319" s="285" t="s">
        <v>4720</v>
      </c>
      <c r="H1319" s="285" t="s">
        <v>5127</v>
      </c>
      <c r="I1319" s="289"/>
      <c r="J1319" s="37" t="s">
        <v>3136</v>
      </c>
      <c r="K1319" s="14">
        <v>42509</v>
      </c>
      <c r="L1319" s="285">
        <v>478</v>
      </c>
      <c r="M1319" s="15">
        <v>40540</v>
      </c>
      <c r="N1319" s="24">
        <v>1</v>
      </c>
      <c r="O1319" s="63">
        <v>11654</v>
      </c>
      <c r="P1319" s="63">
        <v>11654</v>
      </c>
      <c r="Q1319" s="17">
        <f t="shared" si="31"/>
        <v>0</v>
      </c>
      <c r="R1319" s="285"/>
      <c r="S1319" s="14"/>
      <c r="T1319" s="22"/>
    </row>
    <row r="1320" spans="1:20" ht="167.25" customHeight="1" x14ac:dyDescent="0.2">
      <c r="A1320" s="21">
        <v>1345</v>
      </c>
      <c r="B1320" s="12" t="s">
        <v>6399</v>
      </c>
      <c r="C1320" s="289"/>
      <c r="D1320" s="9" t="s">
        <v>5984</v>
      </c>
      <c r="E1320" s="22"/>
      <c r="F1320" s="9" t="s">
        <v>6415</v>
      </c>
      <c r="G1320" s="285" t="s">
        <v>4720</v>
      </c>
      <c r="H1320" s="285" t="s">
        <v>5127</v>
      </c>
      <c r="I1320" s="289"/>
      <c r="J1320" s="285" t="s">
        <v>3136</v>
      </c>
      <c r="K1320" s="14">
        <v>42509</v>
      </c>
      <c r="L1320" s="285">
        <v>478</v>
      </c>
      <c r="M1320" s="15">
        <v>39437</v>
      </c>
      <c r="N1320" s="24">
        <v>3</v>
      </c>
      <c r="O1320" s="63">
        <v>25233.9</v>
      </c>
      <c r="P1320" s="63">
        <v>25233.9</v>
      </c>
      <c r="Q1320" s="17">
        <f t="shared" si="31"/>
        <v>0</v>
      </c>
      <c r="R1320" s="285"/>
      <c r="S1320" s="14"/>
      <c r="T1320" s="22"/>
    </row>
    <row r="1321" spans="1:20" ht="167.25" customHeight="1" x14ac:dyDescent="0.2">
      <c r="A1321" s="21">
        <v>1346</v>
      </c>
      <c r="B1321" s="12" t="s">
        <v>6400</v>
      </c>
      <c r="C1321" s="289"/>
      <c r="D1321" s="9" t="s">
        <v>6406</v>
      </c>
      <c r="E1321" s="22"/>
      <c r="F1321" s="9" t="s">
        <v>6416</v>
      </c>
      <c r="G1321" s="285" t="s">
        <v>4720</v>
      </c>
      <c r="H1321" s="285" t="s">
        <v>5127</v>
      </c>
      <c r="I1321" s="289"/>
      <c r="J1321" s="285" t="s">
        <v>3136</v>
      </c>
      <c r="K1321" s="14">
        <v>42509</v>
      </c>
      <c r="L1321" s="285">
        <v>478</v>
      </c>
      <c r="M1321" s="15">
        <v>39667</v>
      </c>
      <c r="N1321" s="24">
        <v>3</v>
      </c>
      <c r="O1321" s="63">
        <v>19167</v>
      </c>
      <c r="P1321" s="63">
        <v>19167</v>
      </c>
      <c r="Q1321" s="17">
        <f t="shared" si="31"/>
        <v>0</v>
      </c>
      <c r="R1321" s="285"/>
      <c r="S1321" s="14"/>
      <c r="T1321" s="22"/>
    </row>
    <row r="1322" spans="1:20" ht="40.5" customHeight="1" x14ac:dyDescent="0.2">
      <c r="A1322" s="21">
        <v>1347</v>
      </c>
      <c r="B1322" s="12" t="s">
        <v>9302</v>
      </c>
      <c r="C1322" s="289"/>
      <c r="D1322" s="13" t="s">
        <v>8406</v>
      </c>
      <c r="E1322" s="22" t="s">
        <v>8071</v>
      </c>
      <c r="F1322" s="9" t="s">
        <v>8407</v>
      </c>
      <c r="G1322" s="285"/>
      <c r="H1322" s="285" t="s">
        <v>2042</v>
      </c>
      <c r="I1322" s="289" t="s">
        <v>2207</v>
      </c>
      <c r="J1322" s="285" t="s">
        <v>3136</v>
      </c>
      <c r="K1322" s="14">
        <v>43382</v>
      </c>
      <c r="L1322" s="285">
        <v>984</v>
      </c>
      <c r="M1322" s="15">
        <v>43369</v>
      </c>
      <c r="N1322" s="24">
        <v>1</v>
      </c>
      <c r="O1322" s="63">
        <v>145942</v>
      </c>
      <c r="P1322" s="63">
        <v>0</v>
      </c>
      <c r="Q1322" s="17">
        <f t="shared" si="31"/>
        <v>145942</v>
      </c>
      <c r="R1322" s="285" t="s">
        <v>8408</v>
      </c>
      <c r="S1322" s="14">
        <v>43369</v>
      </c>
      <c r="T1322" s="22" t="s">
        <v>1029</v>
      </c>
    </row>
    <row r="1323" spans="1:20" ht="72" customHeight="1" x14ac:dyDescent="0.2">
      <c r="A1323" s="21">
        <v>1348</v>
      </c>
      <c r="B1323" s="12" t="s">
        <v>6401</v>
      </c>
      <c r="C1323" s="289"/>
      <c r="D1323" s="9" t="s">
        <v>5870</v>
      </c>
      <c r="E1323" s="22"/>
      <c r="F1323" s="9" t="s">
        <v>6417</v>
      </c>
      <c r="G1323" s="285" t="s">
        <v>4720</v>
      </c>
      <c r="H1323" s="285" t="s">
        <v>5127</v>
      </c>
      <c r="I1323" s="289"/>
      <c r="J1323" s="285" t="s">
        <v>3136</v>
      </c>
      <c r="K1323" s="14">
        <v>42509</v>
      </c>
      <c r="L1323" s="285">
        <v>478</v>
      </c>
      <c r="M1323" s="15">
        <v>41855</v>
      </c>
      <c r="N1323" s="24">
        <v>1</v>
      </c>
      <c r="O1323" s="63">
        <v>10670</v>
      </c>
      <c r="P1323" s="63">
        <v>10670</v>
      </c>
      <c r="Q1323" s="17">
        <f t="shared" si="31"/>
        <v>0</v>
      </c>
      <c r="R1323" s="285" t="s">
        <v>5071</v>
      </c>
      <c r="S1323" s="14">
        <v>41855</v>
      </c>
      <c r="T1323" s="22" t="s">
        <v>6407</v>
      </c>
    </row>
    <row r="1324" spans="1:20" ht="72" customHeight="1" x14ac:dyDescent="0.2">
      <c r="A1324" s="21">
        <v>1349</v>
      </c>
      <c r="B1324" s="12" t="s">
        <v>6402</v>
      </c>
      <c r="C1324" s="289"/>
      <c r="D1324" s="9" t="s">
        <v>5870</v>
      </c>
      <c r="E1324" s="22"/>
      <c r="F1324" s="9" t="s">
        <v>6418</v>
      </c>
      <c r="G1324" s="285" t="s">
        <v>4720</v>
      </c>
      <c r="H1324" s="285" t="s">
        <v>5127</v>
      </c>
      <c r="I1324" s="289"/>
      <c r="J1324" s="285" t="s">
        <v>3136</v>
      </c>
      <c r="K1324" s="14">
        <v>42509</v>
      </c>
      <c r="L1324" s="285">
        <v>478</v>
      </c>
      <c r="M1324" s="15">
        <v>40900</v>
      </c>
      <c r="N1324" s="24">
        <v>1</v>
      </c>
      <c r="O1324" s="63">
        <v>13664</v>
      </c>
      <c r="P1324" s="63">
        <v>13664</v>
      </c>
      <c r="Q1324" s="17">
        <f t="shared" si="31"/>
        <v>0</v>
      </c>
      <c r="R1324" s="285"/>
      <c r="S1324" s="14"/>
      <c r="T1324" s="22"/>
    </row>
    <row r="1325" spans="1:20" ht="72" customHeight="1" x14ac:dyDescent="0.2">
      <c r="A1325" s="21">
        <v>1350</v>
      </c>
      <c r="B1325" s="12" t="s">
        <v>6403</v>
      </c>
      <c r="C1325" s="289"/>
      <c r="D1325" s="9" t="s">
        <v>5870</v>
      </c>
      <c r="E1325" s="22"/>
      <c r="F1325" s="9" t="s">
        <v>6421</v>
      </c>
      <c r="G1325" s="285" t="s">
        <v>4720</v>
      </c>
      <c r="H1325" s="285" t="s">
        <v>5127</v>
      </c>
      <c r="I1325" s="289"/>
      <c r="J1325" s="285" t="s">
        <v>3136</v>
      </c>
      <c r="K1325" s="14">
        <v>42509</v>
      </c>
      <c r="L1325" s="285">
        <v>478</v>
      </c>
      <c r="M1325" s="15">
        <v>39751</v>
      </c>
      <c r="N1325" s="24">
        <v>1</v>
      </c>
      <c r="O1325" s="63">
        <v>14239</v>
      </c>
      <c r="P1325" s="63">
        <v>14239</v>
      </c>
      <c r="Q1325" s="17">
        <f t="shared" si="31"/>
        <v>0</v>
      </c>
      <c r="R1325" s="285"/>
      <c r="S1325" s="14"/>
      <c r="T1325" s="22"/>
    </row>
    <row r="1326" spans="1:20" ht="144" customHeight="1" x14ac:dyDescent="0.2">
      <c r="A1326" s="21">
        <v>1351</v>
      </c>
      <c r="B1326" s="12" t="s">
        <v>6404</v>
      </c>
      <c r="C1326" s="289"/>
      <c r="D1326" s="9" t="s">
        <v>5870</v>
      </c>
      <c r="E1326" s="22"/>
      <c r="F1326" s="9" t="s">
        <v>6419</v>
      </c>
      <c r="G1326" s="285" t="s">
        <v>4720</v>
      </c>
      <c r="H1326" s="285" t="s">
        <v>5127</v>
      </c>
      <c r="I1326" s="289"/>
      <c r="J1326" s="285" t="s">
        <v>3136</v>
      </c>
      <c r="K1326" s="14">
        <v>42509</v>
      </c>
      <c r="L1326" s="285">
        <v>478</v>
      </c>
      <c r="M1326" s="15">
        <v>39751</v>
      </c>
      <c r="N1326" s="24">
        <v>1</v>
      </c>
      <c r="O1326" s="63">
        <v>17880</v>
      </c>
      <c r="P1326" s="63">
        <v>17880</v>
      </c>
      <c r="Q1326" s="17">
        <f t="shared" si="31"/>
        <v>0</v>
      </c>
      <c r="R1326" s="285"/>
      <c r="S1326" s="14"/>
      <c r="T1326" s="22"/>
    </row>
    <row r="1327" spans="1:20" ht="144.75" customHeight="1" x14ac:dyDescent="0.2">
      <c r="A1327" s="21">
        <v>1352</v>
      </c>
      <c r="B1327" s="12" t="s">
        <v>6408</v>
      </c>
      <c r="C1327" s="289"/>
      <c r="D1327" s="9" t="s">
        <v>5870</v>
      </c>
      <c r="E1327" s="22"/>
      <c r="F1327" s="9" t="s">
        <v>6420</v>
      </c>
      <c r="G1327" s="285" t="s">
        <v>4720</v>
      </c>
      <c r="H1327" s="285" t="s">
        <v>5127</v>
      </c>
      <c r="I1327" s="289"/>
      <c r="J1327" s="285" t="s">
        <v>3136</v>
      </c>
      <c r="K1327" s="14">
        <v>42509</v>
      </c>
      <c r="L1327" s="285">
        <v>478</v>
      </c>
      <c r="M1327" s="15">
        <v>39751</v>
      </c>
      <c r="N1327" s="24">
        <v>1</v>
      </c>
      <c r="O1327" s="63">
        <v>16446</v>
      </c>
      <c r="P1327" s="63">
        <v>16446</v>
      </c>
      <c r="Q1327" s="17">
        <f t="shared" si="31"/>
        <v>0</v>
      </c>
      <c r="R1327" s="285"/>
      <c r="S1327" s="14"/>
      <c r="T1327" s="22"/>
    </row>
    <row r="1328" spans="1:20" ht="42" customHeight="1" x14ac:dyDescent="0.2">
      <c r="A1328" s="21">
        <v>1353</v>
      </c>
      <c r="B1328" s="12" t="s">
        <v>6409</v>
      </c>
      <c r="C1328" s="289"/>
      <c r="D1328" s="41" t="s">
        <v>6410</v>
      </c>
      <c r="E1328" s="22"/>
      <c r="F1328" s="9" t="s">
        <v>6422</v>
      </c>
      <c r="G1328" s="285" t="s">
        <v>4720</v>
      </c>
      <c r="H1328" s="285" t="s">
        <v>5127</v>
      </c>
      <c r="I1328" s="289"/>
      <c r="J1328" s="285" t="s">
        <v>3136</v>
      </c>
      <c r="K1328" s="14">
        <v>42509</v>
      </c>
      <c r="L1328" s="285">
        <v>478</v>
      </c>
      <c r="M1328" s="15">
        <v>39070</v>
      </c>
      <c r="N1328" s="24">
        <v>1</v>
      </c>
      <c r="O1328" s="63">
        <v>8556.7800000000007</v>
      </c>
      <c r="P1328" s="63">
        <v>8556.7800000000007</v>
      </c>
      <c r="Q1328" s="17">
        <f t="shared" si="31"/>
        <v>0</v>
      </c>
      <c r="R1328" s="285"/>
      <c r="S1328" s="14"/>
      <c r="T1328" s="22"/>
    </row>
    <row r="1329" spans="1:20" ht="56.25" customHeight="1" x14ac:dyDescent="0.2">
      <c r="A1329" s="21">
        <v>1354</v>
      </c>
      <c r="B1329" s="12" t="s">
        <v>6451</v>
      </c>
      <c r="C1329" s="289"/>
      <c r="D1329" s="9" t="s">
        <v>6083</v>
      </c>
      <c r="E1329" s="22" t="s">
        <v>6220</v>
      </c>
      <c r="F1329" s="9" t="s">
        <v>6452</v>
      </c>
      <c r="G1329" s="285" t="s">
        <v>4720</v>
      </c>
      <c r="H1329" s="285" t="s">
        <v>5127</v>
      </c>
      <c r="I1329" s="289"/>
      <c r="J1329" s="285" t="s">
        <v>3136</v>
      </c>
      <c r="K1329" s="14">
        <v>42531</v>
      </c>
      <c r="L1329" s="285">
        <v>604</v>
      </c>
      <c r="M1329" s="15">
        <v>42486</v>
      </c>
      <c r="N1329" s="24">
        <v>1</v>
      </c>
      <c r="O1329" s="63">
        <v>34454</v>
      </c>
      <c r="P1329" s="63">
        <v>34454</v>
      </c>
      <c r="Q1329" s="17">
        <f t="shared" si="31"/>
        <v>0</v>
      </c>
      <c r="R1329" s="285" t="s">
        <v>5071</v>
      </c>
      <c r="S1329" s="14">
        <v>42486</v>
      </c>
      <c r="T1329" s="22" t="s">
        <v>752</v>
      </c>
    </row>
    <row r="1330" spans="1:20" ht="41.25" customHeight="1" x14ac:dyDescent="0.2">
      <c r="A1330" s="21">
        <v>1355</v>
      </c>
      <c r="B1330" s="12" t="s">
        <v>6460</v>
      </c>
      <c r="C1330" s="289"/>
      <c r="D1330" s="9" t="s">
        <v>6461</v>
      </c>
      <c r="E1330" s="22"/>
      <c r="F1330" s="9" t="s">
        <v>3338</v>
      </c>
      <c r="G1330" s="285" t="s">
        <v>7982</v>
      </c>
      <c r="H1330" s="285" t="s">
        <v>5127</v>
      </c>
      <c r="I1330" s="289"/>
      <c r="J1330" s="285" t="s">
        <v>3136</v>
      </c>
      <c r="K1330" s="14">
        <v>42578</v>
      </c>
      <c r="L1330" s="285">
        <v>788</v>
      </c>
      <c r="M1330" s="15">
        <v>42530</v>
      </c>
      <c r="N1330" s="24">
        <v>1</v>
      </c>
      <c r="O1330" s="63">
        <v>6726</v>
      </c>
      <c r="P1330" s="63">
        <v>6726</v>
      </c>
      <c r="Q1330" s="17">
        <f t="shared" si="31"/>
        <v>0</v>
      </c>
      <c r="R1330" s="285" t="s">
        <v>6462</v>
      </c>
      <c r="S1330" s="14" t="s">
        <v>6463</v>
      </c>
      <c r="T1330" s="22" t="s">
        <v>6464</v>
      </c>
    </row>
    <row r="1331" spans="1:20" ht="48" customHeight="1" x14ac:dyDescent="0.2">
      <c r="A1331" s="21">
        <v>1356</v>
      </c>
      <c r="B1331" s="12" t="s">
        <v>6469</v>
      </c>
      <c r="C1331" s="289"/>
      <c r="D1331" s="9" t="s">
        <v>6470</v>
      </c>
      <c r="E1331" s="22" t="s">
        <v>6220</v>
      </c>
      <c r="F1331" s="9" t="s">
        <v>6499</v>
      </c>
      <c r="G1331" s="285" t="s">
        <v>6266</v>
      </c>
      <c r="H1331" s="285" t="s">
        <v>5127</v>
      </c>
      <c r="I1331" s="289"/>
      <c r="J1331" s="285" t="s">
        <v>3136</v>
      </c>
      <c r="K1331" s="14">
        <v>42545</v>
      </c>
      <c r="L1331" s="285">
        <v>662</v>
      </c>
      <c r="M1331" s="15">
        <v>42541</v>
      </c>
      <c r="N1331" s="24">
        <v>1</v>
      </c>
      <c r="O1331" s="63">
        <v>5499</v>
      </c>
      <c r="P1331" s="63">
        <v>5499</v>
      </c>
      <c r="Q1331" s="17">
        <f t="shared" si="31"/>
        <v>0</v>
      </c>
      <c r="R1331" s="285" t="s">
        <v>3418</v>
      </c>
      <c r="S1331" s="14">
        <v>42509</v>
      </c>
      <c r="T1331" s="22" t="s">
        <v>6471</v>
      </c>
    </row>
    <row r="1332" spans="1:20" ht="59.25" customHeight="1" x14ac:dyDescent="0.2">
      <c r="A1332" s="21">
        <v>1357</v>
      </c>
      <c r="B1332" s="12" t="s">
        <v>7117</v>
      </c>
      <c r="C1332" s="289"/>
      <c r="D1332" s="9" t="s">
        <v>7123</v>
      </c>
      <c r="E1332" s="22" t="s">
        <v>2222</v>
      </c>
      <c r="F1332" s="9" t="s">
        <v>3338</v>
      </c>
      <c r="G1332" s="285" t="s">
        <v>4296</v>
      </c>
      <c r="H1332" s="285" t="s">
        <v>3793</v>
      </c>
      <c r="I1332" s="289"/>
      <c r="J1332" s="285" t="s">
        <v>3136</v>
      </c>
      <c r="K1332" s="14">
        <v>42599</v>
      </c>
      <c r="L1332" s="285">
        <v>855</v>
      </c>
      <c r="M1332" s="15">
        <v>41365</v>
      </c>
      <c r="N1332" s="24">
        <v>3</v>
      </c>
      <c r="O1332" s="63">
        <v>76500</v>
      </c>
      <c r="P1332" s="63">
        <v>76500</v>
      </c>
      <c r="Q1332" s="17">
        <f t="shared" si="31"/>
        <v>0</v>
      </c>
      <c r="R1332" s="285" t="s">
        <v>7124</v>
      </c>
      <c r="S1332" s="14">
        <v>41361</v>
      </c>
      <c r="T1332" s="22" t="s">
        <v>4044</v>
      </c>
    </row>
    <row r="1333" spans="1:20" ht="61.5" customHeight="1" x14ac:dyDescent="0.2">
      <c r="A1333" s="21">
        <v>1358</v>
      </c>
      <c r="B1333" s="12" t="s">
        <v>7118</v>
      </c>
      <c r="C1333" s="289"/>
      <c r="D1333" s="9" t="s">
        <v>7126</v>
      </c>
      <c r="E1333" s="22" t="s">
        <v>4834</v>
      </c>
      <c r="F1333" s="9"/>
      <c r="G1333" s="285" t="s">
        <v>4296</v>
      </c>
      <c r="H1333" s="285" t="s">
        <v>3793</v>
      </c>
      <c r="I1333" s="289"/>
      <c r="J1333" s="285" t="s">
        <v>3136</v>
      </c>
      <c r="K1333" s="14">
        <v>42599</v>
      </c>
      <c r="L1333" s="285">
        <v>855</v>
      </c>
      <c r="M1333" s="15">
        <v>42059</v>
      </c>
      <c r="N1333" s="24">
        <v>1</v>
      </c>
      <c r="O1333" s="63">
        <v>15900</v>
      </c>
      <c r="P1333" s="63">
        <v>15900</v>
      </c>
      <c r="Q1333" s="17">
        <f t="shared" si="31"/>
        <v>0</v>
      </c>
      <c r="R1333" s="285" t="s">
        <v>7125</v>
      </c>
      <c r="S1333" s="14">
        <v>42059</v>
      </c>
      <c r="T1333" s="22"/>
    </row>
    <row r="1334" spans="1:20" ht="39" customHeight="1" x14ac:dyDescent="0.2">
      <c r="A1334" s="21">
        <v>1359</v>
      </c>
      <c r="B1334" s="12" t="s">
        <v>7119</v>
      </c>
      <c r="C1334" s="289"/>
      <c r="D1334" s="9" t="s">
        <v>7127</v>
      </c>
      <c r="E1334" s="22" t="s">
        <v>4834</v>
      </c>
      <c r="F1334" s="9"/>
      <c r="G1334" s="285" t="s">
        <v>4296</v>
      </c>
      <c r="H1334" s="285" t="s">
        <v>3793</v>
      </c>
      <c r="I1334" s="20"/>
      <c r="J1334" s="37" t="s">
        <v>3136</v>
      </c>
      <c r="K1334" s="32">
        <v>42599</v>
      </c>
      <c r="L1334" s="37">
        <v>855</v>
      </c>
      <c r="M1334" s="57">
        <v>42059</v>
      </c>
      <c r="N1334" s="33">
        <v>1</v>
      </c>
      <c r="O1334" s="61">
        <v>7000</v>
      </c>
      <c r="P1334" s="61">
        <v>7000</v>
      </c>
      <c r="Q1334" s="17">
        <f t="shared" si="31"/>
        <v>0</v>
      </c>
      <c r="R1334" s="285" t="s">
        <v>7125</v>
      </c>
      <c r="S1334" s="14">
        <v>42059</v>
      </c>
      <c r="T1334" s="22"/>
    </row>
    <row r="1335" spans="1:20" ht="75" customHeight="1" x14ac:dyDescent="0.2">
      <c r="A1335" s="21">
        <v>1360</v>
      </c>
      <c r="B1335" s="12" t="s">
        <v>7120</v>
      </c>
      <c r="C1335" s="289"/>
      <c r="D1335" s="9" t="s">
        <v>7128</v>
      </c>
      <c r="E1335" s="22" t="s">
        <v>4834</v>
      </c>
      <c r="F1335" s="9" t="s">
        <v>7129</v>
      </c>
      <c r="G1335" s="285" t="s">
        <v>4296</v>
      </c>
      <c r="H1335" s="285" t="s">
        <v>3793</v>
      </c>
      <c r="I1335" s="289"/>
      <c r="J1335" s="37" t="s">
        <v>3136</v>
      </c>
      <c r="K1335" s="32">
        <v>42599</v>
      </c>
      <c r="L1335" s="37">
        <v>855</v>
      </c>
      <c r="M1335" s="57">
        <v>42059</v>
      </c>
      <c r="N1335" s="33">
        <v>1</v>
      </c>
      <c r="O1335" s="61">
        <v>35000</v>
      </c>
      <c r="P1335" s="61">
        <v>35000</v>
      </c>
      <c r="Q1335" s="17">
        <f t="shared" si="31"/>
        <v>0</v>
      </c>
      <c r="R1335" s="285" t="s">
        <v>7125</v>
      </c>
      <c r="S1335" s="14">
        <v>42059</v>
      </c>
      <c r="T1335" s="22"/>
    </row>
    <row r="1336" spans="1:20" ht="80.25" customHeight="1" x14ac:dyDescent="0.2">
      <c r="A1336" s="21">
        <v>1361</v>
      </c>
      <c r="B1336" s="12" t="s">
        <v>7121</v>
      </c>
      <c r="C1336" s="289"/>
      <c r="D1336" s="9" t="s">
        <v>7130</v>
      </c>
      <c r="E1336" s="22" t="s">
        <v>4834</v>
      </c>
      <c r="F1336" s="9"/>
      <c r="G1336" s="285" t="s">
        <v>4296</v>
      </c>
      <c r="H1336" s="285" t="s">
        <v>3793</v>
      </c>
      <c r="I1336" s="289"/>
      <c r="J1336" s="37" t="s">
        <v>3136</v>
      </c>
      <c r="K1336" s="32">
        <v>42599</v>
      </c>
      <c r="L1336" s="37">
        <v>855</v>
      </c>
      <c r="M1336" s="57">
        <v>42059</v>
      </c>
      <c r="N1336" s="33">
        <v>1</v>
      </c>
      <c r="O1336" s="61">
        <v>38655</v>
      </c>
      <c r="P1336" s="61">
        <v>38655</v>
      </c>
      <c r="Q1336" s="17">
        <f t="shared" si="31"/>
        <v>0</v>
      </c>
      <c r="R1336" s="285" t="s">
        <v>7125</v>
      </c>
      <c r="S1336" s="14">
        <v>42059</v>
      </c>
      <c r="T1336" s="22"/>
    </row>
    <row r="1337" spans="1:20" ht="46.5" customHeight="1" x14ac:dyDescent="0.2">
      <c r="A1337" s="21">
        <v>1362</v>
      </c>
      <c r="B1337" s="12" t="s">
        <v>7122</v>
      </c>
      <c r="C1337" s="289"/>
      <c r="D1337" s="9" t="s">
        <v>7131</v>
      </c>
      <c r="E1337" s="22" t="s">
        <v>4834</v>
      </c>
      <c r="F1337" s="9"/>
      <c r="G1337" s="285" t="s">
        <v>4296</v>
      </c>
      <c r="H1337" s="285" t="s">
        <v>3793</v>
      </c>
      <c r="I1337" s="20"/>
      <c r="J1337" s="37" t="s">
        <v>3136</v>
      </c>
      <c r="K1337" s="32">
        <v>42599</v>
      </c>
      <c r="L1337" s="37">
        <v>855</v>
      </c>
      <c r="M1337" s="57">
        <v>42059</v>
      </c>
      <c r="N1337" s="33">
        <v>1</v>
      </c>
      <c r="O1337" s="61">
        <v>3200</v>
      </c>
      <c r="P1337" s="61">
        <v>3200</v>
      </c>
      <c r="Q1337" s="17">
        <f t="shared" si="31"/>
        <v>0</v>
      </c>
      <c r="R1337" s="285" t="s">
        <v>7125</v>
      </c>
      <c r="S1337" s="14">
        <v>42059</v>
      </c>
      <c r="T1337" s="22"/>
    </row>
    <row r="1338" spans="1:20" ht="78.75" customHeight="1" x14ac:dyDescent="0.2">
      <c r="A1338" s="21">
        <v>1363</v>
      </c>
      <c r="B1338" s="12" t="s">
        <v>7137</v>
      </c>
      <c r="C1338" s="289"/>
      <c r="D1338" s="9" t="s">
        <v>7138</v>
      </c>
      <c r="E1338" s="22" t="s">
        <v>6220</v>
      </c>
      <c r="F1338" s="9" t="s">
        <v>7139</v>
      </c>
      <c r="G1338" s="285" t="s">
        <v>4946</v>
      </c>
      <c r="H1338" s="37" t="s">
        <v>5127</v>
      </c>
      <c r="I1338" s="289"/>
      <c r="J1338" s="37" t="s">
        <v>3136</v>
      </c>
      <c r="K1338" s="14">
        <v>42614</v>
      </c>
      <c r="L1338" s="285">
        <v>905</v>
      </c>
      <c r="M1338" s="15">
        <v>42585</v>
      </c>
      <c r="N1338" s="24">
        <v>1</v>
      </c>
      <c r="O1338" s="63">
        <v>5960</v>
      </c>
      <c r="P1338" s="63">
        <v>5960</v>
      </c>
      <c r="Q1338" s="17">
        <f t="shared" si="31"/>
        <v>0</v>
      </c>
      <c r="R1338" s="285" t="s">
        <v>3418</v>
      </c>
      <c r="S1338" s="14">
        <v>42585</v>
      </c>
      <c r="T1338" s="22" t="s">
        <v>7136</v>
      </c>
    </row>
    <row r="1339" spans="1:20" ht="45" customHeight="1" x14ac:dyDescent="0.2">
      <c r="A1339" s="21">
        <v>1364</v>
      </c>
      <c r="B1339" s="12" t="s">
        <v>7150</v>
      </c>
      <c r="C1339" s="289"/>
      <c r="D1339" s="9" t="s">
        <v>7151</v>
      </c>
      <c r="E1339" s="22" t="s">
        <v>6220</v>
      </c>
      <c r="F1339" s="9"/>
      <c r="G1339" s="285" t="s">
        <v>4296</v>
      </c>
      <c r="H1339" s="285" t="s">
        <v>3793</v>
      </c>
      <c r="I1339" s="289"/>
      <c r="J1339" s="285" t="s">
        <v>3136</v>
      </c>
      <c r="K1339" s="14">
        <v>42634</v>
      </c>
      <c r="L1339" s="285">
        <v>976</v>
      </c>
      <c r="M1339" s="15">
        <v>42608</v>
      </c>
      <c r="N1339" s="24">
        <v>1</v>
      </c>
      <c r="O1339" s="63">
        <v>3000</v>
      </c>
      <c r="P1339" s="63">
        <v>3000</v>
      </c>
      <c r="Q1339" s="17">
        <f t="shared" si="31"/>
        <v>0</v>
      </c>
      <c r="R1339" s="285" t="s">
        <v>4112</v>
      </c>
      <c r="S1339" s="14">
        <v>42606</v>
      </c>
      <c r="T1339" s="22" t="s">
        <v>7152</v>
      </c>
    </row>
    <row r="1340" spans="1:20" ht="87" customHeight="1" x14ac:dyDescent="0.2">
      <c r="A1340" s="21">
        <v>1365</v>
      </c>
      <c r="B1340" s="12" t="s">
        <v>7153</v>
      </c>
      <c r="C1340" s="289"/>
      <c r="D1340" s="9" t="s">
        <v>7154</v>
      </c>
      <c r="E1340" s="22" t="s">
        <v>6220</v>
      </c>
      <c r="F1340" s="9" t="s">
        <v>7157</v>
      </c>
      <c r="G1340" s="285" t="s">
        <v>7983</v>
      </c>
      <c r="H1340" s="285" t="s">
        <v>5127</v>
      </c>
      <c r="I1340" s="289"/>
      <c r="J1340" s="285" t="s">
        <v>3136</v>
      </c>
      <c r="K1340" s="14">
        <v>42635</v>
      </c>
      <c r="L1340" s="285">
        <v>983</v>
      </c>
      <c r="M1340" s="15">
        <v>42580</v>
      </c>
      <c r="N1340" s="24">
        <v>4</v>
      </c>
      <c r="O1340" s="63">
        <v>111048</v>
      </c>
      <c r="P1340" s="63">
        <v>111048</v>
      </c>
      <c r="Q1340" s="17">
        <f t="shared" si="31"/>
        <v>0</v>
      </c>
      <c r="R1340" s="285" t="s">
        <v>7155</v>
      </c>
      <c r="S1340" s="14">
        <v>42563</v>
      </c>
      <c r="T1340" s="22" t="s">
        <v>7156</v>
      </c>
    </row>
    <row r="1341" spans="1:20" ht="47.25" customHeight="1" x14ac:dyDescent="0.2">
      <c r="A1341" s="21">
        <v>1366</v>
      </c>
      <c r="B1341" s="12" t="s">
        <v>7167</v>
      </c>
      <c r="C1341" s="289"/>
      <c r="D1341" s="9" t="s">
        <v>7169</v>
      </c>
      <c r="E1341" s="22" t="s">
        <v>6220</v>
      </c>
      <c r="F1341" s="9" t="s">
        <v>7170</v>
      </c>
      <c r="G1341" s="285" t="s">
        <v>515</v>
      </c>
      <c r="H1341" s="285" t="s">
        <v>5127</v>
      </c>
      <c r="I1341" s="289"/>
      <c r="J1341" s="285" t="s">
        <v>3136</v>
      </c>
      <c r="K1341" s="14">
        <v>42635</v>
      </c>
      <c r="L1341" s="285">
        <v>982</v>
      </c>
      <c r="M1341" s="15">
        <v>42592</v>
      </c>
      <c r="N1341" s="24">
        <v>1</v>
      </c>
      <c r="O1341" s="63">
        <v>5250</v>
      </c>
      <c r="P1341" s="63">
        <v>5250</v>
      </c>
      <c r="Q1341" s="17">
        <f t="shared" si="31"/>
        <v>0</v>
      </c>
      <c r="R1341" s="285" t="s">
        <v>5345</v>
      </c>
      <c r="S1341" s="14">
        <v>42552</v>
      </c>
      <c r="T1341" s="22" t="s">
        <v>7174</v>
      </c>
    </row>
    <row r="1342" spans="1:20" ht="47.25" customHeight="1" x14ac:dyDescent="0.2">
      <c r="A1342" s="21">
        <v>1367</v>
      </c>
      <c r="B1342" s="12" t="s">
        <v>7168</v>
      </c>
      <c r="C1342" s="289"/>
      <c r="D1342" s="9" t="s">
        <v>7171</v>
      </c>
      <c r="E1342" s="22" t="s">
        <v>6220</v>
      </c>
      <c r="F1342" s="9" t="s">
        <v>7172</v>
      </c>
      <c r="G1342" s="285" t="s">
        <v>515</v>
      </c>
      <c r="H1342" s="285" t="s">
        <v>5127</v>
      </c>
      <c r="I1342" s="289"/>
      <c r="J1342" s="285" t="s">
        <v>3136</v>
      </c>
      <c r="K1342" s="14">
        <v>42635</v>
      </c>
      <c r="L1342" s="285">
        <v>982</v>
      </c>
      <c r="M1342" s="15">
        <v>42592</v>
      </c>
      <c r="N1342" s="24">
        <v>1</v>
      </c>
      <c r="O1342" s="63">
        <v>56321</v>
      </c>
      <c r="P1342" s="63">
        <v>48275.28</v>
      </c>
      <c r="Q1342" s="17">
        <f t="shared" si="31"/>
        <v>8045.7200000000012</v>
      </c>
      <c r="R1342" s="285" t="s">
        <v>5110</v>
      </c>
      <c r="S1342" s="14">
        <v>42570</v>
      </c>
      <c r="T1342" s="22" t="s">
        <v>7173</v>
      </c>
    </row>
    <row r="1343" spans="1:20" ht="57" customHeight="1" x14ac:dyDescent="0.2">
      <c r="A1343" s="21">
        <v>1368</v>
      </c>
      <c r="B1343" s="12" t="s">
        <v>7182</v>
      </c>
      <c r="C1343" s="289"/>
      <c r="D1343" s="9" t="s">
        <v>7183</v>
      </c>
      <c r="E1343" s="22" t="s">
        <v>7184</v>
      </c>
      <c r="F1343" s="9" t="s">
        <v>7185</v>
      </c>
      <c r="G1343" s="285" t="s">
        <v>4296</v>
      </c>
      <c r="H1343" s="285" t="s">
        <v>3793</v>
      </c>
      <c r="I1343" s="289"/>
      <c r="J1343" s="285" t="s">
        <v>3136</v>
      </c>
      <c r="K1343" s="14">
        <v>42642</v>
      </c>
      <c r="L1343" s="285">
        <v>996</v>
      </c>
      <c r="M1343" s="15">
        <v>42614</v>
      </c>
      <c r="N1343" s="24">
        <v>1</v>
      </c>
      <c r="O1343" s="63">
        <v>6332.42</v>
      </c>
      <c r="P1343" s="63">
        <v>6332.42</v>
      </c>
      <c r="Q1343" s="17">
        <f t="shared" si="31"/>
        <v>0</v>
      </c>
      <c r="R1343" s="285" t="s">
        <v>5110</v>
      </c>
      <c r="S1343" s="14">
        <v>42508</v>
      </c>
      <c r="T1343" s="22" t="s">
        <v>7186</v>
      </c>
    </row>
    <row r="1344" spans="1:20" ht="45.75" customHeight="1" x14ac:dyDescent="0.2">
      <c r="A1344" s="21">
        <v>1370</v>
      </c>
      <c r="B1344" s="12" t="s">
        <v>7189</v>
      </c>
      <c r="C1344" s="289"/>
      <c r="D1344" s="9" t="s">
        <v>7196</v>
      </c>
      <c r="E1344" s="22" t="s">
        <v>6220</v>
      </c>
      <c r="F1344" s="9" t="s">
        <v>3338</v>
      </c>
      <c r="G1344" s="285" t="s">
        <v>7983</v>
      </c>
      <c r="H1344" s="285" t="s">
        <v>5127</v>
      </c>
      <c r="I1344" s="289"/>
      <c r="J1344" s="285" t="s">
        <v>3136</v>
      </c>
      <c r="K1344" s="14">
        <v>42662</v>
      </c>
      <c r="L1344" s="285">
        <v>1101</v>
      </c>
      <c r="M1344" s="15">
        <v>42597</v>
      </c>
      <c r="N1344" s="24">
        <v>1</v>
      </c>
      <c r="O1344" s="63">
        <v>1183.48</v>
      </c>
      <c r="P1344" s="63">
        <v>1183.48</v>
      </c>
      <c r="Q1344" s="17">
        <f t="shared" si="31"/>
        <v>0</v>
      </c>
      <c r="R1344" s="285" t="s">
        <v>6462</v>
      </c>
      <c r="S1344" s="14" t="s">
        <v>7194</v>
      </c>
      <c r="T1344" s="22" t="s">
        <v>7195</v>
      </c>
    </row>
    <row r="1345" spans="1:20" ht="81.75" customHeight="1" x14ac:dyDescent="0.2">
      <c r="A1345" s="21">
        <v>1371</v>
      </c>
      <c r="B1345" s="12" t="s">
        <v>7190</v>
      </c>
      <c r="C1345" s="289"/>
      <c r="D1345" s="9" t="s">
        <v>7197</v>
      </c>
      <c r="E1345" s="22" t="s">
        <v>6220</v>
      </c>
      <c r="F1345" s="9" t="s">
        <v>3338</v>
      </c>
      <c r="G1345" s="285" t="s">
        <v>7983</v>
      </c>
      <c r="H1345" s="285" t="s">
        <v>5127</v>
      </c>
      <c r="I1345" s="289"/>
      <c r="J1345" s="285" t="s">
        <v>3136</v>
      </c>
      <c r="K1345" s="14">
        <v>42662</v>
      </c>
      <c r="L1345" s="285">
        <v>1101</v>
      </c>
      <c r="M1345" s="15">
        <v>42597</v>
      </c>
      <c r="N1345" s="24">
        <v>1</v>
      </c>
      <c r="O1345" s="63">
        <v>32566.67</v>
      </c>
      <c r="P1345" s="63">
        <v>32566.67</v>
      </c>
      <c r="Q1345" s="17">
        <f t="shared" si="31"/>
        <v>0</v>
      </c>
      <c r="R1345" s="285" t="s">
        <v>6462</v>
      </c>
      <c r="S1345" s="14" t="s">
        <v>7194</v>
      </c>
      <c r="T1345" s="22" t="s">
        <v>7195</v>
      </c>
    </row>
    <row r="1346" spans="1:20" ht="119.25" customHeight="1" x14ac:dyDescent="0.2">
      <c r="A1346" s="21">
        <v>1372</v>
      </c>
      <c r="B1346" s="12" t="s">
        <v>7191</v>
      </c>
      <c r="C1346" s="289"/>
      <c r="D1346" s="9" t="s">
        <v>3219</v>
      </c>
      <c r="E1346" s="22" t="s">
        <v>6220</v>
      </c>
      <c r="F1346" s="9" t="s">
        <v>3338</v>
      </c>
      <c r="G1346" s="285" t="s">
        <v>7983</v>
      </c>
      <c r="H1346" s="285" t="s">
        <v>5127</v>
      </c>
      <c r="I1346" s="20"/>
      <c r="J1346" s="285" t="s">
        <v>3136</v>
      </c>
      <c r="K1346" s="32">
        <v>42662</v>
      </c>
      <c r="L1346" s="37">
        <v>1101</v>
      </c>
      <c r="M1346" s="57">
        <v>42597</v>
      </c>
      <c r="N1346" s="33">
        <v>1</v>
      </c>
      <c r="O1346" s="61">
        <v>8243.24</v>
      </c>
      <c r="P1346" s="61">
        <v>8243.24</v>
      </c>
      <c r="Q1346" s="17">
        <f t="shared" si="31"/>
        <v>0</v>
      </c>
      <c r="R1346" s="285" t="s">
        <v>6462</v>
      </c>
      <c r="S1346" s="14" t="s">
        <v>7194</v>
      </c>
      <c r="T1346" s="22" t="s">
        <v>7195</v>
      </c>
    </row>
    <row r="1347" spans="1:20" ht="208.5" customHeight="1" x14ac:dyDescent="0.2">
      <c r="A1347" s="21">
        <v>1373</v>
      </c>
      <c r="B1347" s="12" t="s">
        <v>7192</v>
      </c>
      <c r="C1347" s="289"/>
      <c r="D1347" s="9" t="s">
        <v>7198</v>
      </c>
      <c r="E1347" s="22" t="s">
        <v>6220</v>
      </c>
      <c r="F1347" s="9" t="s">
        <v>11431</v>
      </c>
      <c r="G1347" s="285" t="s">
        <v>7983</v>
      </c>
      <c r="H1347" s="285" t="s">
        <v>5127</v>
      </c>
      <c r="I1347" s="20"/>
      <c r="J1347" s="285" t="s">
        <v>3136</v>
      </c>
      <c r="K1347" s="32">
        <v>42662</v>
      </c>
      <c r="L1347" s="37">
        <v>1101</v>
      </c>
      <c r="M1347" s="57">
        <v>42597</v>
      </c>
      <c r="N1347" s="33">
        <v>1</v>
      </c>
      <c r="O1347" s="61">
        <v>34446.65</v>
      </c>
      <c r="P1347" s="61">
        <v>34446.65</v>
      </c>
      <c r="Q1347" s="17">
        <f t="shared" si="31"/>
        <v>0</v>
      </c>
      <c r="R1347" s="285" t="s">
        <v>6462</v>
      </c>
      <c r="S1347" s="14" t="s">
        <v>7194</v>
      </c>
      <c r="T1347" s="22" t="s">
        <v>7195</v>
      </c>
    </row>
    <row r="1348" spans="1:20" ht="202.5" customHeight="1" x14ac:dyDescent="0.2">
      <c r="A1348" s="21">
        <v>1374</v>
      </c>
      <c r="B1348" s="12" t="s">
        <v>7193</v>
      </c>
      <c r="C1348" s="289"/>
      <c r="D1348" s="9" t="s">
        <v>7199</v>
      </c>
      <c r="E1348" s="285">
        <v>2016</v>
      </c>
      <c r="F1348" s="9" t="s">
        <v>3338</v>
      </c>
      <c r="G1348" s="285" t="s">
        <v>7983</v>
      </c>
      <c r="H1348" s="285" t="s">
        <v>5127</v>
      </c>
      <c r="I1348" s="20"/>
      <c r="J1348" s="285" t="s">
        <v>3136</v>
      </c>
      <c r="K1348" s="32">
        <v>42662</v>
      </c>
      <c r="L1348" s="37">
        <v>1101</v>
      </c>
      <c r="M1348" s="57">
        <v>42597</v>
      </c>
      <c r="N1348" s="33">
        <v>1</v>
      </c>
      <c r="O1348" s="61">
        <v>3129.25</v>
      </c>
      <c r="P1348" s="61">
        <v>3129.25</v>
      </c>
      <c r="Q1348" s="17">
        <f t="shared" si="31"/>
        <v>0</v>
      </c>
      <c r="R1348" s="285" t="s">
        <v>6462</v>
      </c>
      <c r="S1348" s="14" t="s">
        <v>7194</v>
      </c>
      <c r="T1348" s="22" t="s">
        <v>7195</v>
      </c>
    </row>
    <row r="1349" spans="1:20" ht="58.5" customHeight="1" x14ac:dyDescent="0.2">
      <c r="A1349" s="21">
        <v>1375</v>
      </c>
      <c r="B1349" s="12" t="s">
        <v>7200</v>
      </c>
      <c r="C1349" s="289"/>
      <c r="D1349" s="9" t="s">
        <v>7203</v>
      </c>
      <c r="E1349" s="22" t="s">
        <v>6220</v>
      </c>
      <c r="F1349" s="9" t="s">
        <v>7204</v>
      </c>
      <c r="G1349" s="285" t="s">
        <v>4877</v>
      </c>
      <c r="H1349" s="285" t="s">
        <v>3793</v>
      </c>
      <c r="I1349" s="289"/>
      <c r="J1349" s="285" t="s">
        <v>3136</v>
      </c>
      <c r="K1349" s="32">
        <v>42653</v>
      </c>
      <c r="L1349" s="37">
        <v>1045</v>
      </c>
      <c r="M1349" s="15">
        <v>42619</v>
      </c>
      <c r="N1349" s="24">
        <v>1</v>
      </c>
      <c r="O1349" s="63">
        <v>6477</v>
      </c>
      <c r="P1349" s="63">
        <v>6477</v>
      </c>
      <c r="Q1349" s="17">
        <f t="shared" si="31"/>
        <v>0</v>
      </c>
      <c r="R1349" s="285" t="s">
        <v>4112</v>
      </c>
      <c r="S1349" s="14">
        <v>42619</v>
      </c>
      <c r="T1349" s="22" t="s">
        <v>7205</v>
      </c>
    </row>
    <row r="1350" spans="1:20" ht="75" customHeight="1" x14ac:dyDescent="0.2">
      <c r="A1350" s="21">
        <v>1376</v>
      </c>
      <c r="B1350" s="12" t="s">
        <v>7201</v>
      </c>
      <c r="C1350" s="289"/>
      <c r="D1350" s="9" t="s">
        <v>5870</v>
      </c>
      <c r="E1350" s="22" t="s">
        <v>6220</v>
      </c>
      <c r="F1350" s="9" t="s">
        <v>7209</v>
      </c>
      <c r="G1350" s="285" t="s">
        <v>4877</v>
      </c>
      <c r="H1350" s="285" t="s">
        <v>3793</v>
      </c>
      <c r="I1350" s="289"/>
      <c r="J1350" s="285" t="s">
        <v>3136</v>
      </c>
      <c r="K1350" s="14">
        <v>42653</v>
      </c>
      <c r="L1350" s="285">
        <v>1045</v>
      </c>
      <c r="M1350" s="15">
        <v>42619</v>
      </c>
      <c r="N1350" s="24">
        <v>1</v>
      </c>
      <c r="O1350" s="63">
        <v>19429</v>
      </c>
      <c r="P1350" s="63">
        <v>19429</v>
      </c>
      <c r="Q1350" s="17">
        <f t="shared" si="31"/>
        <v>0</v>
      </c>
      <c r="R1350" s="285" t="s">
        <v>4112</v>
      </c>
      <c r="S1350" s="14">
        <v>42619</v>
      </c>
      <c r="T1350" s="22" t="s">
        <v>7205</v>
      </c>
    </row>
    <row r="1351" spans="1:20" ht="39" customHeight="1" x14ac:dyDescent="0.2">
      <c r="A1351" s="21">
        <v>1377</v>
      </c>
      <c r="B1351" s="12" t="s">
        <v>7202</v>
      </c>
      <c r="C1351" s="289"/>
      <c r="D1351" s="9" t="s">
        <v>3323</v>
      </c>
      <c r="E1351" s="22" t="s">
        <v>6220</v>
      </c>
      <c r="F1351" s="9" t="s">
        <v>7210</v>
      </c>
      <c r="G1351" s="285" t="s">
        <v>4877</v>
      </c>
      <c r="H1351" s="285" t="s">
        <v>3793</v>
      </c>
      <c r="I1351" s="289"/>
      <c r="J1351" s="285" t="s">
        <v>3136</v>
      </c>
      <c r="K1351" s="14">
        <v>42653</v>
      </c>
      <c r="L1351" s="285">
        <v>1045</v>
      </c>
      <c r="M1351" s="15">
        <v>42619</v>
      </c>
      <c r="N1351" s="24">
        <v>1</v>
      </c>
      <c r="O1351" s="63">
        <v>3288</v>
      </c>
      <c r="P1351" s="63">
        <v>3288</v>
      </c>
      <c r="Q1351" s="17">
        <f t="shared" si="31"/>
        <v>0</v>
      </c>
      <c r="R1351" s="285" t="s">
        <v>4112</v>
      </c>
      <c r="S1351" s="14">
        <v>42619</v>
      </c>
      <c r="T1351" s="22" t="s">
        <v>7205</v>
      </c>
    </row>
    <row r="1352" spans="1:20" ht="99.75" customHeight="1" x14ac:dyDescent="0.2">
      <c r="A1352" s="21">
        <v>1378</v>
      </c>
      <c r="B1352" s="12" t="s">
        <v>7217</v>
      </c>
      <c r="C1352" s="289"/>
      <c r="D1352" s="9" t="s">
        <v>7220</v>
      </c>
      <c r="E1352" s="22" t="s">
        <v>6220</v>
      </c>
      <c r="F1352" s="9" t="s">
        <v>7218</v>
      </c>
      <c r="G1352" s="285" t="s">
        <v>4946</v>
      </c>
      <c r="H1352" s="37" t="s">
        <v>5127</v>
      </c>
      <c r="I1352" s="20"/>
      <c r="J1352" s="285" t="s">
        <v>3136</v>
      </c>
      <c r="K1352" s="32">
        <v>42662</v>
      </c>
      <c r="L1352" s="37">
        <v>1099</v>
      </c>
      <c r="M1352" s="57">
        <v>42653</v>
      </c>
      <c r="N1352" s="33">
        <v>1</v>
      </c>
      <c r="O1352" s="61">
        <v>15000</v>
      </c>
      <c r="P1352" s="61">
        <v>15000</v>
      </c>
      <c r="Q1352" s="17">
        <f t="shared" si="31"/>
        <v>0</v>
      </c>
      <c r="R1352" s="285" t="s">
        <v>3418</v>
      </c>
      <c r="S1352" s="14">
        <v>42653</v>
      </c>
      <c r="T1352" s="22" t="s">
        <v>7219</v>
      </c>
    </row>
    <row r="1353" spans="1:20" ht="95.25" customHeight="1" x14ac:dyDescent="0.2">
      <c r="A1353" s="21">
        <v>1379</v>
      </c>
      <c r="B1353" s="12" t="s">
        <v>7222</v>
      </c>
      <c r="C1353" s="289"/>
      <c r="D1353" s="41" t="s">
        <v>7223</v>
      </c>
      <c r="E1353" s="22" t="s">
        <v>6220</v>
      </c>
      <c r="F1353" s="9"/>
      <c r="G1353" s="285" t="s">
        <v>4296</v>
      </c>
      <c r="H1353" s="37" t="s">
        <v>3793</v>
      </c>
      <c r="I1353" s="20"/>
      <c r="J1353" s="285" t="s">
        <v>3136</v>
      </c>
      <c r="K1353" s="32">
        <v>42675</v>
      </c>
      <c r="L1353" s="37">
        <v>1157</v>
      </c>
      <c r="M1353" s="57">
        <v>42660</v>
      </c>
      <c r="N1353" s="33">
        <v>3</v>
      </c>
      <c r="O1353" s="61">
        <v>9559.33</v>
      </c>
      <c r="P1353" s="61">
        <v>9559.33</v>
      </c>
      <c r="Q1353" s="17">
        <f t="shared" si="31"/>
        <v>0</v>
      </c>
      <c r="R1353" s="285" t="s">
        <v>5110</v>
      </c>
      <c r="S1353" s="14">
        <v>42641</v>
      </c>
      <c r="T1353" s="22" t="s">
        <v>7224</v>
      </c>
    </row>
    <row r="1354" spans="1:20" ht="99.75" customHeight="1" x14ac:dyDescent="0.2">
      <c r="A1354" s="21">
        <v>1380</v>
      </c>
      <c r="B1354" s="12" t="s">
        <v>7225</v>
      </c>
      <c r="C1354" s="289"/>
      <c r="D1354" s="9" t="s">
        <v>7226</v>
      </c>
      <c r="E1354" s="22" t="s">
        <v>6220</v>
      </c>
      <c r="F1354" s="9" t="s">
        <v>7227</v>
      </c>
      <c r="G1354" s="285" t="s">
        <v>4296</v>
      </c>
      <c r="H1354" s="37" t="s">
        <v>3793</v>
      </c>
      <c r="I1354" s="20"/>
      <c r="J1354" s="285" t="s">
        <v>3136</v>
      </c>
      <c r="K1354" s="32">
        <v>42675</v>
      </c>
      <c r="L1354" s="37">
        <v>1158</v>
      </c>
      <c r="M1354" s="57">
        <v>42649</v>
      </c>
      <c r="N1354" s="33">
        <v>1</v>
      </c>
      <c r="O1354" s="61">
        <v>184745.76</v>
      </c>
      <c r="P1354" s="61">
        <v>162751.9</v>
      </c>
      <c r="Q1354" s="17">
        <f t="shared" si="31"/>
        <v>21993.860000000015</v>
      </c>
      <c r="R1354" s="285" t="s">
        <v>5110</v>
      </c>
      <c r="S1354" s="14">
        <v>42629</v>
      </c>
      <c r="T1354" s="22" t="s">
        <v>909</v>
      </c>
    </row>
    <row r="1355" spans="1:20" ht="46.5" customHeight="1" x14ac:dyDescent="0.2">
      <c r="A1355" s="21">
        <v>1381</v>
      </c>
      <c r="B1355" s="12" t="s">
        <v>7228</v>
      </c>
      <c r="C1355" s="289"/>
      <c r="D1355" s="9" t="s">
        <v>2879</v>
      </c>
      <c r="E1355" s="22" t="s">
        <v>6220</v>
      </c>
      <c r="F1355" s="9" t="s">
        <v>7233</v>
      </c>
      <c r="G1355" s="285" t="s">
        <v>7846</v>
      </c>
      <c r="H1355" s="37" t="s">
        <v>5127</v>
      </c>
      <c r="I1355" s="20"/>
      <c r="J1355" s="285" t="s">
        <v>3136</v>
      </c>
      <c r="K1355" s="32">
        <v>42675</v>
      </c>
      <c r="L1355" s="37">
        <v>1155</v>
      </c>
      <c r="M1355" s="57">
        <v>42654</v>
      </c>
      <c r="N1355" s="33">
        <v>1</v>
      </c>
      <c r="O1355" s="61">
        <v>30500</v>
      </c>
      <c r="P1355" s="61">
        <v>30500</v>
      </c>
      <c r="Q1355" s="17">
        <f t="shared" si="31"/>
        <v>0</v>
      </c>
      <c r="R1355" s="285" t="s">
        <v>4689</v>
      </c>
      <c r="S1355" s="14">
        <v>42654</v>
      </c>
      <c r="T1355" s="22" t="s">
        <v>7230</v>
      </c>
    </row>
    <row r="1356" spans="1:20" ht="101.25" customHeight="1" x14ac:dyDescent="0.2">
      <c r="A1356" s="21">
        <v>1382</v>
      </c>
      <c r="B1356" s="12" t="s">
        <v>7229</v>
      </c>
      <c r="C1356" s="289"/>
      <c r="D1356" s="9" t="s">
        <v>7231</v>
      </c>
      <c r="E1356" s="22" t="s">
        <v>6220</v>
      </c>
      <c r="F1356" s="9" t="s">
        <v>7232</v>
      </c>
      <c r="G1356" s="285" t="s">
        <v>7846</v>
      </c>
      <c r="H1356" s="37" t="s">
        <v>5127</v>
      </c>
      <c r="I1356" s="20"/>
      <c r="J1356" s="285" t="s">
        <v>3136</v>
      </c>
      <c r="K1356" s="32">
        <v>42675</v>
      </c>
      <c r="L1356" s="37">
        <v>1155</v>
      </c>
      <c r="M1356" s="57">
        <v>42654</v>
      </c>
      <c r="N1356" s="33">
        <v>1</v>
      </c>
      <c r="O1356" s="61">
        <v>19500</v>
      </c>
      <c r="P1356" s="61">
        <v>19500</v>
      </c>
      <c r="Q1356" s="17">
        <f t="shared" si="31"/>
        <v>0</v>
      </c>
      <c r="R1356" s="285" t="s">
        <v>4689</v>
      </c>
      <c r="S1356" s="14">
        <v>42654</v>
      </c>
      <c r="T1356" s="22" t="s">
        <v>7230</v>
      </c>
    </row>
    <row r="1357" spans="1:20" ht="96.75" customHeight="1" x14ac:dyDescent="0.2">
      <c r="A1357" s="21">
        <v>1383</v>
      </c>
      <c r="B1357" s="12" t="s">
        <v>7234</v>
      </c>
      <c r="C1357" s="289"/>
      <c r="D1357" s="9" t="s">
        <v>7239</v>
      </c>
      <c r="E1357" s="22" t="s">
        <v>6220</v>
      </c>
      <c r="F1357" s="9" t="s">
        <v>6931</v>
      </c>
      <c r="G1357" s="285" t="s">
        <v>7934</v>
      </c>
      <c r="H1357" s="37" t="s">
        <v>5127</v>
      </c>
      <c r="I1357" s="20"/>
      <c r="J1357" s="285" t="s">
        <v>3136</v>
      </c>
      <c r="K1357" s="32">
        <v>42681</v>
      </c>
      <c r="L1357" s="37">
        <v>1184</v>
      </c>
      <c r="M1357" s="57">
        <v>42654</v>
      </c>
      <c r="N1357" s="33">
        <v>1</v>
      </c>
      <c r="O1357" s="61">
        <v>11690</v>
      </c>
      <c r="P1357" s="61">
        <v>11690</v>
      </c>
      <c r="Q1357" s="17">
        <f t="shared" si="31"/>
        <v>0</v>
      </c>
      <c r="R1357" s="285" t="s">
        <v>3418</v>
      </c>
      <c r="S1357" s="14">
        <v>42654</v>
      </c>
      <c r="T1357" s="22" t="s">
        <v>7238</v>
      </c>
    </row>
    <row r="1358" spans="1:20" ht="99.75" customHeight="1" x14ac:dyDescent="0.2">
      <c r="A1358" s="21">
        <v>1384</v>
      </c>
      <c r="B1358" s="12" t="s">
        <v>7235</v>
      </c>
      <c r="C1358" s="289"/>
      <c r="D1358" s="9" t="s">
        <v>7240</v>
      </c>
      <c r="E1358" s="22" t="s">
        <v>6220</v>
      </c>
      <c r="F1358" s="9" t="s">
        <v>6982</v>
      </c>
      <c r="G1358" s="285" t="s">
        <v>7934</v>
      </c>
      <c r="H1358" s="37" t="s">
        <v>5127</v>
      </c>
      <c r="I1358" s="20"/>
      <c r="J1358" s="285" t="s">
        <v>3136</v>
      </c>
      <c r="K1358" s="32">
        <v>42681</v>
      </c>
      <c r="L1358" s="37">
        <v>1184</v>
      </c>
      <c r="M1358" s="57">
        <v>42654</v>
      </c>
      <c r="N1358" s="33">
        <v>1</v>
      </c>
      <c r="O1358" s="61">
        <v>3599</v>
      </c>
      <c r="P1358" s="61">
        <v>3599</v>
      </c>
      <c r="Q1358" s="17">
        <f t="shared" si="31"/>
        <v>0</v>
      </c>
      <c r="R1358" s="285" t="s">
        <v>3418</v>
      </c>
      <c r="S1358" s="14">
        <v>42654</v>
      </c>
      <c r="T1358" s="22" t="s">
        <v>7238</v>
      </c>
    </row>
    <row r="1359" spans="1:20" ht="100.5" customHeight="1" x14ac:dyDescent="0.2">
      <c r="A1359" s="21">
        <v>1385</v>
      </c>
      <c r="B1359" s="12" t="s">
        <v>7236</v>
      </c>
      <c r="C1359" s="289"/>
      <c r="D1359" s="9" t="s">
        <v>7237</v>
      </c>
      <c r="E1359" s="22" t="s">
        <v>6220</v>
      </c>
      <c r="F1359" s="9" t="s">
        <v>6985</v>
      </c>
      <c r="G1359" s="285" t="s">
        <v>7934</v>
      </c>
      <c r="H1359" s="37" t="s">
        <v>5127</v>
      </c>
      <c r="I1359" s="20"/>
      <c r="J1359" s="285" t="s">
        <v>3136</v>
      </c>
      <c r="K1359" s="32">
        <v>42681</v>
      </c>
      <c r="L1359" s="37">
        <v>1184</v>
      </c>
      <c r="M1359" s="57">
        <v>42654</v>
      </c>
      <c r="N1359" s="33">
        <v>1</v>
      </c>
      <c r="O1359" s="61">
        <v>33499</v>
      </c>
      <c r="P1359" s="61">
        <v>33499</v>
      </c>
      <c r="Q1359" s="17">
        <f t="shared" si="31"/>
        <v>0</v>
      </c>
      <c r="R1359" s="285" t="s">
        <v>3418</v>
      </c>
      <c r="S1359" s="14">
        <v>42654</v>
      </c>
      <c r="T1359" s="22" t="s">
        <v>7238</v>
      </c>
    </row>
    <row r="1360" spans="1:20" ht="93.75" customHeight="1" x14ac:dyDescent="0.2">
      <c r="A1360" s="21">
        <v>1386</v>
      </c>
      <c r="B1360" s="12" t="s">
        <v>7245</v>
      </c>
      <c r="C1360" s="289"/>
      <c r="D1360" s="9" t="s">
        <v>7246</v>
      </c>
      <c r="E1360" s="22" t="s">
        <v>6220</v>
      </c>
      <c r="F1360" s="9" t="s">
        <v>7249</v>
      </c>
      <c r="G1360" s="285" t="s">
        <v>7982</v>
      </c>
      <c r="H1360" s="37" t="s">
        <v>5127</v>
      </c>
      <c r="I1360" s="20"/>
      <c r="J1360" s="285" t="s">
        <v>3136</v>
      </c>
      <c r="K1360" s="32">
        <v>42690</v>
      </c>
      <c r="L1360" s="37">
        <v>1217</v>
      </c>
      <c r="M1360" s="57" t="s">
        <v>7247</v>
      </c>
      <c r="N1360" s="33">
        <v>1</v>
      </c>
      <c r="O1360" s="61">
        <v>8790</v>
      </c>
      <c r="P1360" s="61">
        <v>8790</v>
      </c>
      <c r="Q1360" s="17">
        <f t="shared" si="31"/>
        <v>0</v>
      </c>
      <c r="R1360" s="285" t="s">
        <v>5345</v>
      </c>
      <c r="S1360" s="14">
        <v>42668</v>
      </c>
      <c r="T1360" s="22" t="s">
        <v>7248</v>
      </c>
    </row>
    <row r="1361" spans="1:20" ht="99" customHeight="1" x14ac:dyDescent="0.2">
      <c r="A1361" s="21">
        <v>1387</v>
      </c>
      <c r="B1361" s="12" t="s">
        <v>7256</v>
      </c>
      <c r="C1361" s="289"/>
      <c r="D1361" s="9" t="s">
        <v>7257</v>
      </c>
      <c r="E1361" s="22" t="s">
        <v>6220</v>
      </c>
      <c r="F1361" s="9" t="s">
        <v>7258</v>
      </c>
      <c r="G1361" s="285" t="s">
        <v>4296</v>
      </c>
      <c r="H1361" s="37" t="s">
        <v>3793</v>
      </c>
      <c r="I1361" s="20"/>
      <c r="J1361" s="285" t="s">
        <v>3136</v>
      </c>
      <c r="K1361" s="32">
        <v>42718</v>
      </c>
      <c r="L1361" s="37">
        <v>1304</v>
      </c>
      <c r="M1361" s="57">
        <v>42699</v>
      </c>
      <c r="N1361" s="33">
        <v>1</v>
      </c>
      <c r="O1361" s="61">
        <v>5314</v>
      </c>
      <c r="P1361" s="61">
        <v>5314</v>
      </c>
      <c r="Q1361" s="17">
        <f t="shared" si="31"/>
        <v>0</v>
      </c>
      <c r="R1361" s="285" t="s">
        <v>5110</v>
      </c>
      <c r="S1361" s="14">
        <v>42684</v>
      </c>
      <c r="T1361" s="22" t="s">
        <v>7259</v>
      </c>
    </row>
    <row r="1362" spans="1:20" ht="98.25" customHeight="1" x14ac:dyDescent="0.2">
      <c r="A1362" s="21">
        <v>1388</v>
      </c>
      <c r="B1362" s="12" t="s">
        <v>7260</v>
      </c>
      <c r="C1362" s="289"/>
      <c r="D1362" s="9" t="s">
        <v>7262</v>
      </c>
      <c r="E1362" s="22" t="s">
        <v>6220</v>
      </c>
      <c r="F1362" s="9" t="s">
        <v>7263</v>
      </c>
      <c r="G1362" s="285" t="s">
        <v>4296</v>
      </c>
      <c r="H1362" s="37" t="s">
        <v>3793</v>
      </c>
      <c r="I1362" s="20"/>
      <c r="J1362" s="285" t="s">
        <v>3136</v>
      </c>
      <c r="K1362" s="32">
        <v>42718</v>
      </c>
      <c r="L1362" s="37">
        <v>1304</v>
      </c>
      <c r="M1362" s="57">
        <v>42696</v>
      </c>
      <c r="N1362" s="33">
        <v>1</v>
      </c>
      <c r="O1362" s="61">
        <v>100319.49</v>
      </c>
      <c r="P1362" s="61">
        <v>61028</v>
      </c>
      <c r="Q1362" s="17">
        <f t="shared" si="31"/>
        <v>39291.490000000005</v>
      </c>
      <c r="R1362" s="285" t="s">
        <v>4383</v>
      </c>
      <c r="S1362" s="14">
        <v>42634</v>
      </c>
      <c r="T1362" s="22" t="s">
        <v>7264</v>
      </c>
    </row>
    <row r="1363" spans="1:20" ht="102" customHeight="1" x14ac:dyDescent="0.2">
      <c r="A1363" s="21">
        <v>1389</v>
      </c>
      <c r="B1363" s="12" t="s">
        <v>7261</v>
      </c>
      <c r="C1363" s="289"/>
      <c r="D1363" s="9" t="s">
        <v>7265</v>
      </c>
      <c r="E1363" s="22" t="s">
        <v>6220</v>
      </c>
      <c r="F1363" s="9"/>
      <c r="G1363" s="285" t="s">
        <v>4296</v>
      </c>
      <c r="H1363" s="37" t="s">
        <v>3793</v>
      </c>
      <c r="I1363" s="20"/>
      <c r="J1363" s="285" t="s">
        <v>3136</v>
      </c>
      <c r="K1363" s="32">
        <v>42718</v>
      </c>
      <c r="L1363" s="37">
        <v>1304</v>
      </c>
      <c r="M1363" s="57">
        <v>42699</v>
      </c>
      <c r="N1363" s="33">
        <v>1</v>
      </c>
      <c r="O1363" s="61">
        <v>4391.22</v>
      </c>
      <c r="P1363" s="61">
        <v>4391.22</v>
      </c>
      <c r="Q1363" s="17">
        <f t="shared" si="31"/>
        <v>0</v>
      </c>
      <c r="R1363" s="285" t="s">
        <v>5110</v>
      </c>
      <c r="S1363" s="14">
        <v>42383</v>
      </c>
      <c r="T1363" s="22" t="s">
        <v>7266</v>
      </c>
    </row>
    <row r="1364" spans="1:20" ht="197.25" customHeight="1" x14ac:dyDescent="0.2">
      <c r="A1364" s="21">
        <v>1390</v>
      </c>
      <c r="B1364" s="12" t="s">
        <v>7267</v>
      </c>
      <c r="C1364" s="289"/>
      <c r="D1364" s="9" t="s">
        <v>7269</v>
      </c>
      <c r="E1364" s="22" t="s">
        <v>6220</v>
      </c>
      <c r="F1364" s="9" t="s">
        <v>7270</v>
      </c>
      <c r="G1364" s="285" t="s">
        <v>7983</v>
      </c>
      <c r="H1364" s="285" t="s">
        <v>5127</v>
      </c>
      <c r="I1364" s="289"/>
      <c r="J1364" s="49" t="s">
        <v>3136</v>
      </c>
      <c r="K1364" s="14">
        <v>42718</v>
      </c>
      <c r="L1364" s="285">
        <v>1308</v>
      </c>
      <c r="M1364" s="15">
        <v>42704</v>
      </c>
      <c r="N1364" s="24">
        <v>1</v>
      </c>
      <c r="O1364" s="63">
        <v>15937</v>
      </c>
      <c r="P1364" s="63">
        <v>15937</v>
      </c>
      <c r="Q1364" s="17">
        <f t="shared" si="31"/>
        <v>0</v>
      </c>
      <c r="R1364" s="285" t="s">
        <v>7271</v>
      </c>
      <c r="S1364" s="14">
        <v>42704</v>
      </c>
      <c r="T1364" s="22" t="s">
        <v>7272</v>
      </c>
    </row>
    <row r="1365" spans="1:20" ht="97.5" customHeight="1" x14ac:dyDescent="0.2">
      <c r="A1365" s="21">
        <v>1391</v>
      </c>
      <c r="B1365" s="12" t="s">
        <v>7268</v>
      </c>
      <c r="C1365" s="289"/>
      <c r="D1365" s="9" t="s">
        <v>7273</v>
      </c>
      <c r="E1365" s="22" t="s">
        <v>6220</v>
      </c>
      <c r="F1365" s="9" t="s">
        <v>7274</v>
      </c>
      <c r="G1365" s="285" t="s">
        <v>7983</v>
      </c>
      <c r="H1365" s="37" t="s">
        <v>5127</v>
      </c>
      <c r="I1365" s="20"/>
      <c r="J1365" s="285" t="s">
        <v>3136</v>
      </c>
      <c r="K1365" s="32">
        <v>42718</v>
      </c>
      <c r="L1365" s="37">
        <v>1308</v>
      </c>
      <c r="M1365" s="57">
        <v>42704</v>
      </c>
      <c r="N1365" s="33">
        <v>1</v>
      </c>
      <c r="O1365" s="61">
        <v>7350</v>
      </c>
      <c r="P1365" s="61">
        <v>7350</v>
      </c>
      <c r="Q1365" s="17">
        <f t="shared" si="31"/>
        <v>0</v>
      </c>
      <c r="R1365" s="285" t="s">
        <v>7271</v>
      </c>
      <c r="S1365" s="14">
        <v>42704</v>
      </c>
      <c r="T1365" s="22" t="s">
        <v>7272</v>
      </c>
    </row>
    <row r="1366" spans="1:20" ht="167.25" customHeight="1" x14ac:dyDescent="0.2">
      <c r="A1366" s="21">
        <v>1392</v>
      </c>
      <c r="B1366" s="12" t="s">
        <v>7289</v>
      </c>
      <c r="C1366" s="289"/>
      <c r="D1366" s="9" t="s">
        <v>7290</v>
      </c>
      <c r="E1366" s="22" t="s">
        <v>6220</v>
      </c>
      <c r="F1366" s="9" t="s">
        <v>7291</v>
      </c>
      <c r="G1366" s="285" t="s">
        <v>6266</v>
      </c>
      <c r="H1366" s="37" t="s">
        <v>5127</v>
      </c>
      <c r="I1366" s="20"/>
      <c r="J1366" s="285" t="s">
        <v>3136</v>
      </c>
      <c r="K1366" s="32" t="s">
        <v>10752</v>
      </c>
      <c r="L1366" s="37" t="s">
        <v>10751</v>
      </c>
      <c r="M1366" s="57">
        <v>42706</v>
      </c>
      <c r="N1366" s="33">
        <v>1</v>
      </c>
      <c r="O1366" s="61">
        <v>28990</v>
      </c>
      <c r="P1366" s="61">
        <v>28990</v>
      </c>
      <c r="Q1366" s="17">
        <f t="shared" si="31"/>
        <v>0</v>
      </c>
      <c r="R1366" s="285" t="s">
        <v>5890</v>
      </c>
      <c r="S1366" s="14">
        <v>42706</v>
      </c>
      <c r="T1366" s="22" t="s">
        <v>3665</v>
      </c>
    </row>
    <row r="1367" spans="1:20" ht="98.25" customHeight="1" x14ac:dyDescent="0.2">
      <c r="A1367" s="21">
        <v>1393</v>
      </c>
      <c r="B1367" s="12" t="s">
        <v>7293</v>
      </c>
      <c r="C1367" s="289"/>
      <c r="D1367" s="9" t="s">
        <v>7295</v>
      </c>
      <c r="E1367" s="22" t="s">
        <v>6220</v>
      </c>
      <c r="F1367" s="9" t="s">
        <v>7048</v>
      </c>
      <c r="G1367" s="285" t="s">
        <v>7934</v>
      </c>
      <c r="H1367" s="37" t="s">
        <v>5127</v>
      </c>
      <c r="I1367" s="20"/>
      <c r="J1367" s="285" t="s">
        <v>3136</v>
      </c>
      <c r="K1367" s="32">
        <v>42726</v>
      </c>
      <c r="L1367" s="37">
        <v>1345</v>
      </c>
      <c r="M1367" s="57">
        <v>42704</v>
      </c>
      <c r="N1367" s="33">
        <v>1</v>
      </c>
      <c r="O1367" s="61">
        <v>23999</v>
      </c>
      <c r="P1367" s="61">
        <v>23999</v>
      </c>
      <c r="Q1367" s="17">
        <f t="shared" ref="Q1367:Q1430" si="32">O1367-P1367</f>
        <v>0</v>
      </c>
      <c r="R1367" s="285" t="s">
        <v>3418</v>
      </c>
      <c r="S1367" s="14">
        <v>42704</v>
      </c>
      <c r="T1367" s="22" t="s">
        <v>7296</v>
      </c>
    </row>
    <row r="1368" spans="1:20" ht="99.75" customHeight="1" x14ac:dyDescent="0.2">
      <c r="A1368" s="21">
        <v>1394</v>
      </c>
      <c r="B1368" s="12" t="s">
        <v>7294</v>
      </c>
      <c r="C1368" s="289"/>
      <c r="D1368" s="9" t="s">
        <v>7297</v>
      </c>
      <c r="E1368" s="22" t="s">
        <v>6220</v>
      </c>
      <c r="F1368" s="9" t="s">
        <v>7298</v>
      </c>
      <c r="G1368" s="37" t="s">
        <v>7934</v>
      </c>
      <c r="H1368" s="37" t="s">
        <v>5127</v>
      </c>
      <c r="I1368" s="20"/>
      <c r="J1368" s="285" t="s">
        <v>3136</v>
      </c>
      <c r="K1368" s="32">
        <v>42726</v>
      </c>
      <c r="L1368" s="37">
        <v>1345</v>
      </c>
      <c r="M1368" s="57">
        <v>42704</v>
      </c>
      <c r="N1368" s="33">
        <v>1</v>
      </c>
      <c r="O1368" s="61">
        <v>4450</v>
      </c>
      <c r="P1368" s="61">
        <v>4450</v>
      </c>
      <c r="Q1368" s="17">
        <f t="shared" si="32"/>
        <v>0</v>
      </c>
      <c r="R1368" s="285" t="s">
        <v>3418</v>
      </c>
      <c r="S1368" s="14">
        <v>42704</v>
      </c>
      <c r="T1368" s="22" t="s">
        <v>7296</v>
      </c>
    </row>
    <row r="1369" spans="1:20" ht="96.75" customHeight="1" x14ac:dyDescent="0.2">
      <c r="A1369" s="21">
        <v>1395</v>
      </c>
      <c r="B1369" s="12" t="s">
        <v>7302</v>
      </c>
      <c r="C1369" s="289"/>
      <c r="D1369" s="9" t="s">
        <v>7304</v>
      </c>
      <c r="E1369" s="22" t="s">
        <v>6220</v>
      </c>
      <c r="F1369" s="9" t="s">
        <v>7305</v>
      </c>
      <c r="G1369" s="285" t="s">
        <v>4877</v>
      </c>
      <c r="H1369" s="37" t="s">
        <v>3793</v>
      </c>
      <c r="I1369" s="20"/>
      <c r="J1369" s="285" t="s">
        <v>3136</v>
      </c>
      <c r="K1369" s="32">
        <v>42726</v>
      </c>
      <c r="L1369" s="37">
        <v>1350</v>
      </c>
      <c r="M1369" s="57">
        <v>42704</v>
      </c>
      <c r="N1369" s="33">
        <v>1</v>
      </c>
      <c r="O1369" s="61">
        <v>4590</v>
      </c>
      <c r="P1369" s="61">
        <v>4590</v>
      </c>
      <c r="Q1369" s="17">
        <f t="shared" si="32"/>
        <v>0</v>
      </c>
      <c r="R1369" s="285" t="s">
        <v>3588</v>
      </c>
      <c r="S1369" s="14">
        <v>42704</v>
      </c>
      <c r="T1369" s="22" t="s">
        <v>7306</v>
      </c>
    </row>
    <row r="1370" spans="1:20" ht="97.5" customHeight="1" x14ac:dyDescent="0.2">
      <c r="A1370" s="21">
        <v>1396</v>
      </c>
      <c r="B1370" s="12" t="s">
        <v>7303</v>
      </c>
      <c r="C1370" s="289"/>
      <c r="D1370" s="9" t="s">
        <v>7307</v>
      </c>
      <c r="E1370" s="22" t="s">
        <v>6220</v>
      </c>
      <c r="F1370" s="9" t="s">
        <v>7308</v>
      </c>
      <c r="G1370" s="285" t="s">
        <v>4877</v>
      </c>
      <c r="H1370" s="37" t="s">
        <v>3793</v>
      </c>
      <c r="I1370" s="20"/>
      <c r="J1370" s="285" t="s">
        <v>3136</v>
      </c>
      <c r="K1370" s="32">
        <v>42726</v>
      </c>
      <c r="L1370" s="37">
        <v>1350</v>
      </c>
      <c r="M1370" s="57">
        <v>42711</v>
      </c>
      <c r="N1370" s="33">
        <v>1</v>
      </c>
      <c r="O1370" s="61">
        <v>12750</v>
      </c>
      <c r="P1370" s="61">
        <v>12750</v>
      </c>
      <c r="Q1370" s="17">
        <f t="shared" si="32"/>
        <v>0</v>
      </c>
      <c r="R1370" s="285" t="s">
        <v>5071</v>
      </c>
      <c r="S1370" s="14">
        <v>42711</v>
      </c>
      <c r="T1370" s="22" t="s">
        <v>2383</v>
      </c>
    </row>
    <row r="1371" spans="1:20" ht="99.75" customHeight="1" x14ac:dyDescent="0.2">
      <c r="A1371" s="21">
        <v>1397</v>
      </c>
      <c r="B1371" s="12" t="s">
        <v>7313</v>
      </c>
      <c r="C1371" s="289"/>
      <c r="D1371" s="9" t="s">
        <v>7314</v>
      </c>
      <c r="E1371" s="22" t="s">
        <v>6220</v>
      </c>
      <c r="F1371" s="9" t="s">
        <v>7315</v>
      </c>
      <c r="G1371" s="285" t="s">
        <v>4296</v>
      </c>
      <c r="H1371" s="37" t="s">
        <v>3793</v>
      </c>
      <c r="I1371" s="20"/>
      <c r="J1371" s="285" t="s">
        <v>3136</v>
      </c>
      <c r="K1371" s="14">
        <v>42726</v>
      </c>
      <c r="L1371" s="285">
        <v>1336</v>
      </c>
      <c r="M1371" s="15">
        <v>42702</v>
      </c>
      <c r="N1371" s="24">
        <v>1</v>
      </c>
      <c r="O1371" s="63">
        <v>7288.14</v>
      </c>
      <c r="P1371" s="63">
        <v>7288.14</v>
      </c>
      <c r="Q1371" s="17">
        <f t="shared" si="32"/>
        <v>0</v>
      </c>
      <c r="R1371" s="285" t="s">
        <v>5110</v>
      </c>
      <c r="S1371" s="14">
        <v>42641</v>
      </c>
      <c r="T1371" s="22" t="s">
        <v>7224</v>
      </c>
    </row>
    <row r="1372" spans="1:20" ht="53.25" customHeight="1" x14ac:dyDescent="0.2">
      <c r="A1372" s="21">
        <v>1398</v>
      </c>
      <c r="B1372" s="12" t="s">
        <v>7316</v>
      </c>
      <c r="C1372" s="289"/>
      <c r="D1372" s="9" t="s">
        <v>7319</v>
      </c>
      <c r="E1372" s="22" t="s">
        <v>6220</v>
      </c>
      <c r="F1372" s="9"/>
      <c r="G1372" s="285" t="s">
        <v>4296</v>
      </c>
      <c r="H1372" s="37" t="s">
        <v>3793</v>
      </c>
      <c r="I1372" s="289"/>
      <c r="J1372" s="285" t="s">
        <v>3136</v>
      </c>
      <c r="K1372" s="14">
        <v>42726</v>
      </c>
      <c r="L1372" s="285">
        <v>1336</v>
      </c>
      <c r="M1372" s="15">
        <v>42710</v>
      </c>
      <c r="N1372" s="24">
        <v>1</v>
      </c>
      <c r="O1372" s="63">
        <v>14221.19</v>
      </c>
      <c r="P1372" s="63">
        <v>14221.19</v>
      </c>
      <c r="Q1372" s="17">
        <f t="shared" si="32"/>
        <v>0</v>
      </c>
      <c r="R1372" s="285" t="s">
        <v>5110</v>
      </c>
      <c r="S1372" s="14">
        <v>42683</v>
      </c>
      <c r="T1372" s="22" t="s">
        <v>7321</v>
      </c>
    </row>
    <row r="1373" spans="1:20" ht="75" customHeight="1" x14ac:dyDescent="0.2">
      <c r="A1373" s="21">
        <v>1399</v>
      </c>
      <c r="B1373" s="12" t="s">
        <v>7317</v>
      </c>
      <c r="C1373" s="289"/>
      <c r="D1373" s="9" t="s">
        <v>7320</v>
      </c>
      <c r="E1373" s="22" t="s">
        <v>6220</v>
      </c>
      <c r="F1373" s="9"/>
      <c r="G1373" s="285" t="s">
        <v>4296</v>
      </c>
      <c r="H1373" s="37" t="s">
        <v>3793</v>
      </c>
      <c r="I1373" s="289"/>
      <c r="J1373" s="285" t="s">
        <v>3136</v>
      </c>
      <c r="K1373" s="14">
        <v>42726</v>
      </c>
      <c r="L1373" s="285">
        <v>1336</v>
      </c>
      <c r="M1373" s="15">
        <v>42710</v>
      </c>
      <c r="N1373" s="24">
        <v>1</v>
      </c>
      <c r="O1373" s="63">
        <v>3179.66</v>
      </c>
      <c r="P1373" s="63">
        <v>3179.66</v>
      </c>
      <c r="Q1373" s="17">
        <f t="shared" si="32"/>
        <v>0</v>
      </c>
      <c r="R1373" s="285" t="s">
        <v>5110</v>
      </c>
      <c r="S1373" s="14">
        <v>42683</v>
      </c>
      <c r="T1373" s="22" t="s">
        <v>7321</v>
      </c>
    </row>
    <row r="1374" spans="1:20" ht="44.25" customHeight="1" x14ac:dyDescent="0.2">
      <c r="A1374" s="21">
        <v>1400</v>
      </c>
      <c r="B1374" s="12" t="s">
        <v>7318</v>
      </c>
      <c r="C1374" s="289"/>
      <c r="D1374" s="9" t="s">
        <v>7322</v>
      </c>
      <c r="E1374" s="22" t="s">
        <v>6220</v>
      </c>
      <c r="F1374" s="9"/>
      <c r="G1374" s="285" t="s">
        <v>4296</v>
      </c>
      <c r="H1374" s="285" t="s">
        <v>3793</v>
      </c>
      <c r="I1374" s="289"/>
      <c r="J1374" s="285" t="s">
        <v>3136</v>
      </c>
      <c r="K1374" s="32">
        <v>42726</v>
      </c>
      <c r="L1374" s="37">
        <v>1336</v>
      </c>
      <c r="M1374" s="57">
        <v>42710</v>
      </c>
      <c r="N1374" s="33">
        <v>1</v>
      </c>
      <c r="O1374" s="61">
        <v>6505.93</v>
      </c>
      <c r="P1374" s="61">
        <v>6505.93</v>
      </c>
      <c r="Q1374" s="17">
        <f t="shared" si="32"/>
        <v>0</v>
      </c>
      <c r="R1374" s="285" t="s">
        <v>5110</v>
      </c>
      <c r="S1374" s="14">
        <v>42683</v>
      </c>
      <c r="T1374" s="22" t="s">
        <v>7321</v>
      </c>
    </row>
    <row r="1375" spans="1:20" ht="72.75" customHeight="1" x14ac:dyDescent="0.2">
      <c r="A1375" s="21">
        <v>1401</v>
      </c>
      <c r="B1375" s="12" t="s">
        <v>7323</v>
      </c>
      <c r="C1375" s="289"/>
      <c r="D1375" s="9" t="s">
        <v>7324</v>
      </c>
      <c r="E1375" s="22" t="s">
        <v>6220</v>
      </c>
      <c r="F1375" s="9" t="s">
        <v>7325</v>
      </c>
      <c r="G1375" s="285" t="s">
        <v>7967</v>
      </c>
      <c r="H1375" s="285" t="s">
        <v>5127</v>
      </c>
      <c r="I1375" s="289"/>
      <c r="J1375" s="285" t="s">
        <v>3136</v>
      </c>
      <c r="K1375" s="32">
        <v>42726</v>
      </c>
      <c r="L1375" s="37">
        <v>1360</v>
      </c>
      <c r="M1375" s="57">
        <v>42716</v>
      </c>
      <c r="N1375" s="33">
        <v>1</v>
      </c>
      <c r="O1375" s="61">
        <v>41223</v>
      </c>
      <c r="P1375" s="61">
        <v>41223</v>
      </c>
      <c r="Q1375" s="17">
        <f t="shared" si="32"/>
        <v>0</v>
      </c>
      <c r="R1375" s="285" t="s">
        <v>3418</v>
      </c>
      <c r="S1375" s="14">
        <v>42716</v>
      </c>
      <c r="T1375" s="22" t="s">
        <v>7326</v>
      </c>
    </row>
    <row r="1376" spans="1:20" ht="68.25" customHeight="1" x14ac:dyDescent="0.2">
      <c r="A1376" s="21">
        <v>1402</v>
      </c>
      <c r="B1376" s="12" t="s">
        <v>7333</v>
      </c>
      <c r="C1376" s="289"/>
      <c r="D1376" s="9" t="s">
        <v>7335</v>
      </c>
      <c r="E1376" s="22" t="s">
        <v>6220</v>
      </c>
      <c r="F1376" s="9"/>
      <c r="G1376" s="285" t="s">
        <v>7981</v>
      </c>
      <c r="H1376" s="285" t="s">
        <v>5127</v>
      </c>
      <c r="I1376" s="289"/>
      <c r="J1376" s="285" t="s">
        <v>3136</v>
      </c>
      <c r="K1376" s="32">
        <v>42732</v>
      </c>
      <c r="L1376" s="37">
        <v>1374</v>
      </c>
      <c r="M1376" s="57">
        <v>42692</v>
      </c>
      <c r="N1376" s="33">
        <v>2</v>
      </c>
      <c r="O1376" s="61">
        <v>38788.199999999997</v>
      </c>
      <c r="P1376" s="61">
        <v>38788.199999999997</v>
      </c>
      <c r="Q1376" s="17">
        <f t="shared" si="32"/>
        <v>0</v>
      </c>
      <c r="R1376" s="285" t="s">
        <v>5364</v>
      </c>
      <c r="S1376" s="14">
        <v>42692</v>
      </c>
      <c r="T1376" s="22" t="s">
        <v>7336</v>
      </c>
    </row>
    <row r="1377" spans="1:20" ht="68.25" customHeight="1" x14ac:dyDescent="0.2">
      <c r="A1377" s="21">
        <v>1403</v>
      </c>
      <c r="B1377" s="12" t="s">
        <v>7334</v>
      </c>
      <c r="C1377" s="289"/>
      <c r="D1377" s="9" t="s">
        <v>7337</v>
      </c>
      <c r="E1377" s="22" t="s">
        <v>6220</v>
      </c>
      <c r="F1377" s="9"/>
      <c r="G1377" s="285" t="s">
        <v>7981</v>
      </c>
      <c r="H1377" s="285" t="s">
        <v>5127</v>
      </c>
      <c r="I1377" s="289"/>
      <c r="J1377" s="285" t="s">
        <v>3136</v>
      </c>
      <c r="K1377" s="32">
        <v>42732</v>
      </c>
      <c r="L1377" s="37">
        <v>1374</v>
      </c>
      <c r="M1377" s="57">
        <v>42692</v>
      </c>
      <c r="N1377" s="33">
        <v>6</v>
      </c>
      <c r="O1377" s="61">
        <v>28087.5</v>
      </c>
      <c r="P1377" s="61">
        <v>28087.5</v>
      </c>
      <c r="Q1377" s="17">
        <f t="shared" si="32"/>
        <v>0</v>
      </c>
      <c r="R1377" s="285" t="s">
        <v>5364</v>
      </c>
      <c r="S1377" s="14">
        <v>42692</v>
      </c>
      <c r="T1377" s="22" t="s">
        <v>7336</v>
      </c>
    </row>
    <row r="1378" spans="1:20" ht="67.5" customHeight="1" x14ac:dyDescent="0.2">
      <c r="A1378" s="21">
        <v>1404</v>
      </c>
      <c r="B1378" s="12" t="s">
        <v>7338</v>
      </c>
      <c r="C1378" s="289"/>
      <c r="D1378" s="9" t="s">
        <v>7342</v>
      </c>
      <c r="E1378" s="22" t="s">
        <v>3412</v>
      </c>
      <c r="F1378" s="9"/>
      <c r="G1378" s="285" t="s">
        <v>9194</v>
      </c>
      <c r="H1378" s="285" t="s">
        <v>5127</v>
      </c>
      <c r="I1378" s="289"/>
      <c r="J1378" s="285" t="s">
        <v>3136</v>
      </c>
      <c r="K1378" s="32">
        <v>42734</v>
      </c>
      <c r="L1378" s="37">
        <v>1394</v>
      </c>
      <c r="M1378" s="57">
        <v>42727</v>
      </c>
      <c r="N1378" s="33">
        <v>1</v>
      </c>
      <c r="O1378" s="61">
        <v>167875</v>
      </c>
      <c r="P1378" s="61">
        <v>141894.21</v>
      </c>
      <c r="Q1378" s="17">
        <f t="shared" si="32"/>
        <v>25980.790000000008</v>
      </c>
      <c r="R1378" s="285" t="s">
        <v>7340</v>
      </c>
      <c r="S1378" s="14">
        <v>40806</v>
      </c>
      <c r="T1378" s="22" t="s">
        <v>7341</v>
      </c>
    </row>
    <row r="1379" spans="1:20" ht="63.75" customHeight="1" x14ac:dyDescent="0.2">
      <c r="A1379" s="21">
        <v>1405</v>
      </c>
      <c r="B1379" s="12" t="s">
        <v>7339</v>
      </c>
      <c r="C1379" s="289"/>
      <c r="D1379" s="9" t="s">
        <v>7342</v>
      </c>
      <c r="E1379" s="22" t="s">
        <v>3412</v>
      </c>
      <c r="F1379" s="9" t="s">
        <v>11749</v>
      </c>
      <c r="G1379" s="285" t="s">
        <v>8293</v>
      </c>
      <c r="H1379" s="285" t="s">
        <v>5127</v>
      </c>
      <c r="I1379" s="289"/>
      <c r="J1379" s="285" t="s">
        <v>3136</v>
      </c>
      <c r="K1379" s="32" t="s">
        <v>11780</v>
      </c>
      <c r="L1379" s="37" t="s">
        <v>11779</v>
      </c>
      <c r="M1379" s="57">
        <v>42727</v>
      </c>
      <c r="N1379" s="33">
        <v>1</v>
      </c>
      <c r="O1379" s="61">
        <v>151246</v>
      </c>
      <c r="P1379" s="61">
        <v>121973.98</v>
      </c>
      <c r="Q1379" s="17">
        <f t="shared" si="32"/>
        <v>29272.020000000004</v>
      </c>
      <c r="R1379" s="285" t="s">
        <v>7340</v>
      </c>
      <c r="S1379" s="14">
        <v>40799</v>
      </c>
      <c r="T1379" s="22" t="s">
        <v>7343</v>
      </c>
    </row>
    <row r="1380" spans="1:20" ht="45.75" customHeight="1" x14ac:dyDescent="0.2">
      <c r="A1380" s="21">
        <v>1406</v>
      </c>
      <c r="B1380" s="12" t="s">
        <v>7350</v>
      </c>
      <c r="C1380" s="289"/>
      <c r="D1380" s="9" t="s">
        <v>7351</v>
      </c>
      <c r="E1380" s="22" t="s">
        <v>6220</v>
      </c>
      <c r="F1380" s="9" t="s">
        <v>7352</v>
      </c>
      <c r="G1380" s="285" t="s">
        <v>7917</v>
      </c>
      <c r="H1380" s="285" t="s">
        <v>5127</v>
      </c>
      <c r="I1380" s="289"/>
      <c r="J1380" s="285" t="s">
        <v>3136</v>
      </c>
      <c r="K1380" s="14">
        <v>42734</v>
      </c>
      <c r="L1380" s="285">
        <v>1391</v>
      </c>
      <c r="M1380" s="15">
        <v>42730</v>
      </c>
      <c r="N1380" s="24">
        <v>1</v>
      </c>
      <c r="O1380" s="63">
        <v>23999</v>
      </c>
      <c r="P1380" s="63">
        <v>23999</v>
      </c>
      <c r="Q1380" s="17">
        <f t="shared" si="32"/>
        <v>0</v>
      </c>
      <c r="R1380" s="285" t="s">
        <v>3418</v>
      </c>
      <c r="S1380" s="14">
        <v>42723</v>
      </c>
      <c r="T1380" s="22" t="s">
        <v>7353</v>
      </c>
    </row>
    <row r="1381" spans="1:20" ht="48" customHeight="1" x14ac:dyDescent="0.2">
      <c r="A1381" s="21">
        <v>1407</v>
      </c>
      <c r="B1381" s="12" t="s">
        <v>7355</v>
      </c>
      <c r="C1381" s="289"/>
      <c r="D1381" s="9" t="s">
        <v>7359</v>
      </c>
      <c r="E1381" s="22" t="s">
        <v>6220</v>
      </c>
      <c r="F1381" s="9" t="s">
        <v>7360</v>
      </c>
      <c r="G1381" s="285" t="s">
        <v>3699</v>
      </c>
      <c r="H1381" s="285" t="s">
        <v>5127</v>
      </c>
      <c r="I1381" s="289"/>
      <c r="J1381" s="285" t="s">
        <v>3136</v>
      </c>
      <c r="K1381" s="14">
        <v>42746</v>
      </c>
      <c r="L1381" s="285">
        <v>4</v>
      </c>
      <c r="M1381" s="15">
        <v>42732</v>
      </c>
      <c r="N1381" s="24">
        <v>1</v>
      </c>
      <c r="O1381" s="63">
        <v>4150</v>
      </c>
      <c r="P1381" s="63">
        <v>4150</v>
      </c>
      <c r="Q1381" s="17">
        <f t="shared" si="32"/>
        <v>0</v>
      </c>
      <c r="R1381" s="285" t="s">
        <v>7361</v>
      </c>
      <c r="S1381" s="14">
        <v>42720</v>
      </c>
      <c r="T1381" s="22" t="s">
        <v>7362</v>
      </c>
    </row>
    <row r="1382" spans="1:20" ht="40.5" customHeight="1" x14ac:dyDescent="0.2">
      <c r="A1382" s="21">
        <v>1408</v>
      </c>
      <c r="B1382" s="12" t="s">
        <v>7356</v>
      </c>
      <c r="C1382" s="289"/>
      <c r="D1382" s="9" t="s">
        <v>7371</v>
      </c>
      <c r="E1382" s="22" t="s">
        <v>6220</v>
      </c>
      <c r="F1382" s="9" t="s">
        <v>7372</v>
      </c>
      <c r="G1382" s="285" t="s">
        <v>7967</v>
      </c>
      <c r="H1382" s="285" t="s">
        <v>5127</v>
      </c>
      <c r="I1382" s="289"/>
      <c r="J1382" s="285" t="s">
        <v>3136</v>
      </c>
      <c r="K1382" s="14">
        <v>42746</v>
      </c>
      <c r="L1382" s="285">
        <v>5</v>
      </c>
      <c r="M1382" s="15">
        <v>42731</v>
      </c>
      <c r="N1382" s="24">
        <v>1</v>
      </c>
      <c r="O1382" s="63">
        <v>19908</v>
      </c>
      <c r="P1382" s="63">
        <v>19908</v>
      </c>
      <c r="Q1382" s="17">
        <f t="shared" si="32"/>
        <v>0</v>
      </c>
      <c r="R1382" s="285" t="s">
        <v>3418</v>
      </c>
      <c r="S1382" s="14">
        <v>42731</v>
      </c>
      <c r="T1382" s="22" t="s">
        <v>7373</v>
      </c>
    </row>
    <row r="1383" spans="1:20" ht="59.25" customHeight="1" x14ac:dyDescent="0.2">
      <c r="A1383" s="21">
        <v>1409</v>
      </c>
      <c r="B1383" s="12" t="s">
        <v>7357</v>
      </c>
      <c r="C1383" s="289"/>
      <c r="D1383" s="9" t="s">
        <v>7374</v>
      </c>
      <c r="E1383" s="22" t="s">
        <v>6220</v>
      </c>
      <c r="F1383" s="9" t="s">
        <v>7375</v>
      </c>
      <c r="G1383" s="285" t="s">
        <v>7982</v>
      </c>
      <c r="H1383" s="285" t="s">
        <v>5127</v>
      </c>
      <c r="I1383" s="289"/>
      <c r="J1383" s="285" t="s">
        <v>3136</v>
      </c>
      <c r="K1383" s="14">
        <v>42751</v>
      </c>
      <c r="L1383" s="285">
        <v>14</v>
      </c>
      <c r="M1383" s="15">
        <v>42730</v>
      </c>
      <c r="N1383" s="24">
        <v>1</v>
      </c>
      <c r="O1383" s="63">
        <v>11189.14</v>
      </c>
      <c r="P1383" s="63">
        <v>11189.14</v>
      </c>
      <c r="Q1383" s="17">
        <f t="shared" si="32"/>
        <v>0</v>
      </c>
      <c r="R1383" s="285" t="s">
        <v>5110</v>
      </c>
      <c r="S1383" s="14">
        <v>42724</v>
      </c>
      <c r="T1383" s="22" t="s">
        <v>7377</v>
      </c>
    </row>
    <row r="1384" spans="1:20" ht="59.25" customHeight="1" x14ac:dyDescent="0.2">
      <c r="A1384" s="21">
        <v>1410</v>
      </c>
      <c r="B1384" s="12" t="s">
        <v>7358</v>
      </c>
      <c r="C1384" s="289"/>
      <c r="D1384" s="9" t="s">
        <v>7273</v>
      </c>
      <c r="E1384" s="22" t="s">
        <v>6220</v>
      </c>
      <c r="F1384" s="9" t="s">
        <v>7376</v>
      </c>
      <c r="G1384" s="285" t="s">
        <v>7982</v>
      </c>
      <c r="H1384" s="285" t="s">
        <v>5127</v>
      </c>
      <c r="I1384" s="289"/>
      <c r="J1384" s="285" t="s">
        <v>3136</v>
      </c>
      <c r="K1384" s="14">
        <v>42751</v>
      </c>
      <c r="L1384" s="285">
        <v>14</v>
      </c>
      <c r="M1384" s="15">
        <v>42730</v>
      </c>
      <c r="N1384" s="24">
        <v>2</v>
      </c>
      <c r="O1384" s="63">
        <v>14376</v>
      </c>
      <c r="P1384" s="63">
        <v>14376</v>
      </c>
      <c r="Q1384" s="17">
        <f t="shared" si="32"/>
        <v>0</v>
      </c>
      <c r="R1384" s="285" t="s">
        <v>5110</v>
      </c>
      <c r="S1384" s="14">
        <v>42724</v>
      </c>
      <c r="T1384" s="22" t="s">
        <v>7377</v>
      </c>
    </row>
    <row r="1385" spans="1:20" ht="52.5" customHeight="1" x14ac:dyDescent="0.2">
      <c r="A1385" s="21">
        <v>1411</v>
      </c>
      <c r="B1385" s="12" t="s">
        <v>7383</v>
      </c>
      <c r="C1385" s="289"/>
      <c r="D1385" s="9" t="s">
        <v>7386</v>
      </c>
      <c r="E1385" s="22" t="s">
        <v>6220</v>
      </c>
      <c r="F1385" s="9" t="s">
        <v>7391</v>
      </c>
      <c r="G1385" s="285" t="s">
        <v>4296</v>
      </c>
      <c r="H1385" s="285" t="s">
        <v>3793</v>
      </c>
      <c r="I1385" s="289"/>
      <c r="J1385" s="285" t="s">
        <v>3136</v>
      </c>
      <c r="K1385" s="14">
        <v>42755</v>
      </c>
      <c r="L1385" s="285">
        <v>32</v>
      </c>
      <c r="M1385" s="15">
        <v>42723</v>
      </c>
      <c r="N1385" s="24">
        <v>1</v>
      </c>
      <c r="O1385" s="63">
        <v>301471.19</v>
      </c>
      <c r="P1385" s="63">
        <v>301471.19</v>
      </c>
      <c r="Q1385" s="17">
        <f t="shared" si="32"/>
        <v>0</v>
      </c>
      <c r="R1385" s="285" t="s">
        <v>5110</v>
      </c>
      <c r="S1385" s="14">
        <v>42640</v>
      </c>
      <c r="T1385" s="22" t="s">
        <v>5619</v>
      </c>
    </row>
    <row r="1386" spans="1:20" ht="52.5" customHeight="1" x14ac:dyDescent="0.2">
      <c r="A1386" s="21">
        <v>1412</v>
      </c>
      <c r="B1386" s="12" t="s">
        <v>7384</v>
      </c>
      <c r="C1386" s="289"/>
      <c r="D1386" s="9" t="s">
        <v>7387</v>
      </c>
      <c r="E1386" s="22" t="s">
        <v>6220</v>
      </c>
      <c r="F1386" s="9" t="s">
        <v>7388</v>
      </c>
      <c r="G1386" s="285" t="s">
        <v>4296</v>
      </c>
      <c r="H1386" s="285" t="s">
        <v>3793</v>
      </c>
      <c r="I1386" s="289"/>
      <c r="J1386" s="285" t="s">
        <v>3136</v>
      </c>
      <c r="K1386" s="14">
        <v>42755</v>
      </c>
      <c r="L1386" s="285">
        <v>32</v>
      </c>
      <c r="M1386" s="15">
        <v>42723</v>
      </c>
      <c r="N1386" s="24">
        <v>1</v>
      </c>
      <c r="O1386" s="63">
        <v>38410</v>
      </c>
      <c r="P1386" s="178">
        <v>32922.720000000001</v>
      </c>
      <c r="Q1386" s="17">
        <f t="shared" si="32"/>
        <v>5487.2799999999988</v>
      </c>
      <c r="R1386" s="285" t="s">
        <v>5110</v>
      </c>
      <c r="S1386" s="14">
        <v>42684</v>
      </c>
      <c r="T1386" s="22" t="s">
        <v>7259</v>
      </c>
    </row>
    <row r="1387" spans="1:20" ht="52.5" customHeight="1" x14ac:dyDescent="0.2">
      <c r="A1387" s="21">
        <v>1413</v>
      </c>
      <c r="B1387" s="12" t="s">
        <v>7385</v>
      </c>
      <c r="C1387" s="289"/>
      <c r="D1387" s="9" t="s">
        <v>7389</v>
      </c>
      <c r="E1387" s="22" t="s">
        <v>6220</v>
      </c>
      <c r="F1387" s="9" t="s">
        <v>7390</v>
      </c>
      <c r="G1387" s="285" t="s">
        <v>4296</v>
      </c>
      <c r="H1387" s="285" t="s">
        <v>3793</v>
      </c>
      <c r="I1387" s="289"/>
      <c r="J1387" s="285" t="s">
        <v>3136</v>
      </c>
      <c r="K1387" s="14">
        <v>42755</v>
      </c>
      <c r="L1387" s="285">
        <v>32</v>
      </c>
      <c r="M1387" s="15">
        <v>42723</v>
      </c>
      <c r="N1387" s="24">
        <v>1</v>
      </c>
      <c r="O1387" s="63">
        <v>50847.46</v>
      </c>
      <c r="P1387" s="178">
        <v>30508.560000000001</v>
      </c>
      <c r="Q1387" s="17">
        <f t="shared" si="32"/>
        <v>20338.899999999998</v>
      </c>
      <c r="R1387" s="285" t="s">
        <v>5110</v>
      </c>
      <c r="S1387" s="14">
        <v>42664</v>
      </c>
      <c r="T1387" s="22" t="s">
        <v>5906</v>
      </c>
    </row>
    <row r="1388" spans="1:20" ht="57" customHeight="1" x14ac:dyDescent="0.2">
      <c r="A1388" s="21">
        <v>1414</v>
      </c>
      <c r="B1388" s="12" t="s">
        <v>7395</v>
      </c>
      <c r="C1388" s="289"/>
      <c r="D1388" s="9" t="s">
        <v>7396</v>
      </c>
      <c r="E1388" s="22" t="s">
        <v>6220</v>
      </c>
      <c r="F1388" s="9" t="s">
        <v>3338</v>
      </c>
      <c r="G1388" s="285" t="s">
        <v>4296</v>
      </c>
      <c r="H1388" s="285" t="s">
        <v>3793</v>
      </c>
      <c r="I1388" s="289"/>
      <c r="J1388" s="285" t="s">
        <v>3136</v>
      </c>
      <c r="K1388" s="14">
        <v>42769</v>
      </c>
      <c r="L1388" s="285">
        <v>116</v>
      </c>
      <c r="M1388" s="15">
        <v>42744</v>
      </c>
      <c r="N1388" s="24">
        <v>1</v>
      </c>
      <c r="O1388" s="63">
        <v>37288.14</v>
      </c>
      <c r="P1388" s="63">
        <v>37288.14</v>
      </c>
      <c r="Q1388" s="17">
        <f t="shared" si="32"/>
        <v>0</v>
      </c>
      <c r="R1388" s="285" t="s">
        <v>5110</v>
      </c>
      <c r="S1388" s="14">
        <v>42718</v>
      </c>
      <c r="T1388" s="22" t="s">
        <v>7397</v>
      </c>
    </row>
    <row r="1389" spans="1:20" ht="57" customHeight="1" x14ac:dyDescent="0.2">
      <c r="A1389" s="21">
        <v>1415</v>
      </c>
      <c r="B1389" s="12" t="s">
        <v>7399</v>
      </c>
      <c r="C1389" s="289"/>
      <c r="D1389" s="9" t="s">
        <v>7240</v>
      </c>
      <c r="E1389" s="22" t="s">
        <v>7379</v>
      </c>
      <c r="F1389" s="9" t="s">
        <v>7400</v>
      </c>
      <c r="G1389" s="285" t="s">
        <v>7934</v>
      </c>
      <c r="H1389" s="285" t="s">
        <v>5127</v>
      </c>
      <c r="I1389" s="289"/>
      <c r="J1389" s="285" t="s">
        <v>3136</v>
      </c>
      <c r="K1389" s="14">
        <v>42787</v>
      </c>
      <c r="L1389" s="285">
        <v>171</v>
      </c>
      <c r="M1389" s="15">
        <v>42767</v>
      </c>
      <c r="N1389" s="24">
        <v>1</v>
      </c>
      <c r="O1389" s="63">
        <v>3299</v>
      </c>
      <c r="P1389" s="63">
        <v>3299</v>
      </c>
      <c r="Q1389" s="17">
        <f t="shared" si="32"/>
        <v>0</v>
      </c>
      <c r="R1389" s="285" t="s">
        <v>7401</v>
      </c>
      <c r="S1389" s="14">
        <v>42767</v>
      </c>
      <c r="T1389" s="22" t="s">
        <v>1029</v>
      </c>
    </row>
    <row r="1390" spans="1:20" ht="52.5" customHeight="1" x14ac:dyDescent="0.2">
      <c r="A1390" s="21">
        <v>1416</v>
      </c>
      <c r="B1390" s="12" t="s">
        <v>7414</v>
      </c>
      <c r="C1390" s="289"/>
      <c r="D1390" s="9" t="s">
        <v>912</v>
      </c>
      <c r="E1390" s="22" t="s">
        <v>7379</v>
      </c>
      <c r="F1390" s="9" t="s">
        <v>7418</v>
      </c>
      <c r="G1390" s="285" t="s">
        <v>4296</v>
      </c>
      <c r="H1390" s="285" t="s">
        <v>3793</v>
      </c>
      <c r="I1390" s="289"/>
      <c r="J1390" s="285" t="s">
        <v>3136</v>
      </c>
      <c r="K1390" s="14" t="s">
        <v>8289</v>
      </c>
      <c r="L1390" s="285" t="s">
        <v>8290</v>
      </c>
      <c r="M1390" s="15">
        <v>42761</v>
      </c>
      <c r="N1390" s="24">
        <f>2+1+1</f>
        <v>4</v>
      </c>
      <c r="O1390" s="63">
        <f>9548.61+4363.4+4449.15</f>
        <v>18361.16</v>
      </c>
      <c r="P1390" s="63">
        <f>9548.61+4363.4+4449.15</f>
        <v>18361.16</v>
      </c>
      <c r="Q1390" s="17">
        <f t="shared" si="32"/>
        <v>0</v>
      </c>
      <c r="R1390" s="285" t="s">
        <v>5110</v>
      </c>
      <c r="S1390" s="14" t="s">
        <v>8291</v>
      </c>
      <c r="T1390" s="22" t="s">
        <v>8292</v>
      </c>
    </row>
    <row r="1391" spans="1:20" ht="52.5" customHeight="1" x14ac:dyDescent="0.2">
      <c r="A1391" s="21">
        <v>1417</v>
      </c>
      <c r="B1391" s="12" t="s">
        <v>7415</v>
      </c>
      <c r="C1391" s="289"/>
      <c r="D1391" s="9" t="s">
        <v>912</v>
      </c>
      <c r="E1391" s="22" t="s">
        <v>7379</v>
      </c>
      <c r="F1391" s="9" t="s">
        <v>7416</v>
      </c>
      <c r="G1391" s="285" t="s">
        <v>4296</v>
      </c>
      <c r="H1391" s="285" t="s">
        <v>3793</v>
      </c>
      <c r="I1391" s="289"/>
      <c r="J1391" s="285" t="s">
        <v>3136</v>
      </c>
      <c r="K1391" s="14">
        <v>42772</v>
      </c>
      <c r="L1391" s="285">
        <v>128</v>
      </c>
      <c r="M1391" s="15">
        <v>42762</v>
      </c>
      <c r="N1391" s="24">
        <v>2</v>
      </c>
      <c r="O1391" s="63">
        <v>12157.07</v>
      </c>
      <c r="P1391" s="63">
        <v>12157.07</v>
      </c>
      <c r="Q1391" s="17">
        <f t="shared" si="32"/>
        <v>0</v>
      </c>
      <c r="R1391" s="285" t="s">
        <v>5110</v>
      </c>
      <c r="S1391" s="14">
        <v>42713</v>
      </c>
      <c r="T1391" s="22" t="s">
        <v>7417</v>
      </c>
    </row>
    <row r="1392" spans="1:20" ht="52.5" customHeight="1" x14ac:dyDescent="0.2">
      <c r="A1392" s="21">
        <v>1418</v>
      </c>
      <c r="B1392" s="12" t="s">
        <v>7419</v>
      </c>
      <c r="C1392" s="289"/>
      <c r="D1392" s="9" t="s">
        <v>7420</v>
      </c>
      <c r="E1392" s="22" t="s">
        <v>7379</v>
      </c>
      <c r="F1392" s="9" t="s">
        <v>7421</v>
      </c>
      <c r="G1392" s="285" t="s">
        <v>3090</v>
      </c>
      <c r="H1392" s="285" t="s">
        <v>5127</v>
      </c>
      <c r="I1392" s="289"/>
      <c r="J1392" s="285" t="s">
        <v>3136</v>
      </c>
      <c r="K1392" s="14">
        <v>42795</v>
      </c>
      <c r="L1392" s="285">
        <v>185</v>
      </c>
      <c r="M1392" s="15">
        <v>42782</v>
      </c>
      <c r="N1392" s="24">
        <v>1</v>
      </c>
      <c r="O1392" s="63">
        <v>6000</v>
      </c>
      <c r="P1392" s="63">
        <v>6000</v>
      </c>
      <c r="Q1392" s="17">
        <f t="shared" si="32"/>
        <v>0</v>
      </c>
      <c r="R1392" s="285" t="s">
        <v>3418</v>
      </c>
      <c r="S1392" s="14">
        <v>42782</v>
      </c>
      <c r="T1392" s="22" t="s">
        <v>7422</v>
      </c>
    </row>
    <row r="1393" spans="1:20" ht="99.75" customHeight="1" x14ac:dyDescent="0.2">
      <c r="A1393" s="21">
        <v>1419</v>
      </c>
      <c r="B1393" s="12" t="s">
        <v>7423</v>
      </c>
      <c r="C1393" s="289"/>
      <c r="D1393" s="9" t="s">
        <v>7424</v>
      </c>
      <c r="E1393" s="22" t="s">
        <v>7379</v>
      </c>
      <c r="F1393" s="9" t="s">
        <v>7425</v>
      </c>
      <c r="G1393" s="285" t="s">
        <v>792</v>
      </c>
      <c r="H1393" s="285" t="s">
        <v>5127</v>
      </c>
      <c r="I1393" s="289"/>
      <c r="J1393" s="285" t="s">
        <v>3136</v>
      </c>
      <c r="K1393" s="14">
        <v>42816</v>
      </c>
      <c r="L1393" s="285">
        <v>256</v>
      </c>
      <c r="M1393" s="15">
        <v>42794</v>
      </c>
      <c r="N1393" s="24">
        <v>1</v>
      </c>
      <c r="O1393" s="63">
        <v>17200</v>
      </c>
      <c r="P1393" s="63">
        <v>17200</v>
      </c>
      <c r="Q1393" s="17">
        <f t="shared" si="32"/>
        <v>0</v>
      </c>
      <c r="R1393" s="285"/>
      <c r="S1393" s="14"/>
      <c r="T1393" s="22"/>
    </row>
    <row r="1394" spans="1:20" ht="52.5" customHeight="1" x14ac:dyDescent="0.2">
      <c r="A1394" s="21">
        <v>1420</v>
      </c>
      <c r="B1394" s="12" t="s">
        <v>7426</v>
      </c>
      <c r="C1394" s="289"/>
      <c r="D1394" s="9" t="s">
        <v>7427</v>
      </c>
      <c r="E1394" s="22" t="s">
        <v>7379</v>
      </c>
      <c r="F1394" s="9" t="s">
        <v>7428</v>
      </c>
      <c r="G1394" s="285" t="s">
        <v>4296</v>
      </c>
      <c r="H1394" s="285" t="s">
        <v>3793</v>
      </c>
      <c r="I1394" s="289"/>
      <c r="J1394" s="285" t="s">
        <v>3136</v>
      </c>
      <c r="K1394" s="14">
        <v>42816</v>
      </c>
      <c r="L1394" s="285">
        <v>255</v>
      </c>
      <c r="M1394" s="15">
        <v>42797</v>
      </c>
      <c r="N1394" s="24">
        <v>1</v>
      </c>
      <c r="O1394" s="63">
        <v>28135.59</v>
      </c>
      <c r="P1394" s="63">
        <v>28135.59</v>
      </c>
      <c r="Q1394" s="17">
        <f t="shared" si="32"/>
        <v>0</v>
      </c>
      <c r="R1394" s="285" t="s">
        <v>5110</v>
      </c>
      <c r="S1394" s="14">
        <v>42720</v>
      </c>
      <c r="T1394" s="22" t="s">
        <v>7429</v>
      </c>
    </row>
    <row r="1395" spans="1:20" ht="52.5" customHeight="1" x14ac:dyDescent="0.2">
      <c r="A1395" s="21">
        <v>1421</v>
      </c>
      <c r="B1395" s="12" t="s">
        <v>7436</v>
      </c>
      <c r="C1395" s="289"/>
      <c r="D1395" s="9" t="s">
        <v>7442</v>
      </c>
      <c r="E1395" s="22" t="s">
        <v>7379</v>
      </c>
      <c r="F1395" s="9" t="s">
        <v>7443</v>
      </c>
      <c r="G1395" s="285" t="s">
        <v>9194</v>
      </c>
      <c r="H1395" s="285" t="s">
        <v>5127</v>
      </c>
      <c r="I1395" s="289"/>
      <c r="J1395" s="285" t="s">
        <v>3136</v>
      </c>
      <c r="K1395" s="14">
        <v>42825</v>
      </c>
      <c r="L1395" s="285">
        <v>289</v>
      </c>
      <c r="M1395" s="15">
        <v>42800</v>
      </c>
      <c r="N1395" s="24">
        <v>1</v>
      </c>
      <c r="O1395" s="63">
        <v>21840</v>
      </c>
      <c r="P1395" s="63">
        <v>21840</v>
      </c>
      <c r="Q1395" s="17">
        <f t="shared" si="32"/>
        <v>0</v>
      </c>
      <c r="R1395" s="285" t="s">
        <v>5110</v>
      </c>
      <c r="S1395" s="14">
        <v>42800</v>
      </c>
      <c r="T1395" s="22" t="s">
        <v>7450</v>
      </c>
    </row>
    <row r="1396" spans="1:20" ht="43.5" customHeight="1" x14ac:dyDescent="0.2">
      <c r="A1396" s="21">
        <v>1422</v>
      </c>
      <c r="B1396" s="12" t="s">
        <v>7437</v>
      </c>
      <c r="C1396" s="289"/>
      <c r="D1396" s="9" t="s">
        <v>7444</v>
      </c>
      <c r="E1396" s="22" t="s">
        <v>7379</v>
      </c>
      <c r="F1396" s="9" t="s">
        <v>7445</v>
      </c>
      <c r="G1396" s="285" t="s">
        <v>8661</v>
      </c>
      <c r="H1396" s="285" t="s">
        <v>5127</v>
      </c>
      <c r="I1396" s="289"/>
      <c r="J1396" s="285" t="s">
        <v>3136</v>
      </c>
      <c r="K1396" s="14">
        <v>42825</v>
      </c>
      <c r="L1396" s="285">
        <v>289</v>
      </c>
      <c r="M1396" s="15">
        <v>42800</v>
      </c>
      <c r="N1396" s="24">
        <v>1</v>
      </c>
      <c r="O1396" s="63">
        <v>19600</v>
      </c>
      <c r="P1396" s="63">
        <v>19600</v>
      </c>
      <c r="Q1396" s="17">
        <f t="shared" si="32"/>
        <v>0</v>
      </c>
      <c r="R1396" s="285" t="s">
        <v>5110</v>
      </c>
      <c r="S1396" s="14">
        <v>42800</v>
      </c>
      <c r="T1396" s="22" t="s">
        <v>7450</v>
      </c>
    </row>
    <row r="1397" spans="1:20" ht="43.5" customHeight="1" x14ac:dyDescent="0.2">
      <c r="A1397" s="21">
        <v>1423</v>
      </c>
      <c r="B1397" s="12" t="s">
        <v>7438</v>
      </c>
      <c r="C1397" s="289"/>
      <c r="D1397" s="9" t="s">
        <v>7446</v>
      </c>
      <c r="E1397" s="22" t="s">
        <v>7379</v>
      </c>
      <c r="F1397" s="9" t="s">
        <v>7447</v>
      </c>
      <c r="G1397" s="285" t="s">
        <v>9194</v>
      </c>
      <c r="H1397" s="285" t="s">
        <v>5127</v>
      </c>
      <c r="I1397" s="289"/>
      <c r="J1397" s="285" t="s">
        <v>3136</v>
      </c>
      <c r="K1397" s="14">
        <v>42825</v>
      </c>
      <c r="L1397" s="285">
        <v>289</v>
      </c>
      <c r="M1397" s="15">
        <v>42800</v>
      </c>
      <c r="N1397" s="24">
        <v>1</v>
      </c>
      <c r="O1397" s="63">
        <v>14280</v>
      </c>
      <c r="P1397" s="63">
        <v>14280</v>
      </c>
      <c r="Q1397" s="17">
        <f t="shared" si="32"/>
        <v>0</v>
      </c>
      <c r="R1397" s="285" t="s">
        <v>5110</v>
      </c>
      <c r="S1397" s="14">
        <v>42800</v>
      </c>
      <c r="T1397" s="22" t="s">
        <v>7450</v>
      </c>
    </row>
    <row r="1398" spans="1:20" ht="131.25" customHeight="1" x14ac:dyDescent="0.2">
      <c r="A1398" s="21">
        <v>1424</v>
      </c>
      <c r="B1398" s="12" t="s">
        <v>7439</v>
      </c>
      <c r="C1398" s="289"/>
      <c r="D1398" s="9" t="s">
        <v>7454</v>
      </c>
      <c r="E1398" s="22" t="s">
        <v>7379</v>
      </c>
      <c r="F1398" s="9" t="s">
        <v>7455</v>
      </c>
      <c r="G1398" s="285" t="s">
        <v>8661</v>
      </c>
      <c r="H1398" s="285" t="s">
        <v>5127</v>
      </c>
      <c r="I1398" s="289"/>
      <c r="J1398" s="285" t="s">
        <v>3136</v>
      </c>
      <c r="K1398" s="14">
        <v>42825</v>
      </c>
      <c r="L1398" s="285">
        <v>289</v>
      </c>
      <c r="M1398" s="15">
        <v>42800</v>
      </c>
      <c r="N1398" s="24">
        <v>1</v>
      </c>
      <c r="O1398" s="63">
        <v>7200</v>
      </c>
      <c r="P1398" s="63">
        <v>7200</v>
      </c>
      <c r="Q1398" s="17">
        <f t="shared" si="32"/>
        <v>0</v>
      </c>
      <c r="R1398" s="285" t="s">
        <v>5110</v>
      </c>
      <c r="S1398" s="14">
        <v>42800</v>
      </c>
      <c r="T1398" s="22" t="s">
        <v>7450</v>
      </c>
    </row>
    <row r="1399" spans="1:20" ht="54.75" customHeight="1" x14ac:dyDescent="0.2">
      <c r="A1399" s="21">
        <v>1425</v>
      </c>
      <c r="B1399" s="12" t="s">
        <v>7440</v>
      </c>
      <c r="C1399" s="289"/>
      <c r="D1399" s="9" t="s">
        <v>7448</v>
      </c>
      <c r="E1399" s="22" t="s">
        <v>7379</v>
      </c>
      <c r="F1399" s="9" t="s">
        <v>7449</v>
      </c>
      <c r="G1399" s="285" t="s">
        <v>9194</v>
      </c>
      <c r="H1399" s="285" t="s">
        <v>5127</v>
      </c>
      <c r="I1399" s="289"/>
      <c r="J1399" s="285" t="s">
        <v>3136</v>
      </c>
      <c r="K1399" s="14">
        <v>42825</v>
      </c>
      <c r="L1399" s="285">
        <v>289</v>
      </c>
      <c r="M1399" s="15">
        <v>42800</v>
      </c>
      <c r="N1399" s="24">
        <v>1</v>
      </c>
      <c r="O1399" s="63">
        <v>51600</v>
      </c>
      <c r="P1399" s="63">
        <v>42386.01</v>
      </c>
      <c r="Q1399" s="17">
        <f t="shared" si="32"/>
        <v>9213.989999999998</v>
      </c>
      <c r="R1399" s="285" t="s">
        <v>5110</v>
      </c>
      <c r="S1399" s="14">
        <v>42800</v>
      </c>
      <c r="T1399" s="22" t="s">
        <v>7451</v>
      </c>
    </row>
    <row r="1400" spans="1:20" ht="45.75" customHeight="1" x14ac:dyDescent="0.2">
      <c r="A1400" s="21">
        <v>1426</v>
      </c>
      <c r="B1400" s="12" t="s">
        <v>7441</v>
      </c>
      <c r="C1400" s="289"/>
      <c r="D1400" s="9" t="s">
        <v>7452</v>
      </c>
      <c r="E1400" s="22" t="s">
        <v>7379</v>
      </c>
      <c r="F1400" s="9" t="s">
        <v>7453</v>
      </c>
      <c r="G1400" s="285" t="s">
        <v>9194</v>
      </c>
      <c r="H1400" s="285" t="s">
        <v>5127</v>
      </c>
      <c r="I1400" s="289"/>
      <c r="J1400" s="285" t="s">
        <v>3136</v>
      </c>
      <c r="K1400" s="14">
        <v>42825</v>
      </c>
      <c r="L1400" s="285">
        <v>289</v>
      </c>
      <c r="M1400" s="15">
        <v>42800</v>
      </c>
      <c r="N1400" s="24">
        <v>2</v>
      </c>
      <c r="O1400" s="63">
        <v>22200</v>
      </c>
      <c r="P1400" s="63">
        <v>22200</v>
      </c>
      <c r="Q1400" s="17">
        <f t="shared" si="32"/>
        <v>0</v>
      </c>
      <c r="R1400" s="285" t="s">
        <v>5110</v>
      </c>
      <c r="S1400" s="14">
        <v>42800</v>
      </c>
      <c r="T1400" s="22"/>
    </row>
    <row r="1401" spans="1:20" ht="45.75" customHeight="1" x14ac:dyDescent="0.2">
      <c r="A1401" s="21">
        <v>1427</v>
      </c>
      <c r="B1401" s="12" t="s">
        <v>7477</v>
      </c>
      <c r="C1401" s="289"/>
      <c r="D1401" s="9" t="s">
        <v>7479</v>
      </c>
      <c r="E1401" s="22" t="s">
        <v>7379</v>
      </c>
      <c r="F1401" s="9" t="s">
        <v>7480</v>
      </c>
      <c r="G1401" s="285" t="s">
        <v>4296</v>
      </c>
      <c r="H1401" s="285" t="s">
        <v>3793</v>
      </c>
      <c r="I1401" s="289"/>
      <c r="J1401" s="285" t="s">
        <v>3136</v>
      </c>
      <c r="K1401" s="14" t="s">
        <v>7663</v>
      </c>
      <c r="L1401" s="285" t="s">
        <v>7664</v>
      </c>
      <c r="M1401" s="14" t="s">
        <v>7662</v>
      </c>
      <c r="N1401" s="24">
        <f>3+1+1</f>
        <v>5</v>
      </c>
      <c r="O1401" s="63">
        <f>12841.53+4273.86+6694.92</f>
        <v>23810.309999999998</v>
      </c>
      <c r="P1401" s="63">
        <f>12841.53+4273.86+6694.92</f>
        <v>23810.309999999998</v>
      </c>
      <c r="Q1401" s="17">
        <f t="shared" si="32"/>
        <v>0</v>
      </c>
      <c r="R1401" s="285" t="s">
        <v>5110</v>
      </c>
      <c r="S1401" s="14">
        <v>42797</v>
      </c>
      <c r="T1401" s="22" t="s">
        <v>7481</v>
      </c>
    </row>
    <row r="1402" spans="1:20" ht="49.5" customHeight="1" x14ac:dyDescent="0.2">
      <c r="A1402" s="21">
        <v>1428</v>
      </c>
      <c r="B1402" s="12" t="s">
        <v>7478</v>
      </c>
      <c r="C1402" s="289"/>
      <c r="D1402" s="9" t="s">
        <v>4356</v>
      </c>
      <c r="E1402" s="22" t="s">
        <v>7379</v>
      </c>
      <c r="F1402" s="9" t="s">
        <v>7483</v>
      </c>
      <c r="G1402" s="285" t="s">
        <v>7934</v>
      </c>
      <c r="H1402" s="285" t="s">
        <v>5127</v>
      </c>
      <c r="I1402" s="289"/>
      <c r="J1402" s="285" t="s">
        <v>3136</v>
      </c>
      <c r="K1402" s="14">
        <v>42865</v>
      </c>
      <c r="L1402" s="285">
        <v>417</v>
      </c>
      <c r="M1402" s="15">
        <v>42851</v>
      </c>
      <c r="N1402" s="24">
        <v>1</v>
      </c>
      <c r="O1402" s="63">
        <v>7950</v>
      </c>
      <c r="P1402" s="63">
        <v>7950</v>
      </c>
      <c r="Q1402" s="17">
        <f t="shared" si="32"/>
        <v>0</v>
      </c>
      <c r="R1402" s="285" t="s">
        <v>3418</v>
      </c>
      <c r="S1402" s="14">
        <v>42835</v>
      </c>
      <c r="T1402" s="22" t="s">
        <v>7482</v>
      </c>
    </row>
    <row r="1403" spans="1:20" ht="49.5" customHeight="1" x14ac:dyDescent="0.2">
      <c r="A1403" s="21">
        <v>1429</v>
      </c>
      <c r="B1403" s="12" t="s">
        <v>7500</v>
      </c>
      <c r="C1403" s="289"/>
      <c r="D1403" s="9" t="s">
        <v>7501</v>
      </c>
      <c r="E1403" s="22"/>
      <c r="F1403" s="9" t="s">
        <v>7502</v>
      </c>
      <c r="G1403" s="285" t="s">
        <v>7967</v>
      </c>
      <c r="H1403" s="285" t="s">
        <v>5127</v>
      </c>
      <c r="I1403" s="289"/>
      <c r="J1403" s="285" t="s">
        <v>3136</v>
      </c>
      <c r="K1403" s="14">
        <v>42880</v>
      </c>
      <c r="L1403" s="285">
        <v>487</v>
      </c>
      <c r="M1403" s="15">
        <v>42846</v>
      </c>
      <c r="N1403" s="24">
        <v>2</v>
      </c>
      <c r="O1403" s="63">
        <v>222534.9</v>
      </c>
      <c r="P1403" s="63">
        <v>222534.9</v>
      </c>
      <c r="Q1403" s="17">
        <f t="shared" si="32"/>
        <v>0</v>
      </c>
      <c r="R1403" s="285" t="s">
        <v>7503</v>
      </c>
      <c r="S1403" s="14" t="s">
        <v>7504</v>
      </c>
      <c r="T1403" s="22" t="s">
        <v>1626</v>
      </c>
    </row>
    <row r="1404" spans="1:20" ht="36.75" customHeight="1" x14ac:dyDescent="0.2">
      <c r="A1404" s="21">
        <v>1430</v>
      </c>
      <c r="B1404" s="12" t="s">
        <v>7601</v>
      </c>
      <c r="C1404" s="289"/>
      <c r="D1404" s="9" t="s">
        <v>2208</v>
      </c>
      <c r="E1404" s="22" t="s">
        <v>7379</v>
      </c>
      <c r="F1404" s="9" t="s">
        <v>7602</v>
      </c>
      <c r="G1404" s="285" t="s">
        <v>4296</v>
      </c>
      <c r="H1404" s="285" t="s">
        <v>3793</v>
      </c>
      <c r="I1404" s="289"/>
      <c r="J1404" s="285" t="s">
        <v>3136</v>
      </c>
      <c r="K1404" s="14">
        <v>42880</v>
      </c>
      <c r="L1404" s="289">
        <v>488</v>
      </c>
      <c r="M1404" s="15">
        <v>42865</v>
      </c>
      <c r="N1404" s="24">
        <f>1+1</f>
        <v>2</v>
      </c>
      <c r="O1404" s="63">
        <f>4743.49+3695.32</f>
        <v>8438.81</v>
      </c>
      <c r="P1404" s="63">
        <f>4743.49+3695.32</f>
        <v>8438.81</v>
      </c>
      <c r="Q1404" s="17">
        <f t="shared" si="32"/>
        <v>0</v>
      </c>
      <c r="R1404" s="285" t="s">
        <v>5110</v>
      </c>
      <c r="S1404" s="14">
        <v>42718</v>
      </c>
      <c r="T1404" s="22" t="s">
        <v>7603</v>
      </c>
    </row>
    <row r="1405" spans="1:20" ht="36.75" customHeight="1" x14ac:dyDescent="0.2">
      <c r="A1405" s="21">
        <v>1431</v>
      </c>
      <c r="B1405" s="12" t="s">
        <v>7620</v>
      </c>
      <c r="C1405" s="289"/>
      <c r="D1405" s="9" t="s">
        <v>7623</v>
      </c>
      <c r="E1405" s="22" t="s">
        <v>7379</v>
      </c>
      <c r="F1405" s="9"/>
      <c r="G1405" s="285" t="s">
        <v>101</v>
      </c>
      <c r="H1405" s="285" t="s">
        <v>5127</v>
      </c>
      <c r="I1405" s="289"/>
      <c r="J1405" s="285" t="s">
        <v>3136</v>
      </c>
      <c r="K1405" s="14">
        <v>42892</v>
      </c>
      <c r="L1405" s="285">
        <v>528</v>
      </c>
      <c r="M1405" s="15">
        <v>42866</v>
      </c>
      <c r="N1405" s="24">
        <v>1</v>
      </c>
      <c r="O1405" s="63">
        <v>77509.259999999995</v>
      </c>
      <c r="P1405" s="63">
        <v>61822.91</v>
      </c>
      <c r="Q1405" s="17">
        <f t="shared" si="32"/>
        <v>15686.349999999991</v>
      </c>
      <c r="R1405" s="285" t="s">
        <v>7621</v>
      </c>
      <c r="S1405" s="14">
        <v>42845</v>
      </c>
      <c r="T1405" s="22" t="s">
        <v>7622</v>
      </c>
    </row>
    <row r="1406" spans="1:20" ht="40.5" customHeight="1" x14ac:dyDescent="0.2">
      <c r="A1406" s="21">
        <v>1432</v>
      </c>
      <c r="B1406" s="12" t="s">
        <v>7643</v>
      </c>
      <c r="C1406" s="289"/>
      <c r="D1406" s="9" t="s">
        <v>7649</v>
      </c>
      <c r="E1406" s="22" t="s">
        <v>7379</v>
      </c>
      <c r="F1406" s="9" t="s">
        <v>7645</v>
      </c>
      <c r="G1406" s="285" t="s">
        <v>9194</v>
      </c>
      <c r="H1406" s="285" t="s">
        <v>5127</v>
      </c>
      <c r="I1406" s="289"/>
      <c r="J1406" s="285" t="s">
        <v>3136</v>
      </c>
      <c r="K1406" s="14">
        <v>42923</v>
      </c>
      <c r="L1406" s="285">
        <v>621</v>
      </c>
      <c r="M1406" s="15">
        <v>42912</v>
      </c>
      <c r="N1406" s="24">
        <v>1</v>
      </c>
      <c r="O1406" s="63">
        <v>13650</v>
      </c>
      <c r="P1406" s="63">
        <v>13650</v>
      </c>
      <c r="Q1406" s="17">
        <f t="shared" si="32"/>
        <v>0</v>
      </c>
      <c r="R1406" s="285" t="s">
        <v>7124</v>
      </c>
      <c r="S1406" s="14">
        <v>42912</v>
      </c>
      <c r="T1406" s="22" t="s">
        <v>7646</v>
      </c>
    </row>
    <row r="1407" spans="1:20" ht="40.5" customHeight="1" x14ac:dyDescent="0.2">
      <c r="A1407" s="21">
        <v>1433</v>
      </c>
      <c r="B1407" s="12" t="s">
        <v>7644</v>
      </c>
      <c r="C1407" s="289"/>
      <c r="D1407" s="9" t="s">
        <v>7647</v>
      </c>
      <c r="E1407" s="22" t="s">
        <v>7379</v>
      </c>
      <c r="F1407" s="9" t="s">
        <v>7648</v>
      </c>
      <c r="G1407" s="285" t="s">
        <v>9194</v>
      </c>
      <c r="H1407" s="285" t="s">
        <v>5127</v>
      </c>
      <c r="I1407" s="289"/>
      <c r="J1407" s="285" t="s">
        <v>3136</v>
      </c>
      <c r="K1407" s="32">
        <v>42923</v>
      </c>
      <c r="L1407" s="37">
        <v>621</v>
      </c>
      <c r="M1407" s="57">
        <v>42912</v>
      </c>
      <c r="N1407" s="33">
        <v>1</v>
      </c>
      <c r="O1407" s="61">
        <v>8000</v>
      </c>
      <c r="P1407" s="61">
        <v>8000</v>
      </c>
      <c r="Q1407" s="17">
        <f t="shared" si="32"/>
        <v>0</v>
      </c>
      <c r="R1407" s="285" t="s">
        <v>7124</v>
      </c>
      <c r="S1407" s="14">
        <v>42912</v>
      </c>
      <c r="T1407" s="22" t="s">
        <v>7646</v>
      </c>
    </row>
    <row r="1408" spans="1:20" ht="46.5" customHeight="1" x14ac:dyDescent="0.2">
      <c r="A1408" s="21">
        <v>1434</v>
      </c>
      <c r="B1408" s="12" t="s">
        <v>7657</v>
      </c>
      <c r="C1408" s="289"/>
      <c r="D1408" s="9" t="s">
        <v>7659</v>
      </c>
      <c r="E1408" s="22" t="s">
        <v>7379</v>
      </c>
      <c r="F1408" s="9"/>
      <c r="G1408" s="285" t="s">
        <v>4296</v>
      </c>
      <c r="H1408" s="285" t="s">
        <v>3793</v>
      </c>
      <c r="I1408" s="289"/>
      <c r="J1408" s="285" t="s">
        <v>3136</v>
      </c>
      <c r="K1408" s="32">
        <v>42944</v>
      </c>
      <c r="L1408" s="37">
        <v>697</v>
      </c>
      <c r="M1408" s="57">
        <v>42905</v>
      </c>
      <c r="N1408" s="33">
        <v>1</v>
      </c>
      <c r="O1408" s="61">
        <v>6340.15</v>
      </c>
      <c r="P1408" s="61">
        <v>6340.15</v>
      </c>
      <c r="Q1408" s="17">
        <f t="shared" si="32"/>
        <v>0</v>
      </c>
      <c r="R1408" s="285" t="s">
        <v>5110</v>
      </c>
      <c r="S1408" s="14">
        <v>42871</v>
      </c>
      <c r="T1408" s="22" t="s">
        <v>909</v>
      </c>
    </row>
    <row r="1409" spans="1:20" ht="46.5" customHeight="1" x14ac:dyDescent="0.2">
      <c r="A1409" s="21">
        <v>1435</v>
      </c>
      <c r="B1409" s="12" t="s">
        <v>7658</v>
      </c>
      <c r="C1409" s="289"/>
      <c r="D1409" s="9" t="s">
        <v>7660</v>
      </c>
      <c r="E1409" s="22" t="s">
        <v>7379</v>
      </c>
      <c r="F1409" s="9"/>
      <c r="G1409" s="285" t="s">
        <v>4296</v>
      </c>
      <c r="H1409" s="285" t="s">
        <v>3793</v>
      </c>
      <c r="I1409" s="289"/>
      <c r="J1409" s="285" t="s">
        <v>3136</v>
      </c>
      <c r="K1409" s="14">
        <v>42944</v>
      </c>
      <c r="L1409" s="285">
        <v>697</v>
      </c>
      <c r="M1409" s="15">
        <v>42926</v>
      </c>
      <c r="N1409" s="24">
        <v>1</v>
      </c>
      <c r="O1409" s="63">
        <v>6843.22</v>
      </c>
      <c r="P1409" s="63">
        <v>6843.22</v>
      </c>
      <c r="Q1409" s="17">
        <f t="shared" si="32"/>
        <v>0</v>
      </c>
      <c r="R1409" s="285" t="s">
        <v>5110</v>
      </c>
      <c r="S1409" s="14">
        <v>42732</v>
      </c>
      <c r="T1409" s="22" t="s">
        <v>7661</v>
      </c>
    </row>
    <row r="1410" spans="1:20" ht="46.5" customHeight="1" x14ac:dyDescent="0.2">
      <c r="A1410" s="21">
        <v>1436</v>
      </c>
      <c r="B1410" s="12" t="s">
        <v>7665</v>
      </c>
      <c r="C1410" s="289"/>
      <c r="D1410" s="9" t="s">
        <v>7666</v>
      </c>
      <c r="E1410" s="22" t="s">
        <v>7379</v>
      </c>
      <c r="F1410" s="9" t="s">
        <v>7667</v>
      </c>
      <c r="G1410" s="285" t="s">
        <v>101</v>
      </c>
      <c r="H1410" s="285" t="s">
        <v>5127</v>
      </c>
      <c r="I1410" s="289"/>
      <c r="J1410" s="285" t="s">
        <v>3136</v>
      </c>
      <c r="K1410" s="14">
        <v>42955</v>
      </c>
      <c r="L1410" s="285">
        <v>732</v>
      </c>
      <c r="M1410" s="15">
        <v>42930</v>
      </c>
      <c r="N1410" s="24">
        <v>1</v>
      </c>
      <c r="O1410" s="63">
        <v>3299</v>
      </c>
      <c r="P1410" s="63">
        <v>3299</v>
      </c>
      <c r="Q1410" s="17">
        <f t="shared" si="32"/>
        <v>0</v>
      </c>
      <c r="R1410" s="285" t="s">
        <v>7124</v>
      </c>
      <c r="S1410" s="14">
        <v>42930</v>
      </c>
      <c r="T1410" s="22" t="s">
        <v>7668</v>
      </c>
    </row>
    <row r="1411" spans="1:20" ht="48.75" customHeight="1" x14ac:dyDescent="0.2">
      <c r="A1411" s="21">
        <v>1437</v>
      </c>
      <c r="B1411" s="12" t="s">
        <v>7669</v>
      </c>
      <c r="C1411" s="289"/>
      <c r="D1411" s="9" t="s">
        <v>7670</v>
      </c>
      <c r="E1411" s="22" t="s">
        <v>7379</v>
      </c>
      <c r="F1411" s="9" t="s">
        <v>7671</v>
      </c>
      <c r="G1411" s="285" t="s">
        <v>101</v>
      </c>
      <c r="H1411" s="285" t="s">
        <v>5127</v>
      </c>
      <c r="I1411" s="289"/>
      <c r="J1411" s="285" t="s">
        <v>3136</v>
      </c>
      <c r="K1411" s="14">
        <v>42955</v>
      </c>
      <c r="L1411" s="285">
        <v>732</v>
      </c>
      <c r="M1411" s="15">
        <v>42930</v>
      </c>
      <c r="N1411" s="24">
        <v>1</v>
      </c>
      <c r="O1411" s="63">
        <v>9999</v>
      </c>
      <c r="P1411" s="63">
        <v>9999</v>
      </c>
      <c r="Q1411" s="17">
        <f t="shared" si="32"/>
        <v>0</v>
      </c>
      <c r="R1411" s="285" t="s">
        <v>7124</v>
      </c>
      <c r="S1411" s="14">
        <v>42930</v>
      </c>
      <c r="T1411" s="22" t="s">
        <v>7668</v>
      </c>
    </row>
    <row r="1412" spans="1:20" ht="48.75" customHeight="1" x14ac:dyDescent="0.2">
      <c r="A1412" s="21">
        <v>1438</v>
      </c>
      <c r="B1412" s="12" t="s">
        <v>7675</v>
      </c>
      <c r="C1412" s="289"/>
      <c r="D1412" s="9" t="s">
        <v>7676</v>
      </c>
      <c r="E1412" s="22" t="s">
        <v>6220</v>
      </c>
      <c r="F1412" s="9"/>
      <c r="G1412" s="285" t="s">
        <v>8293</v>
      </c>
      <c r="H1412" s="285" t="s">
        <v>5127</v>
      </c>
      <c r="I1412" s="289"/>
      <c r="J1412" s="285" t="s">
        <v>3136</v>
      </c>
      <c r="K1412" s="14">
        <v>42957</v>
      </c>
      <c r="L1412" s="285">
        <v>742</v>
      </c>
      <c r="M1412" s="15">
        <v>42676</v>
      </c>
      <c r="N1412" s="24">
        <v>1</v>
      </c>
      <c r="O1412" s="63">
        <v>19824</v>
      </c>
      <c r="P1412" s="63">
        <v>19824</v>
      </c>
      <c r="Q1412" s="17">
        <f t="shared" si="32"/>
        <v>0</v>
      </c>
      <c r="R1412" s="285" t="s">
        <v>970</v>
      </c>
      <c r="S1412" s="14">
        <v>42755</v>
      </c>
      <c r="T1412" s="22" t="s">
        <v>7674</v>
      </c>
    </row>
    <row r="1413" spans="1:20" ht="39" customHeight="1" x14ac:dyDescent="0.2">
      <c r="A1413" s="21">
        <v>1439</v>
      </c>
      <c r="B1413" s="12" t="s">
        <v>7682</v>
      </c>
      <c r="C1413" s="289"/>
      <c r="D1413" s="9" t="s">
        <v>7688</v>
      </c>
      <c r="E1413" s="22" t="s">
        <v>7379</v>
      </c>
      <c r="F1413" s="9" t="s">
        <v>7689</v>
      </c>
      <c r="G1413" s="285" t="s">
        <v>8293</v>
      </c>
      <c r="H1413" s="285" t="s">
        <v>5127</v>
      </c>
      <c r="I1413" s="289"/>
      <c r="J1413" s="285" t="s">
        <v>3136</v>
      </c>
      <c r="K1413" s="14">
        <v>42957</v>
      </c>
      <c r="L1413" s="285">
        <v>743</v>
      </c>
      <c r="M1413" s="15">
        <v>42947</v>
      </c>
      <c r="N1413" s="24">
        <v>1</v>
      </c>
      <c r="O1413" s="63">
        <v>20401</v>
      </c>
      <c r="P1413" s="63">
        <v>20401</v>
      </c>
      <c r="Q1413" s="17">
        <f t="shared" si="32"/>
        <v>0</v>
      </c>
      <c r="R1413" s="285" t="s">
        <v>3418</v>
      </c>
      <c r="S1413" s="14">
        <v>42947</v>
      </c>
      <c r="T1413" s="22" t="s">
        <v>7690</v>
      </c>
    </row>
    <row r="1414" spans="1:20" ht="39" customHeight="1" x14ac:dyDescent="0.2">
      <c r="A1414" s="21">
        <v>1440</v>
      </c>
      <c r="B1414" s="12" t="s">
        <v>7683</v>
      </c>
      <c r="C1414" s="289"/>
      <c r="D1414" s="9" t="s">
        <v>7691</v>
      </c>
      <c r="E1414" s="22" t="s">
        <v>7379</v>
      </c>
      <c r="F1414" s="9" t="s">
        <v>7692</v>
      </c>
      <c r="G1414" s="285" t="s">
        <v>8293</v>
      </c>
      <c r="H1414" s="285" t="s">
        <v>5127</v>
      </c>
      <c r="I1414" s="289"/>
      <c r="J1414" s="285" t="s">
        <v>3136</v>
      </c>
      <c r="K1414" s="14">
        <v>42957</v>
      </c>
      <c r="L1414" s="285">
        <v>743</v>
      </c>
      <c r="M1414" s="15">
        <v>42947</v>
      </c>
      <c r="N1414" s="24">
        <v>1</v>
      </c>
      <c r="O1414" s="63">
        <v>30741</v>
      </c>
      <c r="P1414" s="63">
        <v>30741</v>
      </c>
      <c r="Q1414" s="17">
        <f t="shared" si="32"/>
        <v>0</v>
      </c>
      <c r="R1414" s="285" t="s">
        <v>3418</v>
      </c>
      <c r="S1414" s="14">
        <v>42947</v>
      </c>
      <c r="T1414" s="22" t="s">
        <v>7690</v>
      </c>
    </row>
    <row r="1415" spans="1:20" ht="32.25" customHeight="1" x14ac:dyDescent="0.2">
      <c r="A1415" s="21">
        <v>1441</v>
      </c>
      <c r="B1415" s="12" t="s">
        <v>7684</v>
      </c>
      <c r="C1415" s="289"/>
      <c r="D1415" s="9" t="s">
        <v>7694</v>
      </c>
      <c r="E1415" s="22" t="s">
        <v>7379</v>
      </c>
      <c r="F1415" s="9" t="s">
        <v>7693</v>
      </c>
      <c r="G1415" s="285" t="s">
        <v>8293</v>
      </c>
      <c r="H1415" s="285" t="s">
        <v>5127</v>
      </c>
      <c r="I1415" s="289"/>
      <c r="J1415" s="285" t="s">
        <v>3136</v>
      </c>
      <c r="K1415" s="14">
        <v>42957</v>
      </c>
      <c r="L1415" s="285">
        <v>743</v>
      </c>
      <c r="M1415" s="15">
        <v>42947</v>
      </c>
      <c r="N1415" s="24">
        <v>1</v>
      </c>
      <c r="O1415" s="63">
        <v>33012</v>
      </c>
      <c r="P1415" s="63">
        <v>33012</v>
      </c>
      <c r="Q1415" s="17">
        <f t="shared" si="32"/>
        <v>0</v>
      </c>
      <c r="R1415" s="285" t="s">
        <v>3418</v>
      </c>
      <c r="S1415" s="14">
        <v>42947</v>
      </c>
      <c r="T1415" s="22" t="s">
        <v>7690</v>
      </c>
    </row>
    <row r="1416" spans="1:20" ht="32.25" customHeight="1" x14ac:dyDescent="0.2">
      <c r="A1416" s="21">
        <v>1442</v>
      </c>
      <c r="B1416" s="12" t="s">
        <v>7685</v>
      </c>
      <c r="C1416" s="289"/>
      <c r="D1416" s="9" t="s">
        <v>7695</v>
      </c>
      <c r="E1416" s="22" t="s">
        <v>7379</v>
      </c>
      <c r="F1416" s="9" t="s">
        <v>6542</v>
      </c>
      <c r="G1416" s="285" t="s">
        <v>8293</v>
      </c>
      <c r="H1416" s="285" t="s">
        <v>5127</v>
      </c>
      <c r="I1416" s="289"/>
      <c r="J1416" s="285" t="s">
        <v>3136</v>
      </c>
      <c r="K1416" s="14">
        <v>42957</v>
      </c>
      <c r="L1416" s="285">
        <v>743</v>
      </c>
      <c r="M1416" s="15">
        <v>42947</v>
      </c>
      <c r="N1416" s="24">
        <v>1</v>
      </c>
      <c r="O1416" s="63">
        <v>33605</v>
      </c>
      <c r="P1416" s="63">
        <v>33605</v>
      </c>
      <c r="Q1416" s="17">
        <f t="shared" si="32"/>
        <v>0</v>
      </c>
      <c r="R1416" s="285" t="s">
        <v>3418</v>
      </c>
      <c r="S1416" s="14">
        <v>42947</v>
      </c>
      <c r="T1416" s="22" t="s">
        <v>7697</v>
      </c>
    </row>
    <row r="1417" spans="1:20" ht="31.5" customHeight="1" x14ac:dyDescent="0.2">
      <c r="A1417" s="21">
        <v>1443</v>
      </c>
      <c r="B1417" s="12" t="s">
        <v>7686</v>
      </c>
      <c r="C1417" s="289"/>
      <c r="D1417" s="9" t="s">
        <v>7698</v>
      </c>
      <c r="E1417" s="22" t="s">
        <v>7379</v>
      </c>
      <c r="F1417" s="9" t="s">
        <v>7696</v>
      </c>
      <c r="G1417" s="285" t="s">
        <v>8293</v>
      </c>
      <c r="H1417" s="285" t="s">
        <v>5127</v>
      </c>
      <c r="I1417" s="289"/>
      <c r="J1417" s="285" t="s">
        <v>3136</v>
      </c>
      <c r="K1417" s="14">
        <v>42957</v>
      </c>
      <c r="L1417" s="285">
        <v>743</v>
      </c>
      <c r="M1417" s="15">
        <v>42947</v>
      </c>
      <c r="N1417" s="24">
        <v>1</v>
      </c>
      <c r="O1417" s="63">
        <v>27395</v>
      </c>
      <c r="P1417" s="63">
        <v>27395</v>
      </c>
      <c r="Q1417" s="17">
        <f t="shared" si="32"/>
        <v>0</v>
      </c>
      <c r="R1417" s="285" t="s">
        <v>3418</v>
      </c>
      <c r="S1417" s="14">
        <v>42947</v>
      </c>
      <c r="T1417" s="22" t="s">
        <v>7697</v>
      </c>
    </row>
    <row r="1418" spans="1:20" ht="31.5" customHeight="1" x14ac:dyDescent="0.2">
      <c r="A1418" s="21">
        <v>1444</v>
      </c>
      <c r="B1418" s="12" t="s">
        <v>7687</v>
      </c>
      <c r="C1418" s="289"/>
      <c r="D1418" s="9" t="s">
        <v>7704</v>
      </c>
      <c r="E1418" s="22" t="s">
        <v>7379</v>
      </c>
      <c r="F1418" s="9" t="s">
        <v>7699</v>
      </c>
      <c r="G1418" s="285" t="s">
        <v>4296</v>
      </c>
      <c r="H1418" s="285" t="s">
        <v>3793</v>
      </c>
      <c r="I1418" s="289"/>
      <c r="J1418" s="285" t="s">
        <v>3136</v>
      </c>
      <c r="K1418" s="14">
        <v>42957</v>
      </c>
      <c r="L1418" s="285">
        <v>745</v>
      </c>
      <c r="M1418" s="15">
        <v>42940</v>
      </c>
      <c r="N1418" s="24">
        <v>1</v>
      </c>
      <c r="O1418" s="63">
        <v>79593.22</v>
      </c>
      <c r="P1418" s="63">
        <v>79593.22</v>
      </c>
      <c r="Q1418" s="17">
        <f t="shared" si="32"/>
        <v>0</v>
      </c>
      <c r="R1418" s="285" t="s">
        <v>7700</v>
      </c>
      <c r="S1418" s="14">
        <v>42859</v>
      </c>
      <c r="T1418" s="22" t="s">
        <v>7701</v>
      </c>
    </row>
    <row r="1419" spans="1:20" ht="30" customHeight="1" x14ac:dyDescent="0.2">
      <c r="A1419" s="21">
        <v>1445</v>
      </c>
      <c r="B1419" s="12" t="s">
        <v>7702</v>
      </c>
      <c r="C1419" s="289"/>
      <c r="D1419" s="9" t="s">
        <v>7705</v>
      </c>
      <c r="E1419" s="22" t="s">
        <v>7379</v>
      </c>
      <c r="F1419" s="9" t="s">
        <v>7707</v>
      </c>
      <c r="G1419" s="285" t="s">
        <v>4296</v>
      </c>
      <c r="H1419" s="285" t="s">
        <v>3793</v>
      </c>
      <c r="I1419" s="289"/>
      <c r="J1419" s="285" t="s">
        <v>3136</v>
      </c>
      <c r="K1419" s="14">
        <v>42957</v>
      </c>
      <c r="L1419" s="285">
        <v>745</v>
      </c>
      <c r="M1419" s="15">
        <v>42940</v>
      </c>
      <c r="N1419" s="24">
        <v>2</v>
      </c>
      <c r="O1419" s="63">
        <f>34822.03+34822.04</f>
        <v>69644.070000000007</v>
      </c>
      <c r="P1419" s="63">
        <v>69644.070000000007</v>
      </c>
      <c r="Q1419" s="17">
        <f t="shared" si="32"/>
        <v>0</v>
      </c>
      <c r="R1419" s="285" t="s">
        <v>7700</v>
      </c>
      <c r="S1419" s="14">
        <v>42859</v>
      </c>
      <c r="T1419" s="22" t="s">
        <v>7701</v>
      </c>
    </row>
    <row r="1420" spans="1:20" ht="30" customHeight="1" x14ac:dyDescent="0.2">
      <c r="A1420" s="21">
        <v>1446</v>
      </c>
      <c r="B1420" s="12" t="s">
        <v>7703</v>
      </c>
      <c r="C1420" s="289"/>
      <c r="D1420" s="9" t="s">
        <v>7705</v>
      </c>
      <c r="E1420" s="22" t="s">
        <v>7379</v>
      </c>
      <c r="F1420" s="9" t="s">
        <v>7706</v>
      </c>
      <c r="G1420" s="285" t="s">
        <v>4296</v>
      </c>
      <c r="H1420" s="285" t="s">
        <v>3793</v>
      </c>
      <c r="I1420" s="289"/>
      <c r="J1420" s="285" t="s">
        <v>3136</v>
      </c>
      <c r="K1420" s="14">
        <v>42957</v>
      </c>
      <c r="L1420" s="285">
        <v>745</v>
      </c>
      <c r="M1420" s="15">
        <v>42940</v>
      </c>
      <c r="N1420" s="24">
        <v>1</v>
      </c>
      <c r="O1420" s="63">
        <v>35700.800000000003</v>
      </c>
      <c r="P1420" s="63">
        <v>35700.800000000003</v>
      </c>
      <c r="Q1420" s="17">
        <f t="shared" si="32"/>
        <v>0</v>
      </c>
      <c r="R1420" s="285" t="s">
        <v>7700</v>
      </c>
      <c r="S1420" s="14">
        <v>42859</v>
      </c>
      <c r="T1420" s="22" t="s">
        <v>7701</v>
      </c>
    </row>
    <row r="1421" spans="1:20" ht="143.25" customHeight="1" x14ac:dyDescent="0.2">
      <c r="A1421" s="21">
        <v>1447</v>
      </c>
      <c r="B1421" s="12" t="s">
        <v>7722</v>
      </c>
      <c r="C1421" s="289"/>
      <c r="D1421" s="9" t="s">
        <v>7723</v>
      </c>
      <c r="E1421" s="22" t="s">
        <v>4834</v>
      </c>
      <c r="F1421" s="9" t="s">
        <v>3338</v>
      </c>
      <c r="G1421" s="285" t="s">
        <v>4296</v>
      </c>
      <c r="H1421" s="285" t="s">
        <v>3793</v>
      </c>
      <c r="I1421" s="289"/>
      <c r="J1421" s="285" t="s">
        <v>3136</v>
      </c>
      <c r="K1421" s="14">
        <v>42964</v>
      </c>
      <c r="L1421" s="285">
        <v>758</v>
      </c>
      <c r="M1421" s="15">
        <v>42950</v>
      </c>
      <c r="N1421" s="24">
        <v>1</v>
      </c>
      <c r="O1421" s="63">
        <v>25608.47</v>
      </c>
      <c r="P1421" s="63">
        <v>25608.47</v>
      </c>
      <c r="Q1421" s="17">
        <f t="shared" si="32"/>
        <v>0</v>
      </c>
      <c r="R1421" s="285" t="s">
        <v>5110</v>
      </c>
      <c r="S1421" s="14">
        <v>42930</v>
      </c>
      <c r="T1421" s="22" t="s">
        <v>7724</v>
      </c>
    </row>
    <row r="1422" spans="1:20" ht="144.75" customHeight="1" x14ac:dyDescent="0.2">
      <c r="A1422" s="21">
        <v>1448</v>
      </c>
      <c r="B1422" s="12" t="s">
        <v>7732</v>
      </c>
      <c r="C1422" s="289"/>
      <c r="D1422" s="9" t="s">
        <v>7733</v>
      </c>
      <c r="E1422" s="22"/>
      <c r="F1422" s="9" t="s">
        <v>7736</v>
      </c>
      <c r="G1422" s="285" t="s">
        <v>7983</v>
      </c>
      <c r="H1422" s="285" t="s">
        <v>5127</v>
      </c>
      <c r="I1422" s="289"/>
      <c r="J1422" s="285" t="s">
        <v>3136</v>
      </c>
      <c r="K1422" s="14">
        <v>42990</v>
      </c>
      <c r="L1422" s="285">
        <v>814</v>
      </c>
      <c r="M1422" s="15">
        <v>42943</v>
      </c>
      <c r="N1422" s="24">
        <v>1</v>
      </c>
      <c r="O1422" s="63">
        <v>34134.33</v>
      </c>
      <c r="P1422" s="63">
        <v>34134.33</v>
      </c>
      <c r="Q1422" s="17">
        <f t="shared" si="32"/>
        <v>0</v>
      </c>
      <c r="R1422" s="285" t="s">
        <v>412</v>
      </c>
      <c r="S1422" s="14" t="s">
        <v>7734</v>
      </c>
      <c r="T1422" s="22" t="s">
        <v>7735</v>
      </c>
    </row>
    <row r="1423" spans="1:20" ht="50.25" customHeight="1" x14ac:dyDescent="0.2">
      <c r="A1423" s="21">
        <v>1449</v>
      </c>
      <c r="B1423" s="12" t="s">
        <v>7737</v>
      </c>
      <c r="C1423" s="289"/>
      <c r="D1423" s="9" t="s">
        <v>7738</v>
      </c>
      <c r="E1423" s="22"/>
      <c r="F1423" s="9" t="s">
        <v>7739</v>
      </c>
      <c r="G1423" s="285" t="s">
        <v>4296</v>
      </c>
      <c r="H1423" s="285" t="s">
        <v>3793</v>
      </c>
      <c r="I1423" s="289"/>
      <c r="J1423" s="285" t="s">
        <v>3136</v>
      </c>
      <c r="K1423" s="14">
        <v>42989</v>
      </c>
      <c r="L1423" s="285">
        <v>811</v>
      </c>
      <c r="M1423" s="15">
        <v>42979</v>
      </c>
      <c r="N1423" s="24">
        <v>1</v>
      </c>
      <c r="O1423" s="63">
        <v>61025.42</v>
      </c>
      <c r="P1423" s="63">
        <v>61025.42</v>
      </c>
      <c r="Q1423" s="17">
        <f t="shared" si="32"/>
        <v>0</v>
      </c>
      <c r="R1423" s="285" t="s">
        <v>5110</v>
      </c>
      <c r="S1423" s="14">
        <v>42874</v>
      </c>
      <c r="T1423" s="22" t="s">
        <v>7740</v>
      </c>
    </row>
    <row r="1424" spans="1:20" ht="112.5" customHeight="1" x14ac:dyDescent="0.2">
      <c r="A1424" s="21">
        <v>1450</v>
      </c>
      <c r="B1424" s="12" t="s">
        <v>7745</v>
      </c>
      <c r="C1424" s="289"/>
      <c r="D1424" s="9" t="s">
        <v>7743</v>
      </c>
      <c r="E1424" s="22"/>
      <c r="F1424" s="9" t="s">
        <v>7747</v>
      </c>
      <c r="G1424" s="285" t="s">
        <v>7983</v>
      </c>
      <c r="H1424" s="285" t="s">
        <v>5127</v>
      </c>
      <c r="I1424" s="289"/>
      <c r="J1424" s="285" t="s">
        <v>3136</v>
      </c>
      <c r="K1424" s="14" t="s">
        <v>7748</v>
      </c>
      <c r="L1424" s="285" t="s">
        <v>7749</v>
      </c>
      <c r="M1424" s="15">
        <v>42880</v>
      </c>
      <c r="N1424" s="24">
        <v>1</v>
      </c>
      <c r="O1424" s="63">
        <f>702.54+7626.27+13062.71+939.83+2050</f>
        <v>24381.350000000002</v>
      </c>
      <c r="P1424" s="63">
        <v>24381.35</v>
      </c>
      <c r="Q1424" s="17">
        <f t="shared" si="32"/>
        <v>0</v>
      </c>
      <c r="R1424" s="285"/>
      <c r="S1424" s="14"/>
      <c r="T1424" s="22"/>
    </row>
    <row r="1425" spans="1:20" ht="41.25" customHeight="1" x14ac:dyDescent="0.2">
      <c r="A1425" s="21">
        <v>1451</v>
      </c>
      <c r="B1425" s="12" t="s">
        <v>7746</v>
      </c>
      <c r="C1425" s="289"/>
      <c r="D1425" s="9" t="s">
        <v>7612</v>
      </c>
      <c r="E1425" s="22"/>
      <c r="F1425" s="9" t="s">
        <v>7744</v>
      </c>
      <c r="G1425" s="285" t="s">
        <v>7983</v>
      </c>
      <c r="H1425" s="285" t="s">
        <v>5127</v>
      </c>
      <c r="I1425" s="289"/>
      <c r="J1425" s="285" t="s">
        <v>3136</v>
      </c>
      <c r="K1425" s="14" t="s">
        <v>7748</v>
      </c>
      <c r="L1425" s="285" t="s">
        <v>7749</v>
      </c>
      <c r="M1425" s="15">
        <v>42880</v>
      </c>
      <c r="N1425" s="24">
        <v>2</v>
      </c>
      <c r="O1425" s="63">
        <v>6269.49</v>
      </c>
      <c r="P1425" s="63">
        <v>6269.49</v>
      </c>
      <c r="Q1425" s="17">
        <f t="shared" si="32"/>
        <v>0</v>
      </c>
      <c r="R1425" s="285"/>
      <c r="S1425" s="14"/>
      <c r="T1425" s="22"/>
    </row>
    <row r="1426" spans="1:20" ht="41.25" customHeight="1" x14ac:dyDescent="0.2">
      <c r="A1426" s="21">
        <v>1452</v>
      </c>
      <c r="B1426" s="12" t="s">
        <v>7984</v>
      </c>
      <c r="C1426" s="289"/>
      <c r="D1426" s="9" t="s">
        <v>7752</v>
      </c>
      <c r="E1426" s="22"/>
      <c r="F1426" s="9"/>
      <c r="G1426" s="285" t="s">
        <v>8293</v>
      </c>
      <c r="H1426" s="285" t="s">
        <v>5127</v>
      </c>
      <c r="I1426" s="289"/>
      <c r="J1426" s="285" t="s">
        <v>3136</v>
      </c>
      <c r="K1426" s="14">
        <v>43005</v>
      </c>
      <c r="L1426" s="285">
        <v>866</v>
      </c>
      <c r="M1426" s="15">
        <v>42948</v>
      </c>
      <c r="N1426" s="24">
        <v>1</v>
      </c>
      <c r="O1426" s="63">
        <v>80000</v>
      </c>
      <c r="P1426" s="63">
        <v>80000</v>
      </c>
      <c r="Q1426" s="17">
        <f t="shared" si="32"/>
        <v>0</v>
      </c>
      <c r="R1426" s="285" t="s">
        <v>5303</v>
      </c>
      <c r="S1426" s="14">
        <v>42949</v>
      </c>
      <c r="T1426" s="22" t="s">
        <v>7753</v>
      </c>
    </row>
    <row r="1427" spans="1:20" ht="30.75" customHeight="1" x14ac:dyDescent="0.2">
      <c r="A1427" s="21">
        <v>1453</v>
      </c>
      <c r="B1427" s="12" t="s">
        <v>7757</v>
      </c>
      <c r="C1427" s="289"/>
      <c r="D1427" s="9" t="s">
        <v>7758</v>
      </c>
      <c r="E1427" s="22" t="s">
        <v>7379</v>
      </c>
      <c r="F1427" s="9" t="s">
        <v>7759</v>
      </c>
      <c r="G1427" s="285" t="s">
        <v>9194</v>
      </c>
      <c r="H1427" s="285" t="s">
        <v>5127</v>
      </c>
      <c r="I1427" s="289"/>
      <c r="J1427" s="285" t="s">
        <v>3136</v>
      </c>
      <c r="K1427" s="14">
        <v>43005</v>
      </c>
      <c r="L1427" s="285">
        <v>867</v>
      </c>
      <c r="M1427" s="15">
        <v>42991</v>
      </c>
      <c r="N1427" s="24">
        <v>1</v>
      </c>
      <c r="O1427" s="63">
        <v>22000</v>
      </c>
      <c r="P1427" s="63">
        <v>22000</v>
      </c>
      <c r="Q1427" s="17">
        <f t="shared" si="32"/>
        <v>0</v>
      </c>
      <c r="R1427" s="285" t="s">
        <v>5110</v>
      </c>
      <c r="S1427" s="14">
        <v>42991</v>
      </c>
      <c r="T1427" s="22" t="s">
        <v>7760</v>
      </c>
    </row>
    <row r="1428" spans="1:20" ht="30.75" customHeight="1" x14ac:dyDescent="0.2">
      <c r="A1428" s="21">
        <v>1454</v>
      </c>
      <c r="B1428" s="12" t="s">
        <v>7761</v>
      </c>
      <c r="C1428" s="289"/>
      <c r="D1428" s="9" t="s">
        <v>7762</v>
      </c>
      <c r="E1428" s="22" t="s">
        <v>7379</v>
      </c>
      <c r="F1428" s="9" t="s">
        <v>7763</v>
      </c>
      <c r="G1428" s="285" t="s">
        <v>8293</v>
      </c>
      <c r="H1428" s="285" t="s">
        <v>5127</v>
      </c>
      <c r="I1428" s="289"/>
      <c r="J1428" s="285" t="s">
        <v>3136</v>
      </c>
      <c r="K1428" s="14">
        <v>43020</v>
      </c>
      <c r="L1428" s="285">
        <v>927</v>
      </c>
      <c r="M1428" s="15">
        <v>43006</v>
      </c>
      <c r="N1428" s="24">
        <v>1</v>
      </c>
      <c r="O1428" s="63">
        <v>3657</v>
      </c>
      <c r="P1428" s="63">
        <v>3657</v>
      </c>
      <c r="Q1428" s="17">
        <f t="shared" si="32"/>
        <v>0</v>
      </c>
      <c r="R1428" s="285" t="s">
        <v>3418</v>
      </c>
      <c r="S1428" s="14">
        <v>42980</v>
      </c>
      <c r="T1428" s="22" t="s">
        <v>7764</v>
      </c>
    </row>
    <row r="1429" spans="1:20" ht="31.5" customHeight="1" x14ac:dyDescent="0.2">
      <c r="A1429" s="21">
        <v>1455</v>
      </c>
      <c r="B1429" s="12" t="s">
        <v>7769</v>
      </c>
      <c r="C1429" s="289"/>
      <c r="D1429" s="9" t="s">
        <v>7771</v>
      </c>
      <c r="E1429" s="22" t="s">
        <v>7379</v>
      </c>
      <c r="F1429" s="9" t="s">
        <v>7774</v>
      </c>
      <c r="G1429" s="285" t="s">
        <v>7917</v>
      </c>
      <c r="H1429" s="285" t="s">
        <v>5127</v>
      </c>
      <c r="I1429" s="289"/>
      <c r="J1429" s="285" t="s">
        <v>3136</v>
      </c>
      <c r="K1429" s="14">
        <v>43039</v>
      </c>
      <c r="L1429" s="285">
        <v>965</v>
      </c>
      <c r="M1429" s="15">
        <v>43026</v>
      </c>
      <c r="N1429" s="24">
        <v>1</v>
      </c>
      <c r="O1429" s="63">
        <v>22490</v>
      </c>
      <c r="P1429" s="63">
        <v>22490</v>
      </c>
      <c r="Q1429" s="17">
        <f t="shared" si="32"/>
        <v>0</v>
      </c>
      <c r="R1429" s="285" t="s">
        <v>3418</v>
      </c>
      <c r="S1429" s="14">
        <v>43018</v>
      </c>
      <c r="T1429" s="22" t="s">
        <v>7772</v>
      </c>
    </row>
    <row r="1430" spans="1:20" ht="31.5" customHeight="1" x14ac:dyDescent="0.2">
      <c r="A1430" s="21">
        <v>1456</v>
      </c>
      <c r="B1430" s="12" t="s">
        <v>7770</v>
      </c>
      <c r="C1430" s="289"/>
      <c r="D1430" s="9" t="s">
        <v>7773</v>
      </c>
      <c r="E1430" s="22" t="s">
        <v>7379</v>
      </c>
      <c r="F1430" s="9" t="s">
        <v>7775</v>
      </c>
      <c r="G1430" s="285" t="s">
        <v>7917</v>
      </c>
      <c r="H1430" s="285" t="s">
        <v>5127</v>
      </c>
      <c r="I1430" s="289"/>
      <c r="J1430" s="285" t="s">
        <v>3136</v>
      </c>
      <c r="K1430" s="14">
        <v>43039</v>
      </c>
      <c r="L1430" s="285">
        <v>965</v>
      </c>
      <c r="M1430" s="15">
        <v>43026</v>
      </c>
      <c r="N1430" s="24">
        <v>1</v>
      </c>
      <c r="O1430" s="63">
        <v>21990</v>
      </c>
      <c r="P1430" s="63">
        <v>21990</v>
      </c>
      <c r="Q1430" s="17">
        <f t="shared" si="32"/>
        <v>0</v>
      </c>
      <c r="R1430" s="285" t="s">
        <v>3418</v>
      </c>
      <c r="S1430" s="14">
        <v>43018</v>
      </c>
      <c r="T1430" s="22" t="s">
        <v>7772</v>
      </c>
    </row>
    <row r="1431" spans="1:20" ht="53.25" customHeight="1" x14ac:dyDescent="0.2">
      <c r="A1431" s="21">
        <v>1457</v>
      </c>
      <c r="B1431" s="12" t="s">
        <v>7819</v>
      </c>
      <c r="C1431" s="289"/>
      <c r="D1431" s="9" t="s">
        <v>7820</v>
      </c>
      <c r="E1431" s="22" t="s">
        <v>7379</v>
      </c>
      <c r="F1431" s="9" t="s">
        <v>7821</v>
      </c>
      <c r="G1431" s="285" t="s">
        <v>4296</v>
      </c>
      <c r="H1431" s="285" t="s">
        <v>3793</v>
      </c>
      <c r="I1431" s="289"/>
      <c r="J1431" s="285" t="s">
        <v>3136</v>
      </c>
      <c r="K1431" s="14">
        <v>43052</v>
      </c>
      <c r="L1431" s="285">
        <v>998</v>
      </c>
      <c r="M1431" s="15">
        <v>43028</v>
      </c>
      <c r="N1431" s="24">
        <v>1</v>
      </c>
      <c r="O1431" s="63">
        <v>54438.14</v>
      </c>
      <c r="P1431" s="63">
        <v>28126.3</v>
      </c>
      <c r="Q1431" s="17">
        <f t="shared" ref="Q1431:Q1462" si="33">O1431-P1431</f>
        <v>26311.84</v>
      </c>
      <c r="R1431" s="285" t="s">
        <v>5110</v>
      </c>
      <c r="S1431" s="14">
        <v>42977</v>
      </c>
      <c r="T1431" s="22" t="s">
        <v>7822</v>
      </c>
    </row>
    <row r="1432" spans="1:20" ht="34.5" customHeight="1" x14ac:dyDescent="0.2">
      <c r="A1432" s="21">
        <v>1458</v>
      </c>
      <c r="B1432" s="12" t="s">
        <v>7823</v>
      </c>
      <c r="C1432" s="289"/>
      <c r="D1432" s="9" t="s">
        <v>7824</v>
      </c>
      <c r="E1432" s="22" t="s">
        <v>7379</v>
      </c>
      <c r="F1432" s="9"/>
      <c r="G1432" s="285" t="s">
        <v>4296</v>
      </c>
      <c r="H1432" s="285" t="s">
        <v>3793</v>
      </c>
      <c r="I1432" s="289"/>
      <c r="J1432" s="285" t="s">
        <v>3136</v>
      </c>
      <c r="K1432" s="14" t="s">
        <v>7912</v>
      </c>
      <c r="L1432" s="285" t="s">
        <v>7913</v>
      </c>
      <c r="M1432" s="15">
        <v>43039</v>
      </c>
      <c r="N1432" s="24">
        <f>1+1</f>
        <v>2</v>
      </c>
      <c r="O1432" s="63">
        <f>4200+4200</f>
        <v>8400</v>
      </c>
      <c r="P1432" s="63">
        <v>8400</v>
      </c>
      <c r="Q1432" s="17">
        <f t="shared" si="33"/>
        <v>0</v>
      </c>
      <c r="R1432" s="285" t="s">
        <v>5110</v>
      </c>
      <c r="S1432" s="14" t="s">
        <v>7867</v>
      </c>
      <c r="T1432" s="22" t="s">
        <v>7868</v>
      </c>
    </row>
    <row r="1433" spans="1:20" ht="44.25" customHeight="1" x14ac:dyDescent="0.2">
      <c r="A1433" s="21">
        <v>1459</v>
      </c>
      <c r="B1433" s="12" t="s">
        <v>7825</v>
      </c>
      <c r="C1433" s="289"/>
      <c r="D1433" s="9" t="s">
        <v>7826</v>
      </c>
      <c r="E1433" s="22" t="s">
        <v>7379</v>
      </c>
      <c r="F1433" s="9" t="s">
        <v>7827</v>
      </c>
      <c r="G1433" s="285" t="s">
        <v>101</v>
      </c>
      <c r="H1433" s="285" t="s">
        <v>5127</v>
      </c>
      <c r="I1433" s="289"/>
      <c r="J1433" s="285" t="s">
        <v>3136</v>
      </c>
      <c r="K1433" s="14">
        <v>43052</v>
      </c>
      <c r="L1433" s="285">
        <v>1002</v>
      </c>
      <c r="M1433" s="15">
        <v>43039</v>
      </c>
      <c r="N1433" s="24">
        <v>1</v>
      </c>
      <c r="O1433" s="63">
        <v>5600</v>
      </c>
      <c r="P1433" s="63">
        <v>5600</v>
      </c>
      <c r="Q1433" s="17">
        <f t="shared" si="33"/>
        <v>0</v>
      </c>
      <c r="R1433" s="285" t="s">
        <v>7828</v>
      </c>
      <c r="S1433" s="14">
        <v>43039</v>
      </c>
      <c r="T1433" s="22" t="s">
        <v>7829</v>
      </c>
    </row>
    <row r="1434" spans="1:20" ht="51.75" customHeight="1" x14ac:dyDescent="0.2">
      <c r="A1434" s="21">
        <v>1460</v>
      </c>
      <c r="B1434" s="12" t="s">
        <v>7837</v>
      </c>
      <c r="C1434" s="289"/>
      <c r="D1434" s="9" t="s">
        <v>7838</v>
      </c>
      <c r="E1434" s="22" t="s">
        <v>7379</v>
      </c>
      <c r="F1434" s="9" t="s">
        <v>7839</v>
      </c>
      <c r="G1434" s="285" t="s">
        <v>6266</v>
      </c>
      <c r="H1434" s="285" t="s">
        <v>5127</v>
      </c>
      <c r="I1434" s="289"/>
      <c r="J1434" s="285" t="s">
        <v>3136</v>
      </c>
      <c r="K1434" s="14">
        <v>43073</v>
      </c>
      <c r="L1434" s="285">
        <v>1061</v>
      </c>
      <c r="M1434" s="15">
        <v>43047</v>
      </c>
      <c r="N1434" s="24">
        <v>1</v>
      </c>
      <c r="O1434" s="63">
        <v>33231.480000000003</v>
      </c>
      <c r="P1434" s="63">
        <v>33231.480000000003</v>
      </c>
      <c r="Q1434" s="17">
        <f t="shared" si="33"/>
        <v>0</v>
      </c>
      <c r="R1434" s="285" t="s">
        <v>3418</v>
      </c>
      <c r="S1434" s="14">
        <v>43028</v>
      </c>
      <c r="T1434" s="22" t="s">
        <v>7840</v>
      </c>
    </row>
    <row r="1435" spans="1:20" ht="51.75" customHeight="1" x14ac:dyDescent="0.2">
      <c r="A1435" s="21">
        <v>1461</v>
      </c>
      <c r="B1435" s="12" t="s">
        <v>7854</v>
      </c>
      <c r="C1435" s="289"/>
      <c r="D1435" s="9" t="s">
        <v>7858</v>
      </c>
      <c r="E1435" s="22" t="s">
        <v>7379</v>
      </c>
      <c r="F1435" s="9" t="s">
        <v>7859</v>
      </c>
      <c r="G1435" s="285" t="s">
        <v>3090</v>
      </c>
      <c r="H1435" s="285" t="s">
        <v>5127</v>
      </c>
      <c r="I1435" s="289"/>
      <c r="J1435" s="285" t="s">
        <v>3136</v>
      </c>
      <c r="K1435" s="14">
        <v>43080</v>
      </c>
      <c r="L1435" s="285">
        <v>1081</v>
      </c>
      <c r="M1435" s="15">
        <v>43052</v>
      </c>
      <c r="N1435" s="24">
        <v>1</v>
      </c>
      <c r="O1435" s="63">
        <v>7499</v>
      </c>
      <c r="P1435" s="63">
        <v>7499</v>
      </c>
      <c r="Q1435" s="17">
        <f t="shared" si="33"/>
        <v>0</v>
      </c>
      <c r="R1435" s="285" t="s">
        <v>3418</v>
      </c>
      <c r="S1435" s="14">
        <v>43052</v>
      </c>
      <c r="T1435" s="22" t="s">
        <v>7860</v>
      </c>
    </row>
    <row r="1436" spans="1:20" ht="41.25" customHeight="1" x14ac:dyDescent="0.2">
      <c r="A1436" s="21">
        <v>1462</v>
      </c>
      <c r="B1436" s="12" t="s">
        <v>7855</v>
      </c>
      <c r="C1436" s="289"/>
      <c r="D1436" s="9" t="s">
        <v>7861</v>
      </c>
      <c r="E1436" s="22" t="s">
        <v>7379</v>
      </c>
      <c r="F1436" s="9" t="s">
        <v>7862</v>
      </c>
      <c r="G1436" s="285" t="s">
        <v>3090</v>
      </c>
      <c r="H1436" s="285" t="s">
        <v>5127</v>
      </c>
      <c r="I1436" s="289"/>
      <c r="J1436" s="285" t="s">
        <v>3136</v>
      </c>
      <c r="K1436" s="14">
        <v>43080</v>
      </c>
      <c r="L1436" s="285">
        <v>1081</v>
      </c>
      <c r="M1436" s="15">
        <v>43052</v>
      </c>
      <c r="N1436" s="24">
        <v>1</v>
      </c>
      <c r="O1436" s="63">
        <v>22499</v>
      </c>
      <c r="P1436" s="63">
        <v>22499</v>
      </c>
      <c r="Q1436" s="17">
        <f t="shared" si="33"/>
        <v>0</v>
      </c>
      <c r="R1436" s="285" t="s">
        <v>3418</v>
      </c>
      <c r="S1436" s="14">
        <v>43052</v>
      </c>
      <c r="T1436" s="22" t="s">
        <v>7860</v>
      </c>
    </row>
    <row r="1437" spans="1:20" ht="41.25" customHeight="1" x14ac:dyDescent="0.2">
      <c r="A1437" s="21">
        <v>1463</v>
      </c>
      <c r="B1437" s="12" t="s">
        <v>7856</v>
      </c>
      <c r="C1437" s="289"/>
      <c r="D1437" s="9" t="s">
        <v>7864</v>
      </c>
      <c r="E1437" s="22" t="s">
        <v>7379</v>
      </c>
      <c r="F1437" s="9" t="s">
        <v>7863</v>
      </c>
      <c r="G1437" s="285" t="s">
        <v>3090</v>
      </c>
      <c r="H1437" s="285" t="s">
        <v>5127</v>
      </c>
      <c r="I1437" s="289"/>
      <c r="J1437" s="285" t="s">
        <v>3136</v>
      </c>
      <c r="K1437" s="14">
        <v>43080</v>
      </c>
      <c r="L1437" s="285">
        <v>1081</v>
      </c>
      <c r="M1437" s="15">
        <v>43052</v>
      </c>
      <c r="N1437" s="24">
        <v>1</v>
      </c>
      <c r="O1437" s="63">
        <v>4050</v>
      </c>
      <c r="P1437" s="63">
        <v>4050</v>
      </c>
      <c r="Q1437" s="17">
        <f t="shared" si="33"/>
        <v>0</v>
      </c>
      <c r="R1437" s="285" t="s">
        <v>3418</v>
      </c>
      <c r="S1437" s="14">
        <v>43052</v>
      </c>
      <c r="T1437" s="22" t="s">
        <v>7860</v>
      </c>
    </row>
    <row r="1438" spans="1:20" ht="38.25" customHeight="1" x14ac:dyDescent="0.2">
      <c r="A1438" s="21">
        <v>1464</v>
      </c>
      <c r="B1438" s="12" t="s">
        <v>7857</v>
      </c>
      <c r="C1438" s="289"/>
      <c r="D1438" s="9" t="s">
        <v>7865</v>
      </c>
      <c r="E1438" s="22" t="s">
        <v>7379</v>
      </c>
      <c r="F1438" s="9" t="s">
        <v>7866</v>
      </c>
      <c r="G1438" s="285" t="s">
        <v>3090</v>
      </c>
      <c r="H1438" s="285" t="s">
        <v>5127</v>
      </c>
      <c r="I1438" s="289"/>
      <c r="J1438" s="285" t="s">
        <v>3136</v>
      </c>
      <c r="K1438" s="32">
        <v>43080</v>
      </c>
      <c r="L1438" s="37">
        <v>1081</v>
      </c>
      <c r="M1438" s="57">
        <v>43052</v>
      </c>
      <c r="N1438" s="33">
        <v>1</v>
      </c>
      <c r="O1438" s="61">
        <v>30499</v>
      </c>
      <c r="P1438" s="61">
        <v>30499</v>
      </c>
      <c r="Q1438" s="17">
        <f t="shared" si="33"/>
        <v>0</v>
      </c>
      <c r="R1438" s="285" t="s">
        <v>3418</v>
      </c>
      <c r="S1438" s="14">
        <v>43052</v>
      </c>
      <c r="T1438" s="22" t="s">
        <v>7860</v>
      </c>
    </row>
    <row r="1439" spans="1:20" ht="38.25" customHeight="1" x14ac:dyDescent="0.2">
      <c r="A1439" s="21">
        <v>1465</v>
      </c>
      <c r="B1439" s="12" t="s">
        <v>7869</v>
      </c>
      <c r="C1439" s="289"/>
      <c r="D1439" s="9" t="s">
        <v>7870</v>
      </c>
      <c r="E1439" s="22" t="s">
        <v>7379</v>
      </c>
      <c r="F1439" s="9" t="s">
        <v>7871</v>
      </c>
      <c r="G1439" s="285" t="s">
        <v>8293</v>
      </c>
      <c r="H1439" s="285" t="s">
        <v>5127</v>
      </c>
      <c r="I1439" s="289"/>
      <c r="J1439" s="285" t="s">
        <v>3136</v>
      </c>
      <c r="K1439" s="32">
        <v>43080</v>
      </c>
      <c r="L1439" s="37">
        <v>1078</v>
      </c>
      <c r="M1439" s="57" t="s">
        <v>7872</v>
      </c>
      <c r="N1439" s="33">
        <v>1</v>
      </c>
      <c r="O1439" s="61">
        <v>65300</v>
      </c>
      <c r="P1439" s="61">
        <v>65300</v>
      </c>
      <c r="Q1439" s="17">
        <f t="shared" si="33"/>
        <v>0</v>
      </c>
      <c r="R1439" s="285" t="s">
        <v>7873</v>
      </c>
      <c r="S1439" s="14">
        <v>43059</v>
      </c>
      <c r="T1439" s="22" t="s">
        <v>7874</v>
      </c>
    </row>
    <row r="1440" spans="1:20" ht="45.75" customHeight="1" x14ac:dyDescent="0.2">
      <c r="A1440" s="21">
        <v>1466</v>
      </c>
      <c r="B1440" s="12" t="s">
        <v>7886</v>
      </c>
      <c r="C1440" s="289"/>
      <c r="D1440" s="9" t="s">
        <v>5870</v>
      </c>
      <c r="E1440" s="22" t="s">
        <v>7379</v>
      </c>
      <c r="F1440" s="9" t="s">
        <v>7888</v>
      </c>
      <c r="G1440" s="285" t="s">
        <v>4946</v>
      </c>
      <c r="H1440" s="285" t="s">
        <v>5127</v>
      </c>
      <c r="I1440" s="289"/>
      <c r="J1440" s="285" t="s">
        <v>3136</v>
      </c>
      <c r="K1440" s="32">
        <v>43080</v>
      </c>
      <c r="L1440" s="37">
        <v>1084</v>
      </c>
      <c r="M1440" s="57">
        <v>43060</v>
      </c>
      <c r="N1440" s="33">
        <v>1</v>
      </c>
      <c r="O1440" s="61">
        <v>14024</v>
      </c>
      <c r="P1440" s="61">
        <v>14024</v>
      </c>
      <c r="Q1440" s="17">
        <f t="shared" si="33"/>
        <v>0</v>
      </c>
      <c r="R1440" s="285" t="s">
        <v>3418</v>
      </c>
      <c r="S1440" s="14">
        <v>43060</v>
      </c>
      <c r="T1440" s="22" t="s">
        <v>7889</v>
      </c>
    </row>
    <row r="1441" spans="1:20" ht="45.75" customHeight="1" x14ac:dyDescent="0.2">
      <c r="A1441" s="21">
        <v>1467</v>
      </c>
      <c r="B1441" s="12" t="s">
        <v>7887</v>
      </c>
      <c r="C1441" s="289"/>
      <c r="D1441" s="9" t="s">
        <v>7890</v>
      </c>
      <c r="E1441" s="22" t="s">
        <v>7379</v>
      </c>
      <c r="F1441" s="9" t="s">
        <v>7891</v>
      </c>
      <c r="G1441" s="285" t="s">
        <v>4946</v>
      </c>
      <c r="H1441" s="285" t="s">
        <v>5127</v>
      </c>
      <c r="I1441" s="289"/>
      <c r="J1441" s="285" t="s">
        <v>3136</v>
      </c>
      <c r="K1441" s="32">
        <v>43080</v>
      </c>
      <c r="L1441" s="37">
        <v>1084</v>
      </c>
      <c r="M1441" s="57">
        <v>43060</v>
      </c>
      <c r="N1441" s="33">
        <v>1</v>
      </c>
      <c r="O1441" s="61">
        <v>10000</v>
      </c>
      <c r="P1441" s="61">
        <v>10000</v>
      </c>
      <c r="Q1441" s="17">
        <f t="shared" si="33"/>
        <v>0</v>
      </c>
      <c r="R1441" s="285" t="s">
        <v>3418</v>
      </c>
      <c r="S1441" s="14">
        <v>43060</v>
      </c>
      <c r="T1441" s="22" t="s">
        <v>7889</v>
      </c>
    </row>
    <row r="1442" spans="1:20" ht="46.5" customHeight="1" x14ac:dyDescent="0.2">
      <c r="A1442" s="21">
        <v>1468</v>
      </c>
      <c r="B1442" s="12" t="s">
        <v>7892</v>
      </c>
      <c r="C1442" s="289"/>
      <c r="D1442" s="9" t="s">
        <v>7894</v>
      </c>
      <c r="E1442" s="22" t="s">
        <v>7379</v>
      </c>
      <c r="F1442" s="9" t="s">
        <v>7895</v>
      </c>
      <c r="G1442" s="285" t="s">
        <v>4946</v>
      </c>
      <c r="H1442" s="285" t="s">
        <v>5127</v>
      </c>
      <c r="I1442" s="289"/>
      <c r="J1442" s="285" t="s">
        <v>3136</v>
      </c>
      <c r="K1442" s="32">
        <v>43080</v>
      </c>
      <c r="L1442" s="37">
        <v>1083</v>
      </c>
      <c r="M1442" s="57">
        <v>43060</v>
      </c>
      <c r="N1442" s="33">
        <v>1</v>
      </c>
      <c r="O1442" s="61">
        <v>28199</v>
      </c>
      <c r="P1442" s="61">
        <v>28199</v>
      </c>
      <c r="Q1442" s="17">
        <f t="shared" si="33"/>
        <v>0</v>
      </c>
      <c r="R1442" s="285" t="s">
        <v>3418</v>
      </c>
      <c r="S1442" s="14">
        <v>43059</v>
      </c>
      <c r="T1442" s="22" t="s">
        <v>7898</v>
      </c>
    </row>
    <row r="1443" spans="1:20" ht="46.5" customHeight="1" x14ac:dyDescent="0.2">
      <c r="A1443" s="21">
        <v>1469</v>
      </c>
      <c r="B1443" s="12" t="s">
        <v>7893</v>
      </c>
      <c r="C1443" s="289"/>
      <c r="D1443" s="9" t="s">
        <v>7897</v>
      </c>
      <c r="E1443" s="22" t="s">
        <v>7379</v>
      </c>
      <c r="F1443" s="9" t="s">
        <v>7896</v>
      </c>
      <c r="G1443" s="285" t="s">
        <v>4946</v>
      </c>
      <c r="H1443" s="285" t="s">
        <v>5127</v>
      </c>
      <c r="I1443" s="289"/>
      <c r="J1443" s="285" t="s">
        <v>3136</v>
      </c>
      <c r="K1443" s="32">
        <v>43080</v>
      </c>
      <c r="L1443" s="37">
        <v>1083</v>
      </c>
      <c r="M1443" s="57">
        <v>43060</v>
      </c>
      <c r="N1443" s="33">
        <v>1</v>
      </c>
      <c r="O1443" s="61">
        <v>9599</v>
      </c>
      <c r="P1443" s="61">
        <v>9599</v>
      </c>
      <c r="Q1443" s="17">
        <f t="shared" si="33"/>
        <v>0</v>
      </c>
      <c r="R1443" s="285" t="s">
        <v>3418</v>
      </c>
      <c r="S1443" s="14">
        <v>43059</v>
      </c>
      <c r="T1443" s="22" t="s">
        <v>7898</v>
      </c>
    </row>
    <row r="1444" spans="1:20" ht="42.75" customHeight="1" x14ac:dyDescent="0.2">
      <c r="A1444" s="21">
        <v>1470</v>
      </c>
      <c r="B1444" s="12" t="s">
        <v>7899</v>
      </c>
      <c r="C1444" s="289"/>
      <c r="D1444" s="9" t="s">
        <v>7901</v>
      </c>
      <c r="E1444" s="22" t="s">
        <v>7379</v>
      </c>
      <c r="F1444" s="9" t="s">
        <v>7902</v>
      </c>
      <c r="G1444" s="285" t="s">
        <v>7982</v>
      </c>
      <c r="H1444" s="285" t="s">
        <v>5127</v>
      </c>
      <c r="I1444" s="289"/>
      <c r="J1444" s="285" t="s">
        <v>3136</v>
      </c>
      <c r="K1444" s="32">
        <v>43080</v>
      </c>
      <c r="L1444" s="37">
        <v>1085</v>
      </c>
      <c r="M1444" s="57">
        <v>43066</v>
      </c>
      <c r="N1444" s="33">
        <v>1</v>
      </c>
      <c r="O1444" s="61">
        <v>27060</v>
      </c>
      <c r="P1444" s="61">
        <v>27060</v>
      </c>
      <c r="Q1444" s="17">
        <f t="shared" si="33"/>
        <v>0</v>
      </c>
      <c r="R1444" s="285" t="s">
        <v>4689</v>
      </c>
      <c r="S1444" s="14">
        <v>43046</v>
      </c>
      <c r="T1444" s="22" t="s">
        <v>7904</v>
      </c>
    </row>
    <row r="1445" spans="1:20" ht="42.75" customHeight="1" x14ac:dyDescent="0.2">
      <c r="A1445" s="21">
        <v>1471</v>
      </c>
      <c r="B1445" s="12" t="s">
        <v>7900</v>
      </c>
      <c r="C1445" s="289"/>
      <c r="D1445" s="9" t="s">
        <v>5305</v>
      </c>
      <c r="E1445" s="22" t="s">
        <v>7379</v>
      </c>
      <c r="F1445" s="9" t="s">
        <v>7903</v>
      </c>
      <c r="G1445" s="285" t="s">
        <v>7982</v>
      </c>
      <c r="H1445" s="285" t="s">
        <v>5127</v>
      </c>
      <c r="I1445" s="289"/>
      <c r="J1445" s="285" t="s">
        <v>3136</v>
      </c>
      <c r="K1445" s="32">
        <v>43080</v>
      </c>
      <c r="L1445" s="37">
        <v>1085</v>
      </c>
      <c r="M1445" s="57">
        <v>43066</v>
      </c>
      <c r="N1445" s="33">
        <v>2</v>
      </c>
      <c r="O1445" s="61">
        <v>10600</v>
      </c>
      <c r="P1445" s="61">
        <v>10600</v>
      </c>
      <c r="Q1445" s="17">
        <f t="shared" si="33"/>
        <v>0</v>
      </c>
      <c r="R1445" s="285" t="s">
        <v>4689</v>
      </c>
      <c r="S1445" s="14">
        <v>43046</v>
      </c>
      <c r="T1445" s="22" t="s">
        <v>7904</v>
      </c>
    </row>
    <row r="1446" spans="1:20" ht="392.25" customHeight="1" x14ac:dyDescent="0.2">
      <c r="A1446" s="21">
        <v>1472</v>
      </c>
      <c r="B1446" s="12" t="s">
        <v>7914</v>
      </c>
      <c r="C1446" s="289"/>
      <c r="D1446" s="9" t="s">
        <v>7915</v>
      </c>
      <c r="E1446" s="22" t="s">
        <v>7379</v>
      </c>
      <c r="F1446" s="9" t="s">
        <v>7916</v>
      </c>
      <c r="G1446" s="285" t="s">
        <v>7934</v>
      </c>
      <c r="H1446" s="285" t="s">
        <v>5127</v>
      </c>
      <c r="I1446" s="289"/>
      <c r="J1446" s="285" t="s">
        <v>3136</v>
      </c>
      <c r="K1446" s="32">
        <v>43087</v>
      </c>
      <c r="L1446" s="37">
        <v>1124</v>
      </c>
      <c r="M1446" s="57">
        <v>43080</v>
      </c>
      <c r="N1446" s="33">
        <v>1</v>
      </c>
      <c r="O1446" s="61">
        <v>48060</v>
      </c>
      <c r="P1446" s="61">
        <v>32611.98</v>
      </c>
      <c r="Q1446" s="17">
        <f t="shared" si="33"/>
        <v>15448.02</v>
      </c>
      <c r="R1446" s="285" t="s">
        <v>3418</v>
      </c>
      <c r="S1446" s="14">
        <v>43066</v>
      </c>
      <c r="T1446" s="22" t="s">
        <v>1029</v>
      </c>
    </row>
    <row r="1447" spans="1:20" ht="45.75" customHeight="1" x14ac:dyDescent="0.2">
      <c r="A1447" s="21">
        <v>1473</v>
      </c>
      <c r="B1447" s="12" t="s">
        <v>7920</v>
      </c>
      <c r="C1447" s="289"/>
      <c r="D1447" s="9" t="s">
        <v>7926</v>
      </c>
      <c r="E1447" s="22" t="s">
        <v>7379</v>
      </c>
      <c r="F1447" s="9" t="s">
        <v>7922</v>
      </c>
      <c r="G1447" s="285" t="s">
        <v>4946</v>
      </c>
      <c r="H1447" s="285" t="s">
        <v>5127</v>
      </c>
      <c r="I1447" s="289"/>
      <c r="J1447" s="285" t="s">
        <v>3136</v>
      </c>
      <c r="K1447" s="14">
        <v>43095</v>
      </c>
      <c r="L1447" s="285">
        <v>1170</v>
      </c>
      <c r="M1447" s="15">
        <v>43083</v>
      </c>
      <c r="N1447" s="24">
        <v>1</v>
      </c>
      <c r="O1447" s="63">
        <v>5000</v>
      </c>
      <c r="P1447" s="63">
        <v>5000</v>
      </c>
      <c r="Q1447" s="17">
        <f t="shared" si="33"/>
        <v>0</v>
      </c>
      <c r="R1447" s="285" t="s">
        <v>3418</v>
      </c>
      <c r="S1447" s="14">
        <v>43083</v>
      </c>
      <c r="T1447" s="22" t="s">
        <v>7923</v>
      </c>
    </row>
    <row r="1448" spans="1:20" ht="45.75" customHeight="1" x14ac:dyDescent="0.2">
      <c r="A1448" s="21">
        <v>1474</v>
      </c>
      <c r="B1448" s="12" t="s">
        <v>7921</v>
      </c>
      <c r="C1448" s="289"/>
      <c r="D1448" s="9" t="s">
        <v>7924</v>
      </c>
      <c r="E1448" s="22" t="s">
        <v>7379</v>
      </c>
      <c r="F1448" s="9" t="s">
        <v>7925</v>
      </c>
      <c r="G1448" s="285" t="s">
        <v>4946</v>
      </c>
      <c r="H1448" s="37" t="s">
        <v>5127</v>
      </c>
      <c r="I1448" s="289"/>
      <c r="J1448" s="285" t="s">
        <v>3136</v>
      </c>
      <c r="K1448" s="14">
        <v>43095</v>
      </c>
      <c r="L1448" s="285">
        <v>1170</v>
      </c>
      <c r="M1448" s="15">
        <v>43083</v>
      </c>
      <c r="N1448" s="24">
        <v>1</v>
      </c>
      <c r="O1448" s="63">
        <v>15000</v>
      </c>
      <c r="P1448" s="63">
        <v>15000</v>
      </c>
      <c r="Q1448" s="17">
        <f t="shared" si="33"/>
        <v>0</v>
      </c>
      <c r="R1448" s="285" t="s">
        <v>3418</v>
      </c>
      <c r="S1448" s="14">
        <v>43083</v>
      </c>
      <c r="T1448" s="22" t="s">
        <v>7923</v>
      </c>
    </row>
    <row r="1449" spans="1:20" ht="45.75" customHeight="1" x14ac:dyDescent="0.2">
      <c r="A1449" s="21">
        <v>1475</v>
      </c>
      <c r="B1449" s="12" t="s">
        <v>7927</v>
      </c>
      <c r="C1449" s="289"/>
      <c r="D1449" s="9" t="s">
        <v>7928</v>
      </c>
      <c r="E1449" s="22" t="s">
        <v>7379</v>
      </c>
      <c r="F1449" s="9" t="s">
        <v>7929</v>
      </c>
      <c r="G1449" s="285" t="s">
        <v>7967</v>
      </c>
      <c r="H1449" s="37" t="s">
        <v>5127</v>
      </c>
      <c r="I1449" s="289"/>
      <c r="J1449" s="285" t="s">
        <v>3136</v>
      </c>
      <c r="K1449" s="14">
        <v>43095</v>
      </c>
      <c r="L1449" s="285">
        <v>1169</v>
      </c>
      <c r="M1449" s="15">
        <v>43084</v>
      </c>
      <c r="N1449" s="24">
        <v>1</v>
      </c>
      <c r="O1449" s="63">
        <v>39380</v>
      </c>
      <c r="P1449" s="63">
        <v>39380</v>
      </c>
      <c r="Q1449" s="17">
        <f t="shared" si="33"/>
        <v>0</v>
      </c>
      <c r="R1449" s="285" t="s">
        <v>5110</v>
      </c>
      <c r="S1449" s="14">
        <v>43040</v>
      </c>
      <c r="T1449" s="22" t="s">
        <v>7930</v>
      </c>
    </row>
    <row r="1450" spans="1:20" ht="45.75" customHeight="1" x14ac:dyDescent="0.2">
      <c r="A1450" s="21">
        <v>1476</v>
      </c>
      <c r="B1450" s="12" t="s">
        <v>7931</v>
      </c>
      <c r="C1450" s="289"/>
      <c r="D1450" s="9" t="s">
        <v>8155</v>
      </c>
      <c r="E1450" s="22" t="s">
        <v>8071</v>
      </c>
      <c r="F1450" s="9" t="s">
        <v>8156</v>
      </c>
      <c r="G1450" s="285" t="s">
        <v>4296</v>
      </c>
      <c r="H1450" s="37" t="s">
        <v>3793</v>
      </c>
      <c r="I1450" s="18"/>
      <c r="J1450" s="285" t="s">
        <v>3136</v>
      </c>
      <c r="K1450" s="14">
        <v>43218</v>
      </c>
      <c r="L1450" s="285">
        <v>380</v>
      </c>
      <c r="M1450" s="15">
        <v>43207</v>
      </c>
      <c r="N1450" s="24">
        <v>1</v>
      </c>
      <c r="O1450" s="63">
        <v>10800</v>
      </c>
      <c r="P1450" s="63">
        <v>10800</v>
      </c>
      <c r="Q1450" s="17">
        <f t="shared" si="33"/>
        <v>0</v>
      </c>
      <c r="R1450" s="285" t="s">
        <v>5110</v>
      </c>
      <c r="S1450" s="14">
        <v>43188</v>
      </c>
      <c r="T1450" s="22" t="s">
        <v>8157</v>
      </c>
    </row>
    <row r="1451" spans="1:20" ht="39.75" customHeight="1" x14ac:dyDescent="0.2">
      <c r="A1451" s="21">
        <v>1477</v>
      </c>
      <c r="B1451" s="12" t="s">
        <v>7931</v>
      </c>
      <c r="C1451" s="289"/>
      <c r="D1451" s="9" t="s">
        <v>7932</v>
      </c>
      <c r="E1451" s="22" t="s">
        <v>7379</v>
      </c>
      <c r="F1451" s="9" t="s">
        <v>7933</v>
      </c>
      <c r="G1451" s="285" t="s">
        <v>3699</v>
      </c>
      <c r="H1451" s="285" t="s">
        <v>5127</v>
      </c>
      <c r="I1451" s="289"/>
      <c r="J1451" s="285" t="s">
        <v>3136</v>
      </c>
      <c r="K1451" s="14">
        <v>43095</v>
      </c>
      <c r="L1451" s="285">
        <v>1168</v>
      </c>
      <c r="M1451" s="15">
        <v>43084</v>
      </c>
      <c r="N1451" s="24">
        <v>1</v>
      </c>
      <c r="O1451" s="63">
        <v>150457.82</v>
      </c>
      <c r="P1451" s="63">
        <v>102096.12</v>
      </c>
      <c r="Q1451" s="17">
        <f t="shared" si="33"/>
        <v>48361.700000000012</v>
      </c>
      <c r="R1451" s="285" t="s">
        <v>7935</v>
      </c>
      <c r="S1451" s="14">
        <v>43084</v>
      </c>
      <c r="T1451" s="22" t="s">
        <v>7936</v>
      </c>
    </row>
    <row r="1452" spans="1:20" ht="39.75" customHeight="1" x14ac:dyDescent="0.2">
      <c r="A1452" s="21">
        <v>1478</v>
      </c>
      <c r="B1452" s="12" t="s">
        <v>7944</v>
      </c>
      <c r="C1452" s="289"/>
      <c r="D1452" s="9" t="s">
        <v>7945</v>
      </c>
      <c r="E1452" s="22" t="s">
        <v>7379</v>
      </c>
      <c r="F1452" s="9" t="s">
        <v>7946</v>
      </c>
      <c r="G1452" s="285" t="s">
        <v>7934</v>
      </c>
      <c r="H1452" s="285" t="s">
        <v>5127</v>
      </c>
      <c r="I1452" s="289"/>
      <c r="J1452" s="285" t="s">
        <v>3136</v>
      </c>
      <c r="K1452" s="14">
        <v>43096</v>
      </c>
      <c r="L1452" s="285">
        <v>1180</v>
      </c>
      <c r="M1452" s="15">
        <v>43082</v>
      </c>
      <c r="N1452" s="24">
        <v>1</v>
      </c>
      <c r="O1452" s="63">
        <v>22499</v>
      </c>
      <c r="P1452" s="63">
        <v>22499</v>
      </c>
      <c r="Q1452" s="17">
        <f t="shared" si="33"/>
        <v>0</v>
      </c>
      <c r="R1452" s="285" t="s">
        <v>3418</v>
      </c>
      <c r="S1452" s="14">
        <v>43076</v>
      </c>
      <c r="T1452" s="22" t="s">
        <v>7947</v>
      </c>
    </row>
    <row r="1453" spans="1:20" ht="39.75" customHeight="1" x14ac:dyDescent="0.2">
      <c r="A1453" s="21">
        <v>1479</v>
      </c>
      <c r="B1453" s="12" t="s">
        <v>7951</v>
      </c>
      <c r="C1453" s="289"/>
      <c r="D1453" s="9" t="s">
        <v>7955</v>
      </c>
      <c r="E1453" s="22" t="s">
        <v>7379</v>
      </c>
      <c r="F1453" s="9" t="s">
        <v>7957</v>
      </c>
      <c r="G1453" s="285" t="s">
        <v>7983</v>
      </c>
      <c r="H1453" s="37" t="s">
        <v>5127</v>
      </c>
      <c r="I1453" s="289"/>
      <c r="J1453" s="285" t="s">
        <v>3136</v>
      </c>
      <c r="K1453" s="14">
        <v>43097</v>
      </c>
      <c r="L1453" s="285">
        <v>1184</v>
      </c>
      <c r="M1453" s="15">
        <v>43090</v>
      </c>
      <c r="N1453" s="24">
        <v>1</v>
      </c>
      <c r="O1453" s="63">
        <v>23601.54</v>
      </c>
      <c r="P1453" s="63">
        <v>23601.54</v>
      </c>
      <c r="Q1453" s="17">
        <f t="shared" si="33"/>
        <v>0</v>
      </c>
      <c r="R1453" s="285" t="s">
        <v>7155</v>
      </c>
      <c r="S1453" s="14">
        <v>43080</v>
      </c>
      <c r="T1453" s="22" t="s">
        <v>7956</v>
      </c>
    </row>
    <row r="1454" spans="1:20" ht="52.5" customHeight="1" x14ac:dyDescent="0.2">
      <c r="A1454" s="21">
        <v>1480</v>
      </c>
      <c r="B1454" s="12" t="s">
        <v>7952</v>
      </c>
      <c r="C1454" s="289"/>
      <c r="D1454" s="9" t="s">
        <v>7955</v>
      </c>
      <c r="E1454" s="22" t="s">
        <v>7379</v>
      </c>
      <c r="F1454" s="9" t="s">
        <v>11430</v>
      </c>
      <c r="G1454" s="285" t="s">
        <v>7983</v>
      </c>
      <c r="H1454" s="37" t="s">
        <v>5127</v>
      </c>
      <c r="I1454" s="289"/>
      <c r="J1454" s="285" t="s">
        <v>3136</v>
      </c>
      <c r="K1454" s="14">
        <v>43098</v>
      </c>
      <c r="L1454" s="285">
        <v>1202</v>
      </c>
      <c r="M1454" s="15">
        <v>43090</v>
      </c>
      <c r="N1454" s="24">
        <f>4-1</f>
        <v>3</v>
      </c>
      <c r="O1454" s="63">
        <f>67464.8-16866.2</f>
        <v>50598.600000000006</v>
      </c>
      <c r="P1454" s="63">
        <f>67464.8-16866.2</f>
        <v>50598.600000000006</v>
      </c>
      <c r="Q1454" s="17">
        <f t="shared" si="33"/>
        <v>0</v>
      </c>
      <c r="R1454" s="285" t="s">
        <v>7155</v>
      </c>
      <c r="S1454" s="14">
        <v>43080</v>
      </c>
      <c r="T1454" s="22" t="s">
        <v>7956</v>
      </c>
    </row>
    <row r="1455" spans="1:20" ht="90" customHeight="1" x14ac:dyDescent="0.2">
      <c r="A1455" s="21">
        <v>1481</v>
      </c>
      <c r="B1455" s="12" t="s">
        <v>7952</v>
      </c>
      <c r="C1455" s="289"/>
      <c r="D1455" s="9" t="s">
        <v>7955</v>
      </c>
      <c r="E1455" s="22" t="s">
        <v>7379</v>
      </c>
      <c r="F1455" s="9" t="s">
        <v>8134</v>
      </c>
      <c r="G1455" s="285" t="s">
        <v>4720</v>
      </c>
      <c r="H1455" s="37" t="s">
        <v>5127</v>
      </c>
      <c r="I1455" s="289"/>
      <c r="J1455" s="285" t="s">
        <v>3136</v>
      </c>
      <c r="K1455" s="14">
        <v>43098</v>
      </c>
      <c r="L1455" s="285">
        <v>1201</v>
      </c>
      <c r="M1455" s="15">
        <v>43090</v>
      </c>
      <c r="N1455" s="24">
        <v>1</v>
      </c>
      <c r="O1455" s="63">
        <v>16866.2</v>
      </c>
      <c r="P1455" s="63">
        <v>16866.2</v>
      </c>
      <c r="Q1455" s="17">
        <f t="shared" si="33"/>
        <v>0</v>
      </c>
      <c r="R1455" s="285" t="s">
        <v>7155</v>
      </c>
      <c r="S1455" s="14">
        <v>43080</v>
      </c>
      <c r="T1455" s="22" t="s">
        <v>7956</v>
      </c>
    </row>
    <row r="1456" spans="1:20" ht="60.75" customHeight="1" x14ac:dyDescent="0.2">
      <c r="A1456" s="21">
        <v>1482</v>
      </c>
      <c r="B1456" s="12" t="s">
        <v>7953</v>
      </c>
      <c r="C1456" s="289"/>
      <c r="D1456" s="9" t="s">
        <v>7958</v>
      </c>
      <c r="E1456" s="22" t="s">
        <v>7379</v>
      </c>
      <c r="F1456" s="9" t="s">
        <v>7959</v>
      </c>
      <c r="G1456" s="285" t="s">
        <v>7983</v>
      </c>
      <c r="H1456" s="37" t="s">
        <v>5127</v>
      </c>
      <c r="I1456" s="289"/>
      <c r="J1456" s="285" t="s">
        <v>3136</v>
      </c>
      <c r="K1456" s="14">
        <v>43097</v>
      </c>
      <c r="L1456" s="285">
        <v>1184</v>
      </c>
      <c r="M1456" s="15">
        <v>43090</v>
      </c>
      <c r="N1456" s="24">
        <v>2</v>
      </c>
      <c r="O1456" s="63">
        <v>13470.68</v>
      </c>
      <c r="P1456" s="63">
        <v>13470.68</v>
      </c>
      <c r="Q1456" s="17">
        <f t="shared" si="33"/>
        <v>0</v>
      </c>
      <c r="R1456" s="285" t="s">
        <v>7155</v>
      </c>
      <c r="S1456" s="14">
        <v>43080</v>
      </c>
      <c r="T1456" s="22" t="s">
        <v>7956</v>
      </c>
    </row>
    <row r="1457" spans="1:20" ht="60.75" customHeight="1" x14ac:dyDescent="0.2">
      <c r="A1457" s="21">
        <v>1483</v>
      </c>
      <c r="B1457" s="12" t="s">
        <v>7954</v>
      </c>
      <c r="C1457" s="289"/>
      <c r="D1457" s="9" t="s">
        <v>7960</v>
      </c>
      <c r="E1457" s="22" t="s">
        <v>7379</v>
      </c>
      <c r="F1457" s="9" t="s">
        <v>7961</v>
      </c>
      <c r="G1457" s="285" t="s">
        <v>7983</v>
      </c>
      <c r="H1457" s="37" t="s">
        <v>5127</v>
      </c>
      <c r="I1457" s="289"/>
      <c r="J1457" s="285" t="s">
        <v>3136</v>
      </c>
      <c r="K1457" s="14">
        <v>43097</v>
      </c>
      <c r="L1457" s="285">
        <v>1184</v>
      </c>
      <c r="M1457" s="15">
        <v>43090</v>
      </c>
      <c r="N1457" s="24">
        <v>2</v>
      </c>
      <c r="O1457" s="63">
        <v>30773.32</v>
      </c>
      <c r="P1457" s="63">
        <v>30773.32</v>
      </c>
      <c r="Q1457" s="17">
        <f t="shared" si="33"/>
        <v>0</v>
      </c>
      <c r="R1457" s="285" t="s">
        <v>7155</v>
      </c>
      <c r="S1457" s="14">
        <v>43080</v>
      </c>
      <c r="T1457" s="22" t="s">
        <v>7956</v>
      </c>
    </row>
    <row r="1458" spans="1:20" ht="49.5" customHeight="1" x14ac:dyDescent="0.2">
      <c r="A1458" s="21">
        <v>1484</v>
      </c>
      <c r="B1458" s="12" t="s">
        <v>7985</v>
      </c>
      <c r="C1458" s="289"/>
      <c r="D1458" s="9" t="s">
        <v>7986</v>
      </c>
      <c r="E1458" s="22" t="s">
        <v>7379</v>
      </c>
      <c r="F1458" s="9" t="s">
        <v>7987</v>
      </c>
      <c r="G1458" s="285" t="s">
        <v>8293</v>
      </c>
      <c r="H1458" s="37" t="s">
        <v>5127</v>
      </c>
      <c r="I1458" s="289"/>
      <c r="J1458" s="285" t="s">
        <v>3136</v>
      </c>
      <c r="K1458" s="14">
        <v>43119</v>
      </c>
      <c r="L1458" s="285">
        <v>33</v>
      </c>
      <c r="M1458" s="15">
        <v>43094</v>
      </c>
      <c r="N1458" s="24">
        <v>1</v>
      </c>
      <c r="O1458" s="63">
        <v>45552</v>
      </c>
      <c r="P1458" s="63">
        <v>32537.4</v>
      </c>
      <c r="Q1458" s="17">
        <f t="shared" si="33"/>
        <v>13014.599999999999</v>
      </c>
      <c r="R1458" s="285" t="s">
        <v>7828</v>
      </c>
      <c r="S1458" s="14">
        <v>43094</v>
      </c>
      <c r="T1458" s="22" t="s">
        <v>7988</v>
      </c>
    </row>
    <row r="1459" spans="1:20" ht="49.5" customHeight="1" x14ac:dyDescent="0.2">
      <c r="A1459" s="21">
        <v>1485</v>
      </c>
      <c r="B1459" s="12" t="s">
        <v>7989</v>
      </c>
      <c r="C1459" s="289"/>
      <c r="D1459" s="9" t="s">
        <v>479</v>
      </c>
      <c r="E1459" s="22" t="s">
        <v>7379</v>
      </c>
      <c r="F1459" s="9" t="s">
        <v>7990</v>
      </c>
      <c r="G1459" s="285" t="s">
        <v>8293</v>
      </c>
      <c r="H1459" s="37" t="s">
        <v>5127</v>
      </c>
      <c r="I1459" s="289"/>
      <c r="J1459" s="285" t="s">
        <v>3136</v>
      </c>
      <c r="K1459" s="14">
        <v>43119</v>
      </c>
      <c r="L1459" s="285">
        <v>31</v>
      </c>
      <c r="M1459" s="15">
        <v>43094</v>
      </c>
      <c r="N1459" s="24">
        <v>1</v>
      </c>
      <c r="O1459" s="63">
        <v>93617.2</v>
      </c>
      <c r="P1459" s="63">
        <v>66869.399999999994</v>
      </c>
      <c r="Q1459" s="17">
        <f t="shared" si="33"/>
        <v>26747.800000000003</v>
      </c>
      <c r="R1459" s="285" t="s">
        <v>7828</v>
      </c>
      <c r="S1459" s="14">
        <v>43094</v>
      </c>
      <c r="T1459" s="22" t="s">
        <v>7991</v>
      </c>
    </row>
    <row r="1460" spans="1:20" ht="53.25" customHeight="1" x14ac:dyDescent="0.2">
      <c r="A1460" s="21">
        <v>1486</v>
      </c>
      <c r="B1460" s="12" t="s">
        <v>8009</v>
      </c>
      <c r="C1460" s="289"/>
      <c r="D1460" s="9" t="s">
        <v>8988</v>
      </c>
      <c r="E1460" s="22" t="s">
        <v>7379</v>
      </c>
      <c r="F1460" s="9" t="s">
        <v>8010</v>
      </c>
      <c r="G1460" s="285" t="s">
        <v>4877</v>
      </c>
      <c r="H1460" s="37" t="s">
        <v>3793</v>
      </c>
      <c r="I1460" s="289"/>
      <c r="J1460" s="285" t="s">
        <v>3136</v>
      </c>
      <c r="K1460" s="14">
        <v>43123</v>
      </c>
      <c r="L1460" s="285">
        <v>40</v>
      </c>
      <c r="M1460" s="15">
        <v>43097</v>
      </c>
      <c r="N1460" s="24">
        <v>1</v>
      </c>
      <c r="O1460" s="63">
        <v>75000</v>
      </c>
      <c r="P1460" s="63">
        <v>75000</v>
      </c>
      <c r="Q1460" s="17">
        <f t="shared" si="33"/>
        <v>0</v>
      </c>
      <c r="R1460" s="285" t="s">
        <v>3418</v>
      </c>
      <c r="S1460" s="14">
        <v>43075</v>
      </c>
      <c r="T1460" s="22" t="s">
        <v>8011</v>
      </c>
    </row>
    <row r="1461" spans="1:20" ht="53.25" customHeight="1" x14ac:dyDescent="0.2">
      <c r="A1461" s="21">
        <v>1487</v>
      </c>
      <c r="B1461" s="12" t="s">
        <v>8040</v>
      </c>
      <c r="C1461" s="289"/>
      <c r="D1461" s="9" t="s">
        <v>8041</v>
      </c>
      <c r="E1461" s="22" t="s">
        <v>7379</v>
      </c>
      <c r="F1461" s="9" t="s">
        <v>8044</v>
      </c>
      <c r="G1461" s="285" t="s">
        <v>4296</v>
      </c>
      <c r="H1461" s="285" t="s">
        <v>3793</v>
      </c>
      <c r="I1461" s="18"/>
      <c r="J1461" s="285" t="s">
        <v>3136</v>
      </c>
      <c r="K1461" s="14">
        <v>43145</v>
      </c>
      <c r="L1461" s="285">
        <v>133</v>
      </c>
      <c r="M1461" s="15">
        <v>43126</v>
      </c>
      <c r="N1461" s="24">
        <v>3</v>
      </c>
      <c r="O1461" s="63">
        <v>14100</v>
      </c>
      <c r="P1461" s="63">
        <v>14100</v>
      </c>
      <c r="Q1461" s="17">
        <f t="shared" si="33"/>
        <v>0</v>
      </c>
      <c r="R1461" s="285" t="s">
        <v>7828</v>
      </c>
      <c r="S1461" s="14">
        <v>42933</v>
      </c>
      <c r="T1461" s="22" t="s">
        <v>1029</v>
      </c>
    </row>
    <row r="1462" spans="1:20" ht="45" customHeight="1" x14ac:dyDescent="0.2">
      <c r="A1462" s="21">
        <v>1488</v>
      </c>
      <c r="B1462" s="12" t="s">
        <v>8045</v>
      </c>
      <c r="C1462" s="289"/>
      <c r="D1462" s="9" t="s">
        <v>8049</v>
      </c>
      <c r="E1462" s="22" t="s">
        <v>7379</v>
      </c>
      <c r="F1462" s="9" t="s">
        <v>8050</v>
      </c>
      <c r="G1462" s="285" t="s">
        <v>4296</v>
      </c>
      <c r="H1462" s="285" t="s">
        <v>3793</v>
      </c>
      <c r="I1462" s="18"/>
      <c r="J1462" s="285" t="s">
        <v>3136</v>
      </c>
      <c r="K1462" s="14">
        <v>43151</v>
      </c>
      <c r="L1462" s="285">
        <v>147</v>
      </c>
      <c r="M1462" s="15">
        <v>43145</v>
      </c>
      <c r="N1462" s="24">
        <v>1</v>
      </c>
      <c r="O1462" s="63">
        <v>76271.19</v>
      </c>
      <c r="P1462" s="178">
        <v>72457.83</v>
      </c>
      <c r="Q1462" s="17">
        <f t="shared" si="33"/>
        <v>3813.3600000000006</v>
      </c>
      <c r="R1462" s="285" t="s">
        <v>5363</v>
      </c>
      <c r="S1462" s="14">
        <v>43048</v>
      </c>
      <c r="T1462" s="22" t="s">
        <v>8054</v>
      </c>
    </row>
    <row r="1463" spans="1:20" ht="45" customHeight="1" x14ac:dyDescent="0.2">
      <c r="A1463" s="21">
        <v>1489</v>
      </c>
      <c r="B1463" s="12" t="s">
        <v>8046</v>
      </c>
      <c r="C1463" s="289"/>
      <c r="D1463" s="9" t="s">
        <v>8051</v>
      </c>
      <c r="E1463" s="22" t="s">
        <v>7379</v>
      </c>
      <c r="F1463" s="9" t="s">
        <v>8050</v>
      </c>
      <c r="G1463" s="285" t="s">
        <v>4296</v>
      </c>
      <c r="H1463" s="285" t="s">
        <v>3793</v>
      </c>
      <c r="I1463" s="18"/>
      <c r="J1463" s="285" t="s">
        <v>3136</v>
      </c>
      <c r="K1463" s="14">
        <v>43151</v>
      </c>
      <c r="L1463" s="285">
        <v>147</v>
      </c>
      <c r="M1463" s="15">
        <v>43145</v>
      </c>
      <c r="N1463" s="24">
        <v>1</v>
      </c>
      <c r="O1463" s="63">
        <v>437725.42</v>
      </c>
      <c r="P1463" s="178">
        <v>415838.94</v>
      </c>
      <c r="Q1463" s="17">
        <f t="shared" ref="Q1463:Q1494" si="34">O1463-P1463</f>
        <v>21886.479999999981</v>
      </c>
      <c r="R1463" s="285" t="s">
        <v>5302</v>
      </c>
      <c r="S1463" s="14">
        <v>42893</v>
      </c>
      <c r="T1463" s="22" t="s">
        <v>8055</v>
      </c>
    </row>
    <row r="1464" spans="1:20" ht="30.75" customHeight="1" x14ac:dyDescent="0.2">
      <c r="A1464" s="21">
        <v>1490</v>
      </c>
      <c r="B1464" s="12" t="s">
        <v>8047</v>
      </c>
      <c r="C1464" s="289"/>
      <c r="D1464" s="9" t="s">
        <v>8052</v>
      </c>
      <c r="E1464" s="22" t="s">
        <v>7379</v>
      </c>
      <c r="F1464" s="9" t="s">
        <v>8050</v>
      </c>
      <c r="G1464" s="285" t="s">
        <v>4296</v>
      </c>
      <c r="H1464" s="285" t="s">
        <v>3793</v>
      </c>
      <c r="I1464" s="18"/>
      <c r="J1464" s="285" t="s">
        <v>3136</v>
      </c>
      <c r="K1464" s="14">
        <v>43151</v>
      </c>
      <c r="L1464" s="285">
        <v>147</v>
      </c>
      <c r="M1464" s="15">
        <v>43145</v>
      </c>
      <c r="N1464" s="24">
        <v>1</v>
      </c>
      <c r="O1464" s="321">
        <v>223855.93</v>
      </c>
      <c r="P1464" s="178">
        <v>223855.93</v>
      </c>
      <c r="Q1464" s="17">
        <f t="shared" si="34"/>
        <v>0</v>
      </c>
      <c r="R1464" s="285" t="s">
        <v>5302</v>
      </c>
      <c r="S1464" s="14">
        <v>42859</v>
      </c>
      <c r="T1464" s="22" t="s">
        <v>8055</v>
      </c>
    </row>
    <row r="1465" spans="1:20" ht="68.25" customHeight="1" x14ac:dyDescent="0.2">
      <c r="A1465" s="21">
        <v>1491</v>
      </c>
      <c r="B1465" s="12" t="s">
        <v>8048</v>
      </c>
      <c r="C1465" s="289"/>
      <c r="D1465" s="9" t="s">
        <v>8053</v>
      </c>
      <c r="E1465" s="22" t="s">
        <v>7379</v>
      </c>
      <c r="F1465" s="9" t="s">
        <v>8050</v>
      </c>
      <c r="G1465" s="285" t="s">
        <v>4296</v>
      </c>
      <c r="H1465" s="285" t="s">
        <v>3793</v>
      </c>
      <c r="I1465" s="18"/>
      <c r="J1465" s="285" t="s">
        <v>3136</v>
      </c>
      <c r="K1465" s="14">
        <v>43151</v>
      </c>
      <c r="L1465" s="285">
        <v>147</v>
      </c>
      <c r="M1465" s="15">
        <v>43145</v>
      </c>
      <c r="N1465" s="24">
        <v>1</v>
      </c>
      <c r="O1465" s="63">
        <v>194008.47</v>
      </c>
      <c r="P1465" s="178">
        <v>131648.34</v>
      </c>
      <c r="Q1465" s="17">
        <f t="shared" si="34"/>
        <v>62360.130000000005</v>
      </c>
      <c r="R1465" s="285" t="s">
        <v>5302</v>
      </c>
      <c r="S1465" s="14">
        <v>42859</v>
      </c>
      <c r="T1465" s="22" t="s">
        <v>8055</v>
      </c>
    </row>
    <row r="1466" spans="1:20" ht="109.5" customHeight="1" x14ac:dyDescent="0.2">
      <c r="A1466" s="21">
        <v>1492</v>
      </c>
      <c r="B1466" s="12" t="s">
        <v>8066</v>
      </c>
      <c r="C1466" s="289"/>
      <c r="D1466" s="9" t="s">
        <v>8067</v>
      </c>
      <c r="E1466" s="22" t="s">
        <v>7379</v>
      </c>
      <c r="F1466" s="9" t="s">
        <v>8068</v>
      </c>
      <c r="G1466" s="285" t="s">
        <v>515</v>
      </c>
      <c r="H1466" s="285" t="s">
        <v>5127</v>
      </c>
      <c r="I1466" s="18"/>
      <c r="J1466" s="285" t="s">
        <v>3136</v>
      </c>
      <c r="K1466" s="14">
        <v>43171</v>
      </c>
      <c r="L1466" s="285">
        <v>188</v>
      </c>
      <c r="M1466" s="15">
        <v>43146</v>
      </c>
      <c r="N1466" s="24">
        <v>1</v>
      </c>
      <c r="O1466" s="63">
        <v>13160</v>
      </c>
      <c r="P1466" s="63">
        <v>13160</v>
      </c>
      <c r="Q1466" s="17">
        <f t="shared" si="34"/>
        <v>0</v>
      </c>
      <c r="R1466" s="285" t="s">
        <v>5110</v>
      </c>
      <c r="S1466" s="14">
        <v>43074</v>
      </c>
      <c r="T1466" s="22" t="s">
        <v>2993</v>
      </c>
    </row>
    <row r="1467" spans="1:20" ht="167.25" customHeight="1" x14ac:dyDescent="0.2">
      <c r="A1467" s="21">
        <v>1493</v>
      </c>
      <c r="B1467" s="12" t="s">
        <v>8069</v>
      </c>
      <c r="C1467" s="289"/>
      <c r="D1467" s="9" t="s">
        <v>8070</v>
      </c>
      <c r="E1467" s="22" t="s">
        <v>8071</v>
      </c>
      <c r="F1467" s="9"/>
      <c r="G1467" s="285" t="s">
        <v>4296</v>
      </c>
      <c r="H1467" s="37" t="s">
        <v>3793</v>
      </c>
      <c r="I1467" s="59"/>
      <c r="J1467" s="285" t="s">
        <v>3136</v>
      </c>
      <c r="K1467" s="14">
        <v>43171</v>
      </c>
      <c r="L1467" s="285">
        <v>187</v>
      </c>
      <c r="M1467" s="57">
        <v>43150</v>
      </c>
      <c r="N1467" s="33">
        <v>1</v>
      </c>
      <c r="O1467" s="61">
        <v>18305.080000000002</v>
      </c>
      <c r="P1467" s="61">
        <v>18305.080000000002</v>
      </c>
      <c r="Q1467" s="17">
        <f t="shared" si="34"/>
        <v>0</v>
      </c>
      <c r="R1467" s="285" t="s">
        <v>5110</v>
      </c>
      <c r="S1467" s="14">
        <v>43124</v>
      </c>
      <c r="T1467" s="22" t="s">
        <v>4048</v>
      </c>
    </row>
    <row r="1468" spans="1:20" ht="40.5" customHeight="1" x14ac:dyDescent="0.2">
      <c r="A1468" s="21">
        <v>1494</v>
      </c>
      <c r="B1468" s="12" t="s">
        <v>8074</v>
      </c>
      <c r="C1468" s="289"/>
      <c r="D1468" s="9" t="s">
        <v>8075</v>
      </c>
      <c r="E1468" s="22" t="s">
        <v>8071</v>
      </c>
      <c r="F1468" s="9" t="s">
        <v>8076</v>
      </c>
      <c r="G1468" s="285" t="s">
        <v>8077</v>
      </c>
      <c r="H1468" s="37" t="s">
        <v>5127</v>
      </c>
      <c r="I1468" s="59"/>
      <c r="J1468" s="285" t="s">
        <v>3136</v>
      </c>
      <c r="K1468" s="14">
        <v>43175</v>
      </c>
      <c r="L1468" s="285">
        <v>198</v>
      </c>
      <c r="M1468" s="57">
        <v>43160</v>
      </c>
      <c r="N1468" s="33">
        <v>1</v>
      </c>
      <c r="O1468" s="61">
        <v>15999</v>
      </c>
      <c r="P1468" s="61">
        <v>15999</v>
      </c>
      <c r="Q1468" s="17">
        <f t="shared" si="34"/>
        <v>0</v>
      </c>
      <c r="R1468" s="285" t="s">
        <v>3418</v>
      </c>
      <c r="S1468" s="14">
        <v>43147</v>
      </c>
      <c r="T1468" s="22" t="s">
        <v>8078</v>
      </c>
    </row>
    <row r="1469" spans="1:20" ht="70.5" customHeight="1" x14ac:dyDescent="0.2">
      <c r="A1469" s="21">
        <v>1495</v>
      </c>
      <c r="B1469" s="12" t="s">
        <v>8088</v>
      </c>
      <c r="C1469" s="289"/>
      <c r="D1469" s="9" t="s">
        <v>8089</v>
      </c>
      <c r="E1469" s="22" t="s">
        <v>7379</v>
      </c>
      <c r="F1469" s="9" t="s">
        <v>8090</v>
      </c>
      <c r="G1469" s="285" t="s">
        <v>2074</v>
      </c>
      <c r="H1469" s="37" t="s">
        <v>5127</v>
      </c>
      <c r="I1469" s="18"/>
      <c r="J1469" s="285" t="s">
        <v>3136</v>
      </c>
      <c r="K1469" s="14">
        <v>43181</v>
      </c>
      <c r="L1469" s="285">
        <v>227</v>
      </c>
      <c r="M1469" s="15">
        <v>43070</v>
      </c>
      <c r="N1469" s="24">
        <v>1</v>
      </c>
      <c r="O1469" s="63">
        <v>13650</v>
      </c>
      <c r="P1469" s="63">
        <v>13650</v>
      </c>
      <c r="Q1469" s="17">
        <f t="shared" si="34"/>
        <v>0</v>
      </c>
      <c r="R1469" s="285" t="s">
        <v>7124</v>
      </c>
      <c r="S1469" s="14">
        <v>42914</v>
      </c>
      <c r="T1469" s="22" t="s">
        <v>8091</v>
      </c>
    </row>
    <row r="1470" spans="1:20" ht="38.25" customHeight="1" x14ac:dyDescent="0.2">
      <c r="A1470" s="21">
        <v>1496</v>
      </c>
      <c r="B1470" s="12" t="s">
        <v>8092</v>
      </c>
      <c r="C1470" s="289"/>
      <c r="D1470" s="9" t="s">
        <v>8093</v>
      </c>
      <c r="E1470" s="22" t="s">
        <v>8071</v>
      </c>
      <c r="F1470" s="9" t="s">
        <v>8094</v>
      </c>
      <c r="G1470" s="285" t="s">
        <v>4296</v>
      </c>
      <c r="H1470" s="37" t="s">
        <v>3793</v>
      </c>
      <c r="I1470" s="18"/>
      <c r="J1470" s="285" t="s">
        <v>3136</v>
      </c>
      <c r="K1470" s="14">
        <v>43182</v>
      </c>
      <c r="L1470" s="285">
        <v>233</v>
      </c>
      <c r="M1470" s="15">
        <v>43159</v>
      </c>
      <c r="N1470" s="24">
        <v>1</v>
      </c>
      <c r="O1470" s="63">
        <v>6355.93</v>
      </c>
      <c r="P1470" s="63">
        <v>6355.93</v>
      </c>
      <c r="Q1470" s="17">
        <f t="shared" si="34"/>
        <v>0</v>
      </c>
      <c r="R1470" s="285" t="s">
        <v>5110</v>
      </c>
      <c r="S1470" s="14">
        <v>43118</v>
      </c>
      <c r="T1470" s="22" t="s">
        <v>7186</v>
      </c>
    </row>
    <row r="1471" spans="1:20" ht="54.75" customHeight="1" x14ac:dyDescent="0.2">
      <c r="A1471" s="21">
        <v>1497</v>
      </c>
      <c r="B1471" s="12" t="s">
        <v>8095</v>
      </c>
      <c r="C1471" s="289"/>
      <c r="D1471" s="9" t="s">
        <v>8096</v>
      </c>
      <c r="E1471" s="22" t="s">
        <v>8071</v>
      </c>
      <c r="F1471" s="9" t="s">
        <v>8097</v>
      </c>
      <c r="G1471" s="285" t="s">
        <v>4296</v>
      </c>
      <c r="H1471" s="37" t="s">
        <v>3793</v>
      </c>
      <c r="I1471" s="18"/>
      <c r="J1471" s="285" t="s">
        <v>3136</v>
      </c>
      <c r="K1471" s="14">
        <v>43185</v>
      </c>
      <c r="L1471" s="285">
        <v>241</v>
      </c>
      <c r="M1471" s="15">
        <v>43171</v>
      </c>
      <c r="N1471" s="24">
        <v>1</v>
      </c>
      <c r="O1471" s="63">
        <v>44915.25</v>
      </c>
      <c r="P1471" s="178">
        <v>30478.47</v>
      </c>
      <c r="Q1471" s="17">
        <f t="shared" si="34"/>
        <v>14436.779999999999</v>
      </c>
      <c r="R1471" s="285" t="s">
        <v>5110</v>
      </c>
      <c r="S1471" s="14">
        <v>43123</v>
      </c>
      <c r="T1471" s="22" t="s">
        <v>8098</v>
      </c>
    </row>
    <row r="1472" spans="1:20" ht="44.25" customHeight="1" x14ac:dyDescent="0.2">
      <c r="A1472" s="21">
        <v>1498</v>
      </c>
      <c r="B1472" s="12" t="s">
        <v>8099</v>
      </c>
      <c r="C1472" s="289"/>
      <c r="D1472" s="9" t="s">
        <v>8101</v>
      </c>
      <c r="E1472" s="22" t="s">
        <v>8071</v>
      </c>
      <c r="F1472" s="9" t="s">
        <v>8102</v>
      </c>
      <c r="G1472" s="285" t="s">
        <v>7981</v>
      </c>
      <c r="H1472" s="285" t="s">
        <v>5127</v>
      </c>
      <c r="I1472" s="18"/>
      <c r="J1472" s="285" t="s">
        <v>3136</v>
      </c>
      <c r="K1472" s="14">
        <v>43194</v>
      </c>
      <c r="L1472" s="285">
        <v>263</v>
      </c>
      <c r="M1472" s="15" t="s">
        <v>8103</v>
      </c>
      <c r="N1472" s="24">
        <v>1</v>
      </c>
      <c r="O1472" s="63">
        <v>3500</v>
      </c>
      <c r="P1472" s="63">
        <v>3500</v>
      </c>
      <c r="Q1472" s="17">
        <f t="shared" si="34"/>
        <v>0</v>
      </c>
      <c r="R1472" s="285" t="s">
        <v>7828</v>
      </c>
      <c r="S1472" s="14">
        <v>43178</v>
      </c>
      <c r="T1472" s="22" t="s">
        <v>8104</v>
      </c>
    </row>
    <row r="1473" spans="1:20" ht="44.25" customHeight="1" x14ac:dyDescent="0.2">
      <c r="A1473" s="21">
        <v>1499</v>
      </c>
      <c r="B1473" s="12" t="s">
        <v>8100</v>
      </c>
      <c r="C1473" s="289"/>
      <c r="D1473" s="9" t="s">
        <v>8101</v>
      </c>
      <c r="E1473" s="22" t="s">
        <v>8071</v>
      </c>
      <c r="F1473" s="9" t="s">
        <v>8105</v>
      </c>
      <c r="G1473" s="285" t="s">
        <v>2437</v>
      </c>
      <c r="H1473" s="285" t="s">
        <v>5127</v>
      </c>
      <c r="I1473" s="18"/>
      <c r="J1473" s="285" t="s">
        <v>3136</v>
      </c>
      <c r="K1473" s="14">
        <v>43194</v>
      </c>
      <c r="L1473" s="285">
        <v>264</v>
      </c>
      <c r="M1473" s="15">
        <v>43178</v>
      </c>
      <c r="N1473" s="24">
        <v>1</v>
      </c>
      <c r="O1473" s="63">
        <v>3500</v>
      </c>
      <c r="P1473" s="63">
        <v>3500</v>
      </c>
      <c r="Q1473" s="17">
        <f t="shared" si="34"/>
        <v>0</v>
      </c>
      <c r="R1473" s="285" t="s">
        <v>7828</v>
      </c>
      <c r="S1473" s="14">
        <v>43178</v>
      </c>
      <c r="T1473" s="22" t="s">
        <v>8106</v>
      </c>
    </row>
    <row r="1474" spans="1:20" ht="47.25" customHeight="1" x14ac:dyDescent="0.2">
      <c r="A1474" s="21">
        <v>1500</v>
      </c>
      <c r="B1474" s="12" t="s">
        <v>8109</v>
      </c>
      <c r="C1474" s="289"/>
      <c r="D1474" s="9" t="s">
        <v>8110</v>
      </c>
      <c r="E1474" s="22" t="s">
        <v>8071</v>
      </c>
      <c r="F1474" s="9" t="s">
        <v>8111</v>
      </c>
      <c r="G1474" s="285" t="s">
        <v>7934</v>
      </c>
      <c r="H1474" s="285" t="s">
        <v>5127</v>
      </c>
      <c r="I1474" s="289"/>
      <c r="J1474" s="285" t="s">
        <v>3136</v>
      </c>
      <c r="K1474" s="14">
        <v>43194</v>
      </c>
      <c r="L1474" s="285">
        <v>265</v>
      </c>
      <c r="M1474" s="15">
        <v>43187</v>
      </c>
      <c r="N1474" s="24">
        <v>1</v>
      </c>
      <c r="O1474" s="63">
        <v>6999</v>
      </c>
      <c r="P1474" s="63">
        <v>6999</v>
      </c>
      <c r="Q1474" s="17">
        <f t="shared" si="34"/>
        <v>0</v>
      </c>
      <c r="R1474" s="285" t="s">
        <v>4383</v>
      </c>
      <c r="S1474" s="14">
        <v>43138</v>
      </c>
      <c r="T1474" s="22" t="s">
        <v>8112</v>
      </c>
    </row>
    <row r="1475" spans="1:20" ht="47.25" customHeight="1" x14ac:dyDescent="0.2">
      <c r="A1475" s="21">
        <v>1501</v>
      </c>
      <c r="B1475" s="12" t="s">
        <v>8113</v>
      </c>
      <c r="C1475" s="289"/>
      <c r="D1475" s="9" t="s">
        <v>8114</v>
      </c>
      <c r="E1475" s="22" t="s">
        <v>8071</v>
      </c>
      <c r="F1475" s="9" t="s">
        <v>8115</v>
      </c>
      <c r="G1475" s="285" t="s">
        <v>7464</v>
      </c>
      <c r="H1475" s="285" t="s">
        <v>5127</v>
      </c>
      <c r="I1475" s="289"/>
      <c r="J1475" s="285" t="s">
        <v>3136</v>
      </c>
      <c r="K1475" s="14">
        <v>43199</v>
      </c>
      <c r="L1475" s="285">
        <v>275</v>
      </c>
      <c r="M1475" s="15">
        <v>43181</v>
      </c>
      <c r="N1475" s="24">
        <v>1</v>
      </c>
      <c r="O1475" s="63">
        <v>30000</v>
      </c>
      <c r="P1475" s="63">
        <v>30000</v>
      </c>
      <c r="Q1475" s="17">
        <f t="shared" si="34"/>
        <v>0</v>
      </c>
      <c r="R1475" s="285" t="s">
        <v>8116</v>
      </c>
      <c r="S1475" s="14">
        <v>43080</v>
      </c>
      <c r="T1475" s="22" t="s">
        <v>8117</v>
      </c>
    </row>
    <row r="1476" spans="1:20" ht="61.5" customHeight="1" x14ac:dyDescent="0.2">
      <c r="A1476" s="21">
        <v>1502</v>
      </c>
      <c r="B1476" s="12" t="s">
        <v>8118</v>
      </c>
      <c r="C1476" s="289"/>
      <c r="D1476" s="9" t="s">
        <v>8119</v>
      </c>
      <c r="E1476" s="22" t="s">
        <v>7379</v>
      </c>
      <c r="F1476" s="9" t="s">
        <v>8120</v>
      </c>
      <c r="G1476" s="285" t="s">
        <v>4946</v>
      </c>
      <c r="H1476" s="37" t="s">
        <v>5127</v>
      </c>
      <c r="I1476" s="289"/>
      <c r="J1476" s="285" t="s">
        <v>3136</v>
      </c>
      <c r="K1476" s="14">
        <v>43199</v>
      </c>
      <c r="L1476" s="285">
        <v>274</v>
      </c>
      <c r="M1476" s="15">
        <v>43095</v>
      </c>
      <c r="N1476" s="24">
        <v>1</v>
      </c>
      <c r="O1476" s="63">
        <v>75100</v>
      </c>
      <c r="P1476" s="63">
        <v>53643</v>
      </c>
      <c r="Q1476" s="17">
        <f t="shared" si="34"/>
        <v>21457</v>
      </c>
      <c r="R1476" s="285" t="s">
        <v>8121</v>
      </c>
      <c r="S1476" s="14">
        <v>43094</v>
      </c>
      <c r="T1476" s="22" t="s">
        <v>8122</v>
      </c>
    </row>
    <row r="1477" spans="1:20" ht="75" customHeight="1" x14ac:dyDescent="0.2">
      <c r="A1477" s="21">
        <v>1503</v>
      </c>
      <c r="B1477" s="12" t="s">
        <v>8138</v>
      </c>
      <c r="C1477" s="289"/>
      <c r="D1477" s="9" t="s">
        <v>8139</v>
      </c>
      <c r="E1477" s="22" t="s">
        <v>8071</v>
      </c>
      <c r="F1477" s="9" t="s">
        <v>8140</v>
      </c>
      <c r="G1477" s="285" t="s">
        <v>4296</v>
      </c>
      <c r="H1477" s="285" t="s">
        <v>3793</v>
      </c>
      <c r="I1477" s="289"/>
      <c r="J1477" s="285" t="s">
        <v>3136</v>
      </c>
      <c r="K1477" s="14">
        <v>43210</v>
      </c>
      <c r="L1477" s="285">
        <v>321</v>
      </c>
      <c r="M1477" s="15">
        <v>43195</v>
      </c>
      <c r="N1477" s="24">
        <v>1</v>
      </c>
      <c r="O1477" s="63">
        <v>97026.27</v>
      </c>
      <c r="P1477" s="63">
        <v>45278.8</v>
      </c>
      <c r="Q1477" s="17">
        <f t="shared" si="34"/>
        <v>51747.47</v>
      </c>
      <c r="R1477" s="285" t="s">
        <v>8141</v>
      </c>
      <c r="S1477" s="14">
        <v>43165</v>
      </c>
      <c r="T1477" s="22" t="s">
        <v>8142</v>
      </c>
    </row>
    <row r="1478" spans="1:20" ht="49.5" customHeight="1" x14ac:dyDescent="0.2">
      <c r="A1478" s="21">
        <v>1504</v>
      </c>
      <c r="B1478" s="12" t="s">
        <v>8143</v>
      </c>
      <c r="C1478" s="289"/>
      <c r="D1478" s="9" t="s">
        <v>8101</v>
      </c>
      <c r="E1478" s="22" t="s">
        <v>8071</v>
      </c>
      <c r="F1478" s="9" t="s">
        <v>8144</v>
      </c>
      <c r="G1478" s="285" t="s">
        <v>7982</v>
      </c>
      <c r="H1478" s="285" t="s">
        <v>5127</v>
      </c>
      <c r="I1478" s="289"/>
      <c r="J1478" s="285" t="s">
        <v>3136</v>
      </c>
      <c r="K1478" s="14">
        <v>43210</v>
      </c>
      <c r="L1478" s="285">
        <v>319</v>
      </c>
      <c r="M1478" s="15">
        <v>43187</v>
      </c>
      <c r="N1478" s="24">
        <v>1</v>
      </c>
      <c r="O1478" s="63">
        <v>3500</v>
      </c>
      <c r="P1478" s="63">
        <v>3500</v>
      </c>
      <c r="Q1478" s="17">
        <f t="shared" si="34"/>
        <v>0</v>
      </c>
      <c r="R1478" s="285" t="s">
        <v>7828</v>
      </c>
      <c r="S1478" s="14">
        <v>43178</v>
      </c>
      <c r="T1478" s="22" t="s">
        <v>8145</v>
      </c>
    </row>
    <row r="1479" spans="1:20" ht="49.5" customHeight="1" x14ac:dyDescent="0.2">
      <c r="A1479" s="21">
        <v>1505</v>
      </c>
      <c r="B1479" s="12" t="s">
        <v>8151</v>
      </c>
      <c r="C1479" s="289"/>
      <c r="D1479" s="9" t="s">
        <v>8152</v>
      </c>
      <c r="E1479" s="22" t="s">
        <v>8071</v>
      </c>
      <c r="F1479" s="9" t="s">
        <v>8153</v>
      </c>
      <c r="G1479" s="285" t="s">
        <v>4296</v>
      </c>
      <c r="H1479" s="285" t="s">
        <v>3793</v>
      </c>
      <c r="I1479" s="289"/>
      <c r="J1479" s="285" t="s">
        <v>3136</v>
      </c>
      <c r="K1479" s="14">
        <v>43218</v>
      </c>
      <c r="L1479" s="285">
        <v>383</v>
      </c>
      <c r="M1479" s="15">
        <v>43210</v>
      </c>
      <c r="N1479" s="24">
        <v>1</v>
      </c>
      <c r="O1479" s="63">
        <v>74576.27</v>
      </c>
      <c r="P1479" s="63">
        <v>34802.32</v>
      </c>
      <c r="Q1479" s="17">
        <f t="shared" si="34"/>
        <v>39773.950000000004</v>
      </c>
      <c r="R1479" s="285" t="s">
        <v>5110</v>
      </c>
      <c r="S1479" s="14">
        <v>43091</v>
      </c>
      <c r="T1479" s="22" t="s">
        <v>8154</v>
      </c>
    </row>
    <row r="1480" spans="1:20" ht="56.25" customHeight="1" x14ac:dyDescent="0.2">
      <c r="A1480" s="21">
        <v>1506</v>
      </c>
      <c r="B1480" s="12" t="s">
        <v>8158</v>
      </c>
      <c r="C1480" s="289"/>
      <c r="D1480" s="9" t="s">
        <v>8160</v>
      </c>
      <c r="E1480" s="22" t="s">
        <v>8071</v>
      </c>
      <c r="F1480" s="9" t="s">
        <v>3338</v>
      </c>
      <c r="G1480" s="285" t="s">
        <v>4946</v>
      </c>
      <c r="H1480" s="285" t="s">
        <v>5127</v>
      </c>
      <c r="I1480" s="289"/>
      <c r="J1480" s="285" t="s">
        <v>3136</v>
      </c>
      <c r="K1480" s="14">
        <v>43237</v>
      </c>
      <c r="L1480" s="285">
        <v>422</v>
      </c>
      <c r="M1480" s="15">
        <v>43206</v>
      </c>
      <c r="N1480" s="24">
        <v>1</v>
      </c>
      <c r="O1480" s="63">
        <v>8548</v>
      </c>
      <c r="P1480" s="63">
        <v>8548</v>
      </c>
      <c r="Q1480" s="17">
        <f t="shared" si="34"/>
        <v>0</v>
      </c>
      <c r="R1480" s="285" t="s">
        <v>7828</v>
      </c>
      <c r="S1480" s="14">
        <v>43206</v>
      </c>
      <c r="T1480" s="22" t="s">
        <v>8159</v>
      </c>
    </row>
    <row r="1481" spans="1:20" ht="56.25" customHeight="1" x14ac:dyDescent="0.2">
      <c r="A1481" s="21">
        <v>1507</v>
      </c>
      <c r="B1481" s="12" t="s">
        <v>8173</v>
      </c>
      <c r="C1481" s="289"/>
      <c r="D1481" s="9" t="s">
        <v>8174</v>
      </c>
      <c r="E1481" s="22" t="s">
        <v>8071</v>
      </c>
      <c r="F1481" s="9" t="s">
        <v>8175</v>
      </c>
      <c r="G1481" s="285" t="s">
        <v>7981</v>
      </c>
      <c r="H1481" s="285" t="s">
        <v>5127</v>
      </c>
      <c r="I1481" s="18"/>
      <c r="J1481" s="285" t="s">
        <v>3136</v>
      </c>
      <c r="K1481" s="14">
        <v>43237</v>
      </c>
      <c r="L1481" s="285">
        <v>425</v>
      </c>
      <c r="M1481" s="15">
        <v>43228</v>
      </c>
      <c r="N1481" s="24">
        <v>1</v>
      </c>
      <c r="O1481" s="63">
        <v>9990</v>
      </c>
      <c r="P1481" s="63">
        <v>9990</v>
      </c>
      <c r="Q1481" s="17">
        <f t="shared" si="34"/>
        <v>0</v>
      </c>
      <c r="R1481" s="285" t="s">
        <v>7828</v>
      </c>
      <c r="S1481" s="14">
        <v>43214</v>
      </c>
      <c r="T1481" s="22" t="s">
        <v>8176</v>
      </c>
    </row>
    <row r="1482" spans="1:20" ht="123.75" customHeight="1" x14ac:dyDescent="0.2">
      <c r="A1482" s="21">
        <v>1508</v>
      </c>
      <c r="B1482" s="12" t="s">
        <v>8218</v>
      </c>
      <c r="C1482" s="289"/>
      <c r="D1482" s="9" t="s">
        <v>8226</v>
      </c>
      <c r="E1482" s="22" t="s">
        <v>8071</v>
      </c>
      <c r="F1482" s="9" t="s">
        <v>8223</v>
      </c>
      <c r="G1482" s="285" t="s">
        <v>4296</v>
      </c>
      <c r="H1482" s="285" t="s">
        <v>3793</v>
      </c>
      <c r="I1482" s="289"/>
      <c r="J1482" s="285" t="s">
        <v>3136</v>
      </c>
      <c r="K1482" s="14">
        <v>43250</v>
      </c>
      <c r="L1482" s="285">
        <v>494</v>
      </c>
      <c r="M1482" s="15">
        <v>43234</v>
      </c>
      <c r="N1482" s="24">
        <v>1</v>
      </c>
      <c r="O1482" s="63">
        <v>54237.29</v>
      </c>
      <c r="P1482" s="178">
        <v>54237.29</v>
      </c>
      <c r="Q1482" s="17">
        <f t="shared" si="34"/>
        <v>0</v>
      </c>
      <c r="R1482" s="285" t="s">
        <v>8224</v>
      </c>
      <c r="S1482" s="14">
        <v>43165</v>
      </c>
      <c r="T1482" s="22" t="s">
        <v>8225</v>
      </c>
    </row>
    <row r="1483" spans="1:20" ht="56.25" customHeight="1" x14ac:dyDescent="0.2">
      <c r="A1483" s="21">
        <v>1509</v>
      </c>
      <c r="B1483" s="12" t="s">
        <v>8219</v>
      </c>
      <c r="C1483" s="289"/>
      <c r="D1483" s="9" t="s">
        <v>8228</v>
      </c>
      <c r="E1483" s="22" t="s">
        <v>8071</v>
      </c>
      <c r="F1483" s="9" t="s">
        <v>8227</v>
      </c>
      <c r="G1483" s="285" t="s">
        <v>4296</v>
      </c>
      <c r="H1483" s="285" t="s">
        <v>3793</v>
      </c>
      <c r="I1483" s="289"/>
      <c r="J1483" s="285" t="s">
        <v>3136</v>
      </c>
      <c r="K1483" s="14">
        <v>43250</v>
      </c>
      <c r="L1483" s="285">
        <v>494</v>
      </c>
      <c r="M1483" s="15">
        <v>43234</v>
      </c>
      <c r="N1483" s="24">
        <v>1</v>
      </c>
      <c r="O1483" s="63">
        <v>77774.289999999994</v>
      </c>
      <c r="P1483" s="178">
        <v>77774.289999999994</v>
      </c>
      <c r="Q1483" s="17">
        <f t="shared" si="34"/>
        <v>0</v>
      </c>
      <c r="R1483" s="285" t="s">
        <v>8224</v>
      </c>
      <c r="S1483" s="14">
        <v>43165</v>
      </c>
      <c r="T1483" s="22" t="s">
        <v>8225</v>
      </c>
    </row>
    <row r="1484" spans="1:20" ht="52.5" customHeight="1" x14ac:dyDescent="0.2">
      <c r="A1484" s="21">
        <v>1511</v>
      </c>
      <c r="B1484" s="12" t="s">
        <v>8221</v>
      </c>
      <c r="C1484" s="289"/>
      <c r="D1484" s="9" t="s">
        <v>8231</v>
      </c>
      <c r="E1484" s="22" t="s">
        <v>8071</v>
      </c>
      <c r="F1484" s="9" t="s">
        <v>12152</v>
      </c>
      <c r="G1484" s="285" t="s">
        <v>4296</v>
      </c>
      <c r="H1484" s="285" t="s">
        <v>3793</v>
      </c>
      <c r="I1484" s="289"/>
      <c r="J1484" s="285" t="s">
        <v>3136</v>
      </c>
      <c r="K1484" s="14" t="s">
        <v>12154</v>
      </c>
      <c r="L1484" s="285" t="s">
        <v>12155</v>
      </c>
      <c r="M1484" s="15">
        <v>43234</v>
      </c>
      <c r="N1484" s="24">
        <f>2-1</f>
        <v>1</v>
      </c>
      <c r="O1484" s="63">
        <f>125423.73-62711.86</f>
        <v>62711.869999999995</v>
      </c>
      <c r="P1484" s="178">
        <f>125423.73-62711.86</f>
        <v>62711.869999999995</v>
      </c>
      <c r="Q1484" s="17">
        <f>O1484-P1484</f>
        <v>0</v>
      </c>
      <c r="R1484" s="285" t="s">
        <v>8224</v>
      </c>
      <c r="S1484" s="14">
        <v>43165</v>
      </c>
      <c r="T1484" s="22" t="s">
        <v>8225</v>
      </c>
    </row>
    <row r="1485" spans="1:20" ht="52.5" customHeight="1" x14ac:dyDescent="0.2">
      <c r="A1485" s="21">
        <v>1512</v>
      </c>
      <c r="B1485" s="12" t="s">
        <v>8222</v>
      </c>
      <c r="C1485" s="289"/>
      <c r="D1485" s="9" t="s">
        <v>8232</v>
      </c>
      <c r="E1485" s="22" t="s">
        <v>8071</v>
      </c>
      <c r="F1485" s="9" t="s">
        <v>12153</v>
      </c>
      <c r="G1485" s="285" t="s">
        <v>4296</v>
      </c>
      <c r="H1485" s="285" t="s">
        <v>3793</v>
      </c>
      <c r="I1485" s="289"/>
      <c r="J1485" s="285" t="s">
        <v>3136</v>
      </c>
      <c r="K1485" s="14" t="s">
        <v>12154</v>
      </c>
      <c r="L1485" s="285" t="s">
        <v>12155</v>
      </c>
      <c r="M1485" s="15">
        <v>43234</v>
      </c>
      <c r="N1485" s="24">
        <f>4-1</f>
        <v>3</v>
      </c>
      <c r="O1485" s="63">
        <f>162711.87-40677.96</f>
        <v>122033.91</v>
      </c>
      <c r="P1485" s="178">
        <f>162711.87-40677.96</f>
        <v>122033.91</v>
      </c>
      <c r="Q1485" s="17">
        <f>O1485-P1485</f>
        <v>0</v>
      </c>
      <c r="R1485" s="285" t="s">
        <v>8224</v>
      </c>
      <c r="S1485" s="14">
        <v>43165</v>
      </c>
      <c r="T1485" s="22" t="s">
        <v>8225</v>
      </c>
    </row>
    <row r="1486" spans="1:20" ht="56.25" customHeight="1" x14ac:dyDescent="0.2">
      <c r="A1486" s="21">
        <v>1510</v>
      </c>
      <c r="B1486" s="12" t="s">
        <v>8220</v>
      </c>
      <c r="C1486" s="289"/>
      <c r="D1486" s="9" t="s">
        <v>8229</v>
      </c>
      <c r="E1486" s="22" t="s">
        <v>7379</v>
      </c>
      <c r="F1486" s="9" t="s">
        <v>8230</v>
      </c>
      <c r="G1486" s="285" t="s">
        <v>4296</v>
      </c>
      <c r="H1486" s="285" t="s">
        <v>3793</v>
      </c>
      <c r="I1486" s="289"/>
      <c r="J1486" s="285" t="s">
        <v>3136</v>
      </c>
      <c r="K1486" s="14">
        <v>43250</v>
      </c>
      <c r="L1486" s="285">
        <v>494</v>
      </c>
      <c r="M1486" s="15">
        <v>43234</v>
      </c>
      <c r="N1486" s="24">
        <v>1</v>
      </c>
      <c r="O1486" s="63">
        <v>30508.47</v>
      </c>
      <c r="P1486" s="178">
        <v>30508.47</v>
      </c>
      <c r="Q1486" s="17">
        <f t="shared" si="34"/>
        <v>0</v>
      </c>
      <c r="R1486" s="285" t="s">
        <v>8224</v>
      </c>
      <c r="S1486" s="14">
        <v>43165</v>
      </c>
      <c r="T1486" s="22" t="s">
        <v>8225</v>
      </c>
    </row>
    <row r="1487" spans="1:20" ht="51.75" customHeight="1" x14ac:dyDescent="0.2">
      <c r="A1487" s="21">
        <v>1513</v>
      </c>
      <c r="B1487" s="12" t="s">
        <v>8233</v>
      </c>
      <c r="C1487" s="289"/>
      <c r="D1487" s="9" t="s">
        <v>8234</v>
      </c>
      <c r="E1487" s="22" t="s">
        <v>8071</v>
      </c>
      <c r="F1487" s="9" t="s">
        <v>8235</v>
      </c>
      <c r="G1487" s="285" t="s">
        <v>4296</v>
      </c>
      <c r="H1487" s="285" t="s">
        <v>3793</v>
      </c>
      <c r="I1487" s="289"/>
      <c r="J1487" s="285" t="s">
        <v>3136</v>
      </c>
      <c r="K1487" s="14">
        <v>43250</v>
      </c>
      <c r="L1487" s="285">
        <v>494</v>
      </c>
      <c r="M1487" s="15">
        <v>43234</v>
      </c>
      <c r="N1487" s="24">
        <v>1</v>
      </c>
      <c r="O1487" s="63">
        <v>40677.96</v>
      </c>
      <c r="P1487" s="178">
        <v>40677.96</v>
      </c>
      <c r="Q1487" s="17">
        <f t="shared" si="34"/>
        <v>0</v>
      </c>
      <c r="R1487" s="285" t="s">
        <v>8224</v>
      </c>
      <c r="S1487" s="14">
        <v>43165</v>
      </c>
      <c r="T1487" s="22" t="s">
        <v>8225</v>
      </c>
    </row>
    <row r="1488" spans="1:20" ht="51.75" customHeight="1" x14ac:dyDescent="0.2">
      <c r="A1488" s="21">
        <v>1514</v>
      </c>
      <c r="B1488" s="12" t="s">
        <v>8254</v>
      </c>
      <c r="C1488" s="289"/>
      <c r="D1488" s="9" t="s">
        <v>8255</v>
      </c>
      <c r="E1488" s="22" t="s">
        <v>8071</v>
      </c>
      <c r="F1488" s="9" t="s">
        <v>8256</v>
      </c>
      <c r="G1488" s="285" t="s">
        <v>7934</v>
      </c>
      <c r="H1488" s="285" t="s">
        <v>5127</v>
      </c>
      <c r="I1488" s="18"/>
      <c r="J1488" s="285" t="s">
        <v>3136</v>
      </c>
      <c r="K1488" s="14">
        <v>43258</v>
      </c>
      <c r="L1488" s="285">
        <v>538</v>
      </c>
      <c r="M1488" s="15">
        <v>43242</v>
      </c>
      <c r="N1488" s="24">
        <v>1</v>
      </c>
      <c r="O1488" s="63">
        <v>24499</v>
      </c>
      <c r="P1488" s="63">
        <v>24499</v>
      </c>
      <c r="Q1488" s="17">
        <f t="shared" si="34"/>
        <v>0</v>
      </c>
      <c r="R1488" s="285" t="s">
        <v>3418</v>
      </c>
      <c r="S1488" s="14">
        <v>43242</v>
      </c>
      <c r="T1488" s="22" t="s">
        <v>8257</v>
      </c>
    </row>
    <row r="1489" spans="1:20" ht="48" customHeight="1" x14ac:dyDescent="0.2">
      <c r="A1489" s="21">
        <v>1515</v>
      </c>
      <c r="B1489" s="12" t="s">
        <v>8279</v>
      </c>
      <c r="C1489" s="289"/>
      <c r="D1489" s="9" t="s">
        <v>8280</v>
      </c>
      <c r="E1489" s="22" t="s">
        <v>8071</v>
      </c>
      <c r="F1489" s="9" t="s">
        <v>8281</v>
      </c>
      <c r="G1489" s="285" t="s">
        <v>4296</v>
      </c>
      <c r="H1489" s="285" t="s">
        <v>3793</v>
      </c>
      <c r="I1489" s="289"/>
      <c r="J1489" s="285" t="s">
        <v>3136</v>
      </c>
      <c r="K1489" s="14">
        <v>43277</v>
      </c>
      <c r="L1489" s="285">
        <v>603</v>
      </c>
      <c r="M1489" s="15">
        <v>43258</v>
      </c>
      <c r="N1489" s="24">
        <v>1</v>
      </c>
      <c r="O1489" s="63">
        <v>5360</v>
      </c>
      <c r="P1489" s="63">
        <v>5360</v>
      </c>
      <c r="Q1489" s="17">
        <f t="shared" si="34"/>
        <v>0</v>
      </c>
      <c r="R1489" s="285" t="s">
        <v>5110</v>
      </c>
      <c r="S1489" s="14">
        <v>43241</v>
      </c>
      <c r="T1489" s="22" t="s">
        <v>8282</v>
      </c>
    </row>
    <row r="1490" spans="1:20" ht="48" customHeight="1" x14ac:dyDescent="0.2">
      <c r="A1490" s="21">
        <v>1516</v>
      </c>
      <c r="B1490" s="12" t="s">
        <v>8300</v>
      </c>
      <c r="C1490" s="289"/>
      <c r="D1490" s="9" t="s">
        <v>8302</v>
      </c>
      <c r="E1490" s="22" t="s">
        <v>8071</v>
      </c>
      <c r="F1490" s="9" t="s">
        <v>8303</v>
      </c>
      <c r="G1490" s="285" t="s">
        <v>8661</v>
      </c>
      <c r="H1490" s="285" t="s">
        <v>5127</v>
      </c>
      <c r="I1490" s="18"/>
      <c r="J1490" s="285" t="s">
        <v>3136</v>
      </c>
      <c r="K1490" s="14">
        <v>43321</v>
      </c>
      <c r="L1490" s="285">
        <v>789</v>
      </c>
      <c r="M1490" s="15">
        <v>43291</v>
      </c>
      <c r="N1490" s="24">
        <v>1</v>
      </c>
      <c r="O1490" s="63">
        <v>14200</v>
      </c>
      <c r="P1490" s="63">
        <v>14200</v>
      </c>
      <c r="Q1490" s="17">
        <f t="shared" si="34"/>
        <v>0</v>
      </c>
      <c r="R1490" s="285" t="s">
        <v>5110</v>
      </c>
      <c r="S1490" s="14">
        <v>43279</v>
      </c>
      <c r="T1490" s="22" t="s">
        <v>8304</v>
      </c>
    </row>
    <row r="1491" spans="1:20" ht="56.25" customHeight="1" x14ac:dyDescent="0.2">
      <c r="A1491" s="21">
        <v>1517</v>
      </c>
      <c r="B1491" s="12" t="s">
        <v>8301</v>
      </c>
      <c r="C1491" s="289"/>
      <c r="D1491" s="13" t="s">
        <v>8305</v>
      </c>
      <c r="E1491" s="22" t="s">
        <v>8071</v>
      </c>
      <c r="F1491" s="9" t="s">
        <v>8306</v>
      </c>
      <c r="G1491" s="285" t="s">
        <v>9194</v>
      </c>
      <c r="H1491" s="285" t="s">
        <v>5127</v>
      </c>
      <c r="I1491" s="18"/>
      <c r="J1491" s="285" t="s">
        <v>3136</v>
      </c>
      <c r="K1491" s="14">
        <v>43321</v>
      </c>
      <c r="L1491" s="285">
        <v>789</v>
      </c>
      <c r="M1491" s="15">
        <v>43291</v>
      </c>
      <c r="N1491" s="24">
        <v>1</v>
      </c>
      <c r="O1491" s="63">
        <v>7950</v>
      </c>
      <c r="P1491" s="63">
        <v>7950</v>
      </c>
      <c r="Q1491" s="17">
        <f t="shared" si="34"/>
        <v>0</v>
      </c>
      <c r="R1491" s="285" t="s">
        <v>5110</v>
      </c>
      <c r="S1491" s="14">
        <v>43279</v>
      </c>
      <c r="T1491" s="22" t="s">
        <v>8304</v>
      </c>
    </row>
    <row r="1492" spans="1:20" ht="55.5" customHeight="1" x14ac:dyDescent="0.2">
      <c r="A1492" s="21">
        <v>1518</v>
      </c>
      <c r="B1492" s="12" t="s">
        <v>8307</v>
      </c>
      <c r="C1492" s="289"/>
      <c r="D1492" s="13" t="s">
        <v>8313</v>
      </c>
      <c r="E1492" s="22" t="s">
        <v>8071</v>
      </c>
      <c r="F1492" s="9" t="s">
        <v>8314</v>
      </c>
      <c r="G1492" s="285" t="s">
        <v>7983</v>
      </c>
      <c r="H1492" s="285" t="s">
        <v>5127</v>
      </c>
      <c r="I1492" s="18"/>
      <c r="J1492" s="285" t="s">
        <v>3136</v>
      </c>
      <c r="K1492" s="14">
        <v>43321</v>
      </c>
      <c r="L1492" s="285">
        <v>787</v>
      </c>
      <c r="M1492" s="15">
        <v>43243</v>
      </c>
      <c r="N1492" s="24">
        <v>1</v>
      </c>
      <c r="O1492" s="63">
        <v>89959.1</v>
      </c>
      <c r="P1492" s="63">
        <v>89959.1</v>
      </c>
      <c r="Q1492" s="17">
        <f t="shared" si="34"/>
        <v>0</v>
      </c>
      <c r="R1492" s="285" t="s">
        <v>412</v>
      </c>
      <c r="S1492" s="14" t="s">
        <v>8315</v>
      </c>
      <c r="T1492" s="22" t="s">
        <v>8316</v>
      </c>
    </row>
    <row r="1493" spans="1:20" ht="61.5" customHeight="1" x14ac:dyDescent="0.2">
      <c r="A1493" s="21">
        <v>1519</v>
      </c>
      <c r="B1493" s="12" t="s">
        <v>8308</v>
      </c>
      <c r="C1493" s="289"/>
      <c r="D1493" s="13" t="s">
        <v>8317</v>
      </c>
      <c r="E1493" s="22" t="s">
        <v>8071</v>
      </c>
      <c r="F1493" s="9" t="s">
        <v>8318</v>
      </c>
      <c r="G1493" s="285" t="s">
        <v>7983</v>
      </c>
      <c r="H1493" s="285" t="s">
        <v>5127</v>
      </c>
      <c r="I1493" s="18"/>
      <c r="J1493" s="285" t="s">
        <v>3136</v>
      </c>
      <c r="K1493" s="14">
        <v>43321</v>
      </c>
      <c r="L1493" s="285">
        <v>787</v>
      </c>
      <c r="M1493" s="15">
        <v>43243</v>
      </c>
      <c r="N1493" s="24">
        <v>1</v>
      </c>
      <c r="O1493" s="63">
        <v>12400</v>
      </c>
      <c r="P1493" s="63">
        <v>12400</v>
      </c>
      <c r="Q1493" s="17">
        <f t="shared" si="34"/>
        <v>0</v>
      </c>
      <c r="R1493" s="285" t="s">
        <v>412</v>
      </c>
      <c r="S1493" s="14" t="s">
        <v>8315</v>
      </c>
      <c r="T1493" s="22" t="s">
        <v>8316</v>
      </c>
    </row>
    <row r="1494" spans="1:20" ht="27.75" customHeight="1" x14ac:dyDescent="0.2">
      <c r="A1494" s="21">
        <v>1520</v>
      </c>
      <c r="B1494" s="12" t="s">
        <v>8309</v>
      </c>
      <c r="C1494" s="289"/>
      <c r="D1494" s="13" t="s">
        <v>8319</v>
      </c>
      <c r="E1494" s="22" t="s">
        <v>8071</v>
      </c>
      <c r="F1494" s="9" t="s">
        <v>8320</v>
      </c>
      <c r="G1494" s="285" t="s">
        <v>7983</v>
      </c>
      <c r="H1494" s="285" t="s">
        <v>5127</v>
      </c>
      <c r="I1494" s="18"/>
      <c r="J1494" s="285" t="s">
        <v>3136</v>
      </c>
      <c r="K1494" s="14">
        <v>43321</v>
      </c>
      <c r="L1494" s="285">
        <v>787</v>
      </c>
      <c r="M1494" s="15">
        <v>43243</v>
      </c>
      <c r="N1494" s="24">
        <v>1</v>
      </c>
      <c r="O1494" s="63">
        <v>38600</v>
      </c>
      <c r="P1494" s="63">
        <v>38600</v>
      </c>
      <c r="Q1494" s="17">
        <f t="shared" si="34"/>
        <v>0</v>
      </c>
      <c r="R1494" s="285" t="s">
        <v>412</v>
      </c>
      <c r="S1494" s="14" t="s">
        <v>8315</v>
      </c>
      <c r="T1494" s="22" t="s">
        <v>8316</v>
      </c>
    </row>
    <row r="1495" spans="1:20" ht="40.5" customHeight="1" x14ac:dyDescent="0.2">
      <c r="A1495" s="21">
        <v>1521</v>
      </c>
      <c r="B1495" s="12" t="s">
        <v>8310</v>
      </c>
      <c r="C1495" s="289"/>
      <c r="D1495" s="13" t="s">
        <v>8321</v>
      </c>
      <c r="E1495" s="22" t="s">
        <v>8071</v>
      </c>
      <c r="F1495" s="9" t="s">
        <v>8322</v>
      </c>
      <c r="G1495" s="285" t="s">
        <v>7983</v>
      </c>
      <c r="H1495" s="285" t="s">
        <v>5127</v>
      </c>
      <c r="I1495" s="18"/>
      <c r="J1495" s="285" t="s">
        <v>3136</v>
      </c>
      <c r="K1495" s="14">
        <v>43321</v>
      </c>
      <c r="L1495" s="285">
        <v>787</v>
      </c>
      <c r="M1495" s="15">
        <v>43243</v>
      </c>
      <c r="N1495" s="24">
        <v>1</v>
      </c>
      <c r="O1495" s="63">
        <v>10700</v>
      </c>
      <c r="P1495" s="63">
        <v>10700</v>
      </c>
      <c r="Q1495" s="17">
        <f t="shared" ref="Q1495:Q1526" si="35">O1495-P1495</f>
        <v>0</v>
      </c>
      <c r="R1495" s="285" t="s">
        <v>412</v>
      </c>
      <c r="S1495" s="14" t="s">
        <v>8315</v>
      </c>
      <c r="T1495" s="22" t="s">
        <v>8316</v>
      </c>
    </row>
    <row r="1496" spans="1:20" ht="52.5" customHeight="1" x14ac:dyDescent="0.2">
      <c r="A1496" s="21">
        <v>1522</v>
      </c>
      <c r="B1496" s="12" t="s">
        <v>8311</v>
      </c>
      <c r="C1496" s="289"/>
      <c r="D1496" s="13" t="s">
        <v>8325</v>
      </c>
      <c r="E1496" s="22" t="s">
        <v>8071</v>
      </c>
      <c r="F1496" s="9" t="s">
        <v>8326</v>
      </c>
      <c r="G1496" s="285" t="s">
        <v>7983</v>
      </c>
      <c r="H1496" s="285" t="s">
        <v>5127</v>
      </c>
      <c r="I1496" s="18"/>
      <c r="J1496" s="285" t="s">
        <v>3136</v>
      </c>
      <c r="K1496" s="14">
        <v>43321</v>
      </c>
      <c r="L1496" s="285">
        <v>787</v>
      </c>
      <c r="M1496" s="15">
        <v>43243</v>
      </c>
      <c r="N1496" s="24">
        <v>1</v>
      </c>
      <c r="O1496" s="63">
        <v>37300</v>
      </c>
      <c r="P1496" s="63">
        <v>37300</v>
      </c>
      <c r="Q1496" s="17">
        <f t="shared" si="35"/>
        <v>0</v>
      </c>
      <c r="R1496" s="285" t="s">
        <v>412</v>
      </c>
      <c r="S1496" s="14" t="s">
        <v>8315</v>
      </c>
      <c r="T1496" s="22" t="s">
        <v>8316</v>
      </c>
    </row>
    <row r="1497" spans="1:20" ht="52.5" customHeight="1" x14ac:dyDescent="0.2">
      <c r="A1497" s="21">
        <v>1523</v>
      </c>
      <c r="B1497" s="12" t="s">
        <v>8312</v>
      </c>
      <c r="C1497" s="289"/>
      <c r="D1497" s="13" t="s">
        <v>8327</v>
      </c>
      <c r="E1497" s="22" t="s">
        <v>8071</v>
      </c>
      <c r="F1497" s="9" t="s">
        <v>8328</v>
      </c>
      <c r="G1497" s="285" t="s">
        <v>7983</v>
      </c>
      <c r="H1497" s="285" t="s">
        <v>5127</v>
      </c>
      <c r="I1497" s="18"/>
      <c r="J1497" s="285" t="s">
        <v>3136</v>
      </c>
      <c r="K1497" s="14">
        <v>43321</v>
      </c>
      <c r="L1497" s="285">
        <v>787</v>
      </c>
      <c r="M1497" s="15">
        <v>43243</v>
      </c>
      <c r="N1497" s="24">
        <v>1</v>
      </c>
      <c r="O1497" s="63">
        <v>8400</v>
      </c>
      <c r="P1497" s="63">
        <v>8400</v>
      </c>
      <c r="Q1497" s="17">
        <f t="shared" si="35"/>
        <v>0</v>
      </c>
      <c r="R1497" s="285" t="s">
        <v>412</v>
      </c>
      <c r="S1497" s="14" t="s">
        <v>8315</v>
      </c>
      <c r="T1497" s="22" t="s">
        <v>8316</v>
      </c>
    </row>
    <row r="1498" spans="1:20" ht="102" customHeight="1" x14ac:dyDescent="0.2">
      <c r="A1498" s="21">
        <v>1524</v>
      </c>
      <c r="B1498" s="12" t="s">
        <v>8323</v>
      </c>
      <c r="C1498" s="289"/>
      <c r="D1498" s="13" t="s">
        <v>8329</v>
      </c>
      <c r="E1498" s="22" t="s">
        <v>8071</v>
      </c>
      <c r="F1498" s="9"/>
      <c r="G1498" s="285" t="s">
        <v>7983</v>
      </c>
      <c r="H1498" s="285" t="s">
        <v>5127</v>
      </c>
      <c r="I1498" s="18"/>
      <c r="J1498" s="285" t="s">
        <v>3136</v>
      </c>
      <c r="K1498" s="14">
        <v>43321</v>
      </c>
      <c r="L1498" s="285">
        <v>787</v>
      </c>
      <c r="M1498" s="15">
        <v>43243</v>
      </c>
      <c r="N1498" s="24">
        <v>1</v>
      </c>
      <c r="O1498" s="63">
        <v>900</v>
      </c>
      <c r="P1498" s="63">
        <v>900</v>
      </c>
      <c r="Q1498" s="17">
        <f t="shared" si="35"/>
        <v>0</v>
      </c>
      <c r="R1498" s="285" t="s">
        <v>412</v>
      </c>
      <c r="S1498" s="14" t="s">
        <v>8315</v>
      </c>
      <c r="T1498" s="22" t="s">
        <v>8316</v>
      </c>
    </row>
    <row r="1499" spans="1:20" ht="48" customHeight="1" x14ac:dyDescent="0.2">
      <c r="A1499" s="21">
        <v>1525</v>
      </c>
      <c r="B1499" s="12" t="s">
        <v>8324</v>
      </c>
      <c r="C1499" s="289"/>
      <c r="D1499" s="13" t="s">
        <v>8330</v>
      </c>
      <c r="E1499" s="22" t="s">
        <v>8071</v>
      </c>
      <c r="F1499" s="9" t="s">
        <v>8331</v>
      </c>
      <c r="G1499" s="285" t="s">
        <v>7983</v>
      </c>
      <c r="H1499" s="285" t="s">
        <v>5127</v>
      </c>
      <c r="I1499" s="18"/>
      <c r="J1499" s="285" t="s">
        <v>3136</v>
      </c>
      <c r="K1499" s="14">
        <v>43321</v>
      </c>
      <c r="L1499" s="285">
        <v>787</v>
      </c>
      <c r="M1499" s="15">
        <v>43243</v>
      </c>
      <c r="N1499" s="24">
        <v>1</v>
      </c>
      <c r="O1499" s="63">
        <v>1257</v>
      </c>
      <c r="P1499" s="63">
        <v>1257</v>
      </c>
      <c r="Q1499" s="17">
        <f t="shared" si="35"/>
        <v>0</v>
      </c>
      <c r="R1499" s="285" t="s">
        <v>412</v>
      </c>
      <c r="S1499" s="14" t="s">
        <v>8315</v>
      </c>
      <c r="T1499" s="22" t="s">
        <v>8316</v>
      </c>
    </row>
    <row r="1500" spans="1:20" ht="48" customHeight="1" x14ac:dyDescent="0.2">
      <c r="A1500" s="21">
        <v>1526</v>
      </c>
      <c r="B1500" s="12" t="s">
        <v>8332</v>
      </c>
      <c r="C1500" s="289"/>
      <c r="D1500" s="13" t="s">
        <v>8336</v>
      </c>
      <c r="E1500" s="22" t="s">
        <v>8071</v>
      </c>
      <c r="F1500" s="9" t="s">
        <v>8337</v>
      </c>
      <c r="G1500" s="285" t="s">
        <v>7983</v>
      </c>
      <c r="H1500" s="285" t="s">
        <v>5127</v>
      </c>
      <c r="I1500" s="18"/>
      <c r="J1500" s="285" t="s">
        <v>3136</v>
      </c>
      <c r="K1500" s="14">
        <v>43321</v>
      </c>
      <c r="L1500" s="285">
        <v>787</v>
      </c>
      <c r="M1500" s="15">
        <v>43243</v>
      </c>
      <c r="N1500" s="24">
        <v>1</v>
      </c>
      <c r="O1500" s="63">
        <v>320</v>
      </c>
      <c r="P1500" s="63">
        <v>320</v>
      </c>
      <c r="Q1500" s="17">
        <f t="shared" si="35"/>
        <v>0</v>
      </c>
      <c r="R1500" s="285" t="s">
        <v>412</v>
      </c>
      <c r="S1500" s="14" t="s">
        <v>8315</v>
      </c>
      <c r="T1500" s="22" t="s">
        <v>8316</v>
      </c>
    </row>
    <row r="1501" spans="1:20" ht="144" customHeight="1" x14ac:dyDescent="0.2">
      <c r="A1501" s="21">
        <v>1527</v>
      </c>
      <c r="B1501" s="12" t="s">
        <v>8333</v>
      </c>
      <c r="C1501" s="289"/>
      <c r="D1501" s="13" t="s">
        <v>8338</v>
      </c>
      <c r="E1501" s="22" t="s">
        <v>8071</v>
      </c>
      <c r="F1501" s="9" t="s">
        <v>8339</v>
      </c>
      <c r="G1501" s="285" t="s">
        <v>7983</v>
      </c>
      <c r="H1501" s="285" t="s">
        <v>5127</v>
      </c>
      <c r="I1501" s="18"/>
      <c r="J1501" s="285" t="s">
        <v>3136</v>
      </c>
      <c r="K1501" s="14">
        <v>43321</v>
      </c>
      <c r="L1501" s="285">
        <v>787</v>
      </c>
      <c r="M1501" s="15">
        <v>43243</v>
      </c>
      <c r="N1501" s="24">
        <v>1</v>
      </c>
      <c r="O1501" s="63">
        <v>1550</v>
      </c>
      <c r="P1501" s="63">
        <v>1550</v>
      </c>
      <c r="Q1501" s="17">
        <f t="shared" si="35"/>
        <v>0</v>
      </c>
      <c r="R1501" s="285" t="s">
        <v>412</v>
      </c>
      <c r="S1501" s="14" t="s">
        <v>8315</v>
      </c>
      <c r="T1501" s="22" t="s">
        <v>8316</v>
      </c>
    </row>
    <row r="1502" spans="1:20" ht="124.5" customHeight="1" x14ac:dyDescent="0.2">
      <c r="A1502" s="21">
        <v>1528</v>
      </c>
      <c r="B1502" s="12" t="s">
        <v>8334</v>
      </c>
      <c r="C1502" s="289"/>
      <c r="D1502" s="13" t="s">
        <v>8341</v>
      </c>
      <c r="E1502" s="22" t="s">
        <v>8071</v>
      </c>
      <c r="F1502" s="9" t="s">
        <v>8340</v>
      </c>
      <c r="G1502" s="285" t="s">
        <v>7983</v>
      </c>
      <c r="H1502" s="285" t="s">
        <v>5127</v>
      </c>
      <c r="I1502" s="18"/>
      <c r="J1502" s="285" t="s">
        <v>3136</v>
      </c>
      <c r="K1502" s="14">
        <v>43321</v>
      </c>
      <c r="L1502" s="285">
        <v>787</v>
      </c>
      <c r="M1502" s="15">
        <v>43243</v>
      </c>
      <c r="N1502" s="24">
        <v>1</v>
      </c>
      <c r="O1502" s="63">
        <v>540</v>
      </c>
      <c r="P1502" s="63">
        <v>540</v>
      </c>
      <c r="Q1502" s="17">
        <f t="shared" si="35"/>
        <v>0</v>
      </c>
      <c r="R1502" s="285" t="s">
        <v>412</v>
      </c>
      <c r="S1502" s="14" t="s">
        <v>8315</v>
      </c>
      <c r="T1502" s="22" t="s">
        <v>8316</v>
      </c>
    </row>
    <row r="1503" spans="1:20" ht="50.25" customHeight="1" x14ac:dyDescent="0.2">
      <c r="A1503" s="21">
        <v>1529</v>
      </c>
      <c r="B1503" s="12" t="s">
        <v>8335</v>
      </c>
      <c r="C1503" s="289"/>
      <c r="D1503" s="13" t="s">
        <v>8342</v>
      </c>
      <c r="E1503" s="22" t="s">
        <v>8071</v>
      </c>
      <c r="F1503" s="9"/>
      <c r="G1503" s="285" t="s">
        <v>7983</v>
      </c>
      <c r="H1503" s="285" t="s">
        <v>5127</v>
      </c>
      <c r="I1503" s="18"/>
      <c r="J1503" s="285" t="s">
        <v>3136</v>
      </c>
      <c r="K1503" s="14">
        <v>43321</v>
      </c>
      <c r="L1503" s="285">
        <v>787</v>
      </c>
      <c r="M1503" s="15">
        <v>43243</v>
      </c>
      <c r="N1503" s="24">
        <v>2</v>
      </c>
      <c r="O1503" s="63">
        <v>10000</v>
      </c>
      <c r="P1503" s="63">
        <v>10000</v>
      </c>
      <c r="Q1503" s="17">
        <f t="shared" si="35"/>
        <v>0</v>
      </c>
      <c r="R1503" s="285" t="s">
        <v>412</v>
      </c>
      <c r="S1503" s="14" t="s">
        <v>8315</v>
      </c>
      <c r="T1503" s="22" t="s">
        <v>8316</v>
      </c>
    </row>
    <row r="1504" spans="1:20" ht="50.25" customHeight="1" x14ac:dyDescent="0.2">
      <c r="A1504" s="21">
        <v>1530</v>
      </c>
      <c r="B1504" s="12" t="s">
        <v>8346</v>
      </c>
      <c r="C1504" s="289"/>
      <c r="D1504" s="13" t="s">
        <v>8347</v>
      </c>
      <c r="E1504" s="22" t="s">
        <v>8071</v>
      </c>
      <c r="F1504" s="9" t="s">
        <v>8348</v>
      </c>
      <c r="G1504" s="285" t="s">
        <v>4296</v>
      </c>
      <c r="H1504" s="285" t="s">
        <v>3793</v>
      </c>
      <c r="I1504" s="289"/>
      <c r="J1504" s="285" t="s">
        <v>3136</v>
      </c>
      <c r="K1504" s="14">
        <v>43327</v>
      </c>
      <c r="L1504" s="285">
        <v>799</v>
      </c>
      <c r="M1504" s="15">
        <v>43307</v>
      </c>
      <c r="N1504" s="24">
        <v>1</v>
      </c>
      <c r="O1504" s="63">
        <v>108474.58</v>
      </c>
      <c r="P1504" s="178">
        <v>31939.919999999998</v>
      </c>
      <c r="Q1504" s="17">
        <f t="shared" si="35"/>
        <v>76534.66</v>
      </c>
      <c r="R1504" s="285" t="s">
        <v>8349</v>
      </c>
      <c r="S1504" s="14">
        <v>43223</v>
      </c>
      <c r="T1504" s="22" t="s">
        <v>8350</v>
      </c>
    </row>
    <row r="1505" spans="1:20" ht="41.25" customHeight="1" x14ac:dyDescent="0.2">
      <c r="A1505" s="21">
        <v>1531</v>
      </c>
      <c r="B1505" s="12" t="s">
        <v>8351</v>
      </c>
      <c r="C1505" s="289" t="s">
        <v>5274</v>
      </c>
      <c r="D1505" s="13" t="s">
        <v>8352</v>
      </c>
      <c r="E1505" s="22" t="s">
        <v>8071</v>
      </c>
      <c r="F1505" s="9" t="s">
        <v>8355</v>
      </c>
      <c r="G1505" s="285" t="s">
        <v>8293</v>
      </c>
      <c r="H1505" s="285" t="s">
        <v>5127</v>
      </c>
      <c r="I1505" s="289"/>
      <c r="J1505" s="285" t="s">
        <v>3136</v>
      </c>
      <c r="K1505" s="14">
        <v>43329</v>
      </c>
      <c r="L1505" s="285">
        <v>809</v>
      </c>
      <c r="M1505" s="15">
        <v>43282</v>
      </c>
      <c r="N1505" s="24">
        <v>1</v>
      </c>
      <c r="O1505" s="63">
        <v>726374.34</v>
      </c>
      <c r="P1505" s="63">
        <v>593205.98</v>
      </c>
      <c r="Q1505" s="17">
        <f t="shared" si="35"/>
        <v>133168.35999999999</v>
      </c>
      <c r="R1505" s="285" t="s">
        <v>412</v>
      </c>
      <c r="S1505" s="14" t="s">
        <v>8353</v>
      </c>
      <c r="T1505" s="22" t="s">
        <v>8354</v>
      </c>
    </row>
    <row r="1506" spans="1:20" ht="65.25" customHeight="1" x14ac:dyDescent="0.2">
      <c r="A1506" s="21">
        <v>1532</v>
      </c>
      <c r="B1506" s="12" t="s">
        <v>8357</v>
      </c>
      <c r="C1506" s="289"/>
      <c r="D1506" s="13" t="s">
        <v>1616</v>
      </c>
      <c r="E1506" s="22" t="s">
        <v>8071</v>
      </c>
      <c r="F1506" s="9" t="s">
        <v>8358</v>
      </c>
      <c r="G1506" s="285" t="s">
        <v>8293</v>
      </c>
      <c r="H1506" s="285" t="s">
        <v>5127</v>
      </c>
      <c r="I1506" s="289"/>
      <c r="J1506" s="285" t="s">
        <v>3136</v>
      </c>
      <c r="K1506" s="14">
        <v>43364</v>
      </c>
      <c r="L1506" s="285">
        <v>909</v>
      </c>
      <c r="M1506" s="15">
        <v>43336</v>
      </c>
      <c r="N1506" s="24">
        <v>1</v>
      </c>
      <c r="O1506" s="63">
        <v>20540</v>
      </c>
      <c r="P1506" s="63">
        <v>20540</v>
      </c>
      <c r="Q1506" s="17">
        <f t="shared" si="35"/>
        <v>0</v>
      </c>
      <c r="R1506" s="285" t="s">
        <v>5363</v>
      </c>
      <c r="S1506" s="14">
        <v>43333</v>
      </c>
      <c r="T1506" s="22" t="s">
        <v>8359</v>
      </c>
    </row>
    <row r="1507" spans="1:20" ht="39.75" customHeight="1" x14ac:dyDescent="0.2">
      <c r="A1507" s="21">
        <v>1533</v>
      </c>
      <c r="B1507" s="12" t="s">
        <v>8360</v>
      </c>
      <c r="C1507" s="289"/>
      <c r="D1507" s="13" t="s">
        <v>8361</v>
      </c>
      <c r="E1507" s="22" t="s">
        <v>8071</v>
      </c>
      <c r="F1507" s="9" t="s">
        <v>8362</v>
      </c>
      <c r="G1507" s="285" t="s">
        <v>4296</v>
      </c>
      <c r="H1507" s="285" t="s">
        <v>3793</v>
      </c>
      <c r="I1507" s="289"/>
      <c r="J1507" s="285" t="s">
        <v>3136</v>
      </c>
      <c r="K1507" s="14">
        <v>43382</v>
      </c>
      <c r="L1507" s="285">
        <v>968</v>
      </c>
      <c r="M1507" s="15">
        <v>43354</v>
      </c>
      <c r="N1507" s="24">
        <v>1</v>
      </c>
      <c r="O1507" s="63">
        <v>34745.760000000002</v>
      </c>
      <c r="P1507" s="63">
        <v>34745.760000000002</v>
      </c>
      <c r="Q1507" s="17">
        <f t="shared" si="35"/>
        <v>0</v>
      </c>
      <c r="R1507" s="285" t="s">
        <v>8363</v>
      </c>
      <c r="S1507" s="14">
        <v>43223</v>
      </c>
      <c r="T1507" s="22" t="s">
        <v>8350</v>
      </c>
    </row>
    <row r="1508" spans="1:20" ht="39.75" customHeight="1" x14ac:dyDescent="0.2">
      <c r="A1508" s="21">
        <v>1534</v>
      </c>
      <c r="B1508" s="12" t="s">
        <v>8364</v>
      </c>
      <c r="C1508" s="289"/>
      <c r="D1508" s="13" t="s">
        <v>8365</v>
      </c>
      <c r="E1508" s="22" t="s">
        <v>8071</v>
      </c>
      <c r="F1508" s="9" t="s">
        <v>8366</v>
      </c>
      <c r="G1508" s="285" t="s">
        <v>2074</v>
      </c>
      <c r="H1508" s="285" t="s">
        <v>5127</v>
      </c>
      <c r="I1508" s="289"/>
      <c r="J1508" s="285" t="s">
        <v>3136</v>
      </c>
      <c r="K1508" s="14">
        <v>43382</v>
      </c>
      <c r="L1508" s="285">
        <v>972</v>
      </c>
      <c r="M1508" s="15">
        <v>43329</v>
      </c>
      <c r="N1508" s="24">
        <v>1</v>
      </c>
      <c r="O1508" s="63">
        <v>174830</v>
      </c>
      <c r="P1508" s="63">
        <v>148605.32999999999</v>
      </c>
      <c r="Q1508" s="17">
        <f t="shared" si="35"/>
        <v>26224.670000000013</v>
      </c>
      <c r="R1508" s="285" t="s">
        <v>7271</v>
      </c>
      <c r="S1508" s="14">
        <v>43304</v>
      </c>
      <c r="T1508" s="22" t="s">
        <v>8367</v>
      </c>
    </row>
    <row r="1509" spans="1:20" ht="39" customHeight="1" x14ac:dyDescent="0.2">
      <c r="A1509" s="21">
        <v>1535</v>
      </c>
      <c r="B1509" s="42" t="s">
        <v>8383</v>
      </c>
      <c r="C1509" s="30"/>
      <c r="D1509" s="47" t="s">
        <v>8384</v>
      </c>
      <c r="E1509" s="119" t="s">
        <v>8071</v>
      </c>
      <c r="F1509" s="46" t="s">
        <v>8385</v>
      </c>
      <c r="G1509" s="49" t="s">
        <v>4296</v>
      </c>
      <c r="H1509" s="49" t="s">
        <v>3793</v>
      </c>
      <c r="I1509" s="30"/>
      <c r="J1509" s="49" t="s">
        <v>3136</v>
      </c>
      <c r="K1509" s="14">
        <v>43382</v>
      </c>
      <c r="L1509" s="285">
        <v>976</v>
      </c>
      <c r="M1509" s="15">
        <v>43363</v>
      </c>
      <c r="N1509" s="24">
        <v>1</v>
      </c>
      <c r="O1509" s="63">
        <v>436768</v>
      </c>
      <c r="P1509" s="178">
        <v>185626.23</v>
      </c>
      <c r="Q1509" s="17">
        <f t="shared" si="35"/>
        <v>251141.77</v>
      </c>
      <c r="R1509" s="49" t="s">
        <v>8386</v>
      </c>
      <c r="S1509" s="53">
        <v>43291</v>
      </c>
      <c r="T1509" s="119" t="s">
        <v>8387</v>
      </c>
    </row>
    <row r="1510" spans="1:20" ht="39" customHeight="1" x14ac:dyDescent="0.2">
      <c r="A1510" s="21">
        <v>1536</v>
      </c>
      <c r="B1510" s="12" t="s">
        <v>8390</v>
      </c>
      <c r="C1510" s="289"/>
      <c r="D1510" s="13" t="s">
        <v>8302</v>
      </c>
      <c r="E1510" s="22" t="s">
        <v>8071</v>
      </c>
      <c r="F1510" s="9" t="s">
        <v>8392</v>
      </c>
      <c r="G1510" s="285" t="s">
        <v>9194</v>
      </c>
      <c r="H1510" s="285" t="s">
        <v>5127</v>
      </c>
      <c r="I1510" s="18"/>
      <c r="J1510" s="285" t="s">
        <v>3136</v>
      </c>
      <c r="K1510" s="14">
        <v>43383</v>
      </c>
      <c r="L1510" s="285">
        <v>985</v>
      </c>
      <c r="M1510" s="15">
        <v>43347</v>
      </c>
      <c r="N1510" s="24">
        <v>1</v>
      </c>
      <c r="O1510" s="63">
        <v>15500</v>
      </c>
      <c r="P1510" s="63">
        <v>15500</v>
      </c>
      <c r="Q1510" s="17">
        <f t="shared" si="35"/>
        <v>0</v>
      </c>
      <c r="R1510" s="285" t="s">
        <v>5110</v>
      </c>
      <c r="S1510" s="14">
        <v>43325</v>
      </c>
      <c r="T1510" s="22" t="s">
        <v>8405</v>
      </c>
    </row>
    <row r="1511" spans="1:20" ht="72.75" customHeight="1" x14ac:dyDescent="0.2">
      <c r="A1511" s="21">
        <v>1537</v>
      </c>
      <c r="B1511" s="12" t="s">
        <v>8391</v>
      </c>
      <c r="C1511" s="289"/>
      <c r="D1511" s="13" t="s">
        <v>8305</v>
      </c>
      <c r="E1511" s="22" t="s">
        <v>8071</v>
      </c>
      <c r="F1511" s="9" t="s">
        <v>8393</v>
      </c>
      <c r="G1511" s="285" t="s">
        <v>8661</v>
      </c>
      <c r="H1511" s="285" t="s">
        <v>5127</v>
      </c>
      <c r="I1511" s="18"/>
      <c r="J1511" s="285" t="s">
        <v>3136</v>
      </c>
      <c r="K1511" s="14">
        <v>43383</v>
      </c>
      <c r="L1511" s="285">
        <v>985</v>
      </c>
      <c r="M1511" s="15">
        <v>43347</v>
      </c>
      <c r="N1511" s="24">
        <v>1</v>
      </c>
      <c r="O1511" s="63">
        <v>7950</v>
      </c>
      <c r="P1511" s="63">
        <v>7950</v>
      </c>
      <c r="Q1511" s="17">
        <f t="shared" si="35"/>
        <v>0</v>
      </c>
      <c r="R1511" s="285"/>
      <c r="S1511" s="14"/>
      <c r="T1511" s="22"/>
    </row>
    <row r="1512" spans="1:20" ht="72.75" customHeight="1" x14ac:dyDescent="0.2">
      <c r="A1512" s="21">
        <v>1538</v>
      </c>
      <c r="B1512" s="12" t="s">
        <v>8422</v>
      </c>
      <c r="C1512" s="289"/>
      <c r="D1512" s="13" t="s">
        <v>8425</v>
      </c>
      <c r="E1512" s="22" t="s">
        <v>8071</v>
      </c>
      <c r="F1512" s="9" t="s">
        <v>8426</v>
      </c>
      <c r="G1512" s="285" t="s">
        <v>792</v>
      </c>
      <c r="H1512" s="285" t="s">
        <v>5127</v>
      </c>
      <c r="I1512" s="289"/>
      <c r="J1512" s="285" t="s">
        <v>3136</v>
      </c>
      <c r="K1512" s="14">
        <v>43403</v>
      </c>
      <c r="L1512" s="285">
        <v>1047</v>
      </c>
      <c r="M1512" s="15">
        <v>43396</v>
      </c>
      <c r="N1512" s="24">
        <v>1</v>
      </c>
      <c r="O1512" s="63">
        <v>21999</v>
      </c>
      <c r="P1512" s="63">
        <v>21999</v>
      </c>
      <c r="Q1512" s="17">
        <f t="shared" si="35"/>
        <v>0</v>
      </c>
      <c r="R1512" s="285" t="s">
        <v>3418</v>
      </c>
      <c r="S1512" s="14">
        <v>43382</v>
      </c>
      <c r="T1512" s="22" t="s">
        <v>8427</v>
      </c>
    </row>
    <row r="1513" spans="1:20" ht="40.5" customHeight="1" x14ac:dyDescent="0.2">
      <c r="A1513" s="21">
        <v>1539</v>
      </c>
      <c r="B1513" s="12" t="s">
        <v>8423</v>
      </c>
      <c r="C1513" s="289"/>
      <c r="D1513" s="13" t="s">
        <v>8428</v>
      </c>
      <c r="E1513" s="22" t="s">
        <v>8071</v>
      </c>
      <c r="F1513" s="9" t="s">
        <v>8429</v>
      </c>
      <c r="G1513" s="285" t="s">
        <v>792</v>
      </c>
      <c r="H1513" s="285" t="s">
        <v>5127</v>
      </c>
      <c r="I1513" s="289"/>
      <c r="J1513" s="285" t="s">
        <v>3136</v>
      </c>
      <c r="K1513" s="14">
        <v>43403</v>
      </c>
      <c r="L1513" s="285">
        <v>1047</v>
      </c>
      <c r="M1513" s="15">
        <v>43396</v>
      </c>
      <c r="N1513" s="24">
        <v>1</v>
      </c>
      <c r="O1513" s="63">
        <v>25799</v>
      </c>
      <c r="P1513" s="63">
        <v>25799</v>
      </c>
      <c r="Q1513" s="17">
        <f t="shared" si="35"/>
        <v>0</v>
      </c>
      <c r="R1513" s="285" t="s">
        <v>3418</v>
      </c>
      <c r="S1513" s="14">
        <v>43382</v>
      </c>
      <c r="T1513" s="22" t="s">
        <v>8427</v>
      </c>
    </row>
    <row r="1514" spans="1:20" ht="40.5" customHeight="1" x14ac:dyDescent="0.2">
      <c r="A1514" s="21">
        <v>1540</v>
      </c>
      <c r="B1514" s="12" t="s">
        <v>8424</v>
      </c>
      <c r="C1514" s="289"/>
      <c r="D1514" s="13" t="s">
        <v>8444</v>
      </c>
      <c r="E1514" s="22" t="s">
        <v>8071</v>
      </c>
      <c r="F1514" s="9" t="s">
        <v>8445</v>
      </c>
      <c r="G1514" s="285" t="s">
        <v>792</v>
      </c>
      <c r="H1514" s="285" t="s">
        <v>5127</v>
      </c>
      <c r="I1514" s="289"/>
      <c r="J1514" s="285" t="s">
        <v>3136</v>
      </c>
      <c r="K1514" s="14">
        <v>43403</v>
      </c>
      <c r="L1514" s="285">
        <v>1047</v>
      </c>
      <c r="M1514" s="15">
        <v>43396</v>
      </c>
      <c r="N1514" s="24">
        <v>1</v>
      </c>
      <c r="O1514" s="63">
        <v>22799</v>
      </c>
      <c r="P1514" s="63">
        <v>22799</v>
      </c>
      <c r="Q1514" s="17">
        <f t="shared" si="35"/>
        <v>0</v>
      </c>
      <c r="R1514" s="285" t="s">
        <v>3418</v>
      </c>
      <c r="S1514" s="14">
        <v>43382</v>
      </c>
      <c r="T1514" s="22" t="s">
        <v>8427</v>
      </c>
    </row>
    <row r="1515" spans="1:20" ht="62.25" customHeight="1" x14ac:dyDescent="0.2">
      <c r="A1515" s="21">
        <v>1541</v>
      </c>
      <c r="B1515" s="12" t="s">
        <v>8424</v>
      </c>
      <c r="C1515" s="289"/>
      <c r="D1515" s="13" t="s">
        <v>7986</v>
      </c>
      <c r="E1515" s="22" t="s">
        <v>8071</v>
      </c>
      <c r="F1515" s="9" t="s">
        <v>8434</v>
      </c>
      <c r="G1515" s="285" t="s">
        <v>7967</v>
      </c>
      <c r="H1515" s="285" t="s">
        <v>5127</v>
      </c>
      <c r="I1515" s="289"/>
      <c r="J1515" s="285" t="s">
        <v>3136</v>
      </c>
      <c r="K1515" s="14">
        <v>43411</v>
      </c>
      <c r="L1515" s="285">
        <v>1073</v>
      </c>
      <c r="M1515" s="15">
        <v>43399</v>
      </c>
      <c r="N1515" s="24">
        <v>1</v>
      </c>
      <c r="O1515" s="63">
        <v>251815.11</v>
      </c>
      <c r="P1515" s="63">
        <v>137898.79999999999</v>
      </c>
      <c r="Q1515" s="17">
        <f t="shared" si="35"/>
        <v>113916.31</v>
      </c>
      <c r="R1515" s="285" t="s">
        <v>8432</v>
      </c>
      <c r="S1515" s="14">
        <v>43269</v>
      </c>
      <c r="T1515" s="22" t="s">
        <v>8433</v>
      </c>
    </row>
    <row r="1516" spans="1:20" ht="62.25" customHeight="1" x14ac:dyDescent="0.2">
      <c r="A1516" s="21">
        <v>1542</v>
      </c>
      <c r="B1516" s="12" t="s">
        <v>8430</v>
      </c>
      <c r="C1516" s="289"/>
      <c r="D1516" s="13" t="s">
        <v>7986</v>
      </c>
      <c r="E1516" s="22" t="s">
        <v>8071</v>
      </c>
      <c r="F1516" s="9" t="s">
        <v>8440</v>
      </c>
      <c r="G1516" s="285" t="s">
        <v>7980</v>
      </c>
      <c r="H1516" s="285" t="s">
        <v>5127</v>
      </c>
      <c r="I1516" s="289"/>
      <c r="J1516" s="285" t="s">
        <v>3136</v>
      </c>
      <c r="K1516" s="14">
        <v>43411</v>
      </c>
      <c r="L1516" s="285">
        <v>1074</v>
      </c>
      <c r="M1516" s="15">
        <v>43399</v>
      </c>
      <c r="N1516" s="24">
        <v>1</v>
      </c>
      <c r="O1516" s="63">
        <v>249461.11</v>
      </c>
      <c r="P1516" s="63">
        <v>136609.88</v>
      </c>
      <c r="Q1516" s="17">
        <f t="shared" si="35"/>
        <v>112851.22999999998</v>
      </c>
      <c r="R1516" s="285" t="s">
        <v>8432</v>
      </c>
      <c r="S1516" s="14">
        <v>43272</v>
      </c>
      <c r="T1516" s="22" t="s">
        <v>8435</v>
      </c>
    </row>
    <row r="1517" spans="1:20" ht="49.5" customHeight="1" x14ac:dyDescent="0.2">
      <c r="A1517" s="21">
        <v>1543</v>
      </c>
      <c r="B1517" s="12" t="s">
        <v>8431</v>
      </c>
      <c r="C1517" s="289"/>
      <c r="D1517" s="13" t="s">
        <v>7986</v>
      </c>
      <c r="E1517" s="22" t="s">
        <v>8071</v>
      </c>
      <c r="F1517" s="9" t="s">
        <v>8441</v>
      </c>
      <c r="G1517" s="285" t="s">
        <v>515</v>
      </c>
      <c r="H1517" s="285" t="s">
        <v>5127</v>
      </c>
      <c r="I1517" s="289"/>
      <c r="J1517" s="285" t="s">
        <v>3136</v>
      </c>
      <c r="K1517" s="14">
        <v>43411</v>
      </c>
      <c r="L1517" s="285">
        <v>1071</v>
      </c>
      <c r="M1517" s="15">
        <v>43399</v>
      </c>
      <c r="N1517" s="24">
        <v>1</v>
      </c>
      <c r="O1517" s="63">
        <v>251815.11</v>
      </c>
      <c r="P1517" s="63">
        <v>137898.79999999999</v>
      </c>
      <c r="Q1517" s="17">
        <f t="shared" si="35"/>
        <v>113916.31</v>
      </c>
      <c r="R1517" s="285" t="s">
        <v>8432</v>
      </c>
      <c r="S1517" s="14">
        <v>43269</v>
      </c>
      <c r="T1517" s="22" t="s">
        <v>8442</v>
      </c>
    </row>
    <row r="1518" spans="1:20" ht="40.5" customHeight="1" x14ac:dyDescent="0.2">
      <c r="A1518" s="21">
        <v>1544</v>
      </c>
      <c r="B1518" s="12" t="s">
        <v>8437</v>
      </c>
      <c r="C1518" s="289"/>
      <c r="D1518" s="13" t="s">
        <v>8858</v>
      </c>
      <c r="E1518" s="22" t="s">
        <v>8071</v>
      </c>
      <c r="F1518" s="9" t="s">
        <v>8438</v>
      </c>
      <c r="G1518" s="285" t="s">
        <v>4296</v>
      </c>
      <c r="H1518" s="285" t="s">
        <v>3793</v>
      </c>
      <c r="I1518" s="289"/>
      <c r="J1518" s="285" t="s">
        <v>3136</v>
      </c>
      <c r="K1518" s="14">
        <v>43411</v>
      </c>
      <c r="L1518" s="285">
        <v>1072</v>
      </c>
      <c r="M1518" s="15">
        <v>43391</v>
      </c>
      <c r="N1518" s="24">
        <v>1</v>
      </c>
      <c r="O1518" s="63">
        <v>17360.22</v>
      </c>
      <c r="P1518" s="63">
        <v>17360.22</v>
      </c>
      <c r="Q1518" s="17">
        <f t="shared" si="35"/>
        <v>0</v>
      </c>
      <c r="R1518" s="285" t="s">
        <v>5110</v>
      </c>
      <c r="S1518" s="14">
        <v>43355</v>
      </c>
      <c r="T1518" s="22" t="s">
        <v>8439</v>
      </c>
    </row>
    <row r="1519" spans="1:20" ht="38.25" customHeight="1" x14ac:dyDescent="0.2">
      <c r="A1519" s="21">
        <v>1546</v>
      </c>
      <c r="B1519" s="12" t="s">
        <v>8504</v>
      </c>
      <c r="C1519" s="289"/>
      <c r="D1519" s="13" t="s">
        <v>8443</v>
      </c>
      <c r="E1519" s="22" t="s">
        <v>8071</v>
      </c>
      <c r="F1519" s="9" t="s">
        <v>3338</v>
      </c>
      <c r="G1519" s="285" t="s">
        <v>2437</v>
      </c>
      <c r="H1519" s="285" t="s">
        <v>5127</v>
      </c>
      <c r="I1519" s="289"/>
      <c r="J1519" s="285" t="s">
        <v>3136</v>
      </c>
      <c r="K1519" s="14">
        <v>43430</v>
      </c>
      <c r="L1519" s="285">
        <v>1145</v>
      </c>
      <c r="M1519" s="15">
        <v>43405</v>
      </c>
      <c r="N1519" s="24">
        <v>1</v>
      </c>
      <c r="O1519" s="63">
        <v>31489.55</v>
      </c>
      <c r="P1519" s="63">
        <v>31489.55</v>
      </c>
      <c r="Q1519" s="17">
        <f t="shared" si="35"/>
        <v>0</v>
      </c>
      <c r="R1519" s="285" t="s">
        <v>8505</v>
      </c>
      <c r="S1519" s="14"/>
      <c r="T1519" s="22"/>
    </row>
    <row r="1520" spans="1:20" ht="72.75" customHeight="1" x14ac:dyDescent="0.2">
      <c r="A1520" s="21">
        <v>1547</v>
      </c>
      <c r="B1520" s="12" t="s">
        <v>8446</v>
      </c>
      <c r="C1520" s="289" t="s">
        <v>5274</v>
      </c>
      <c r="D1520" s="13" t="s">
        <v>8448</v>
      </c>
      <c r="E1520" s="22" t="s">
        <v>8071</v>
      </c>
      <c r="F1520" s="9" t="s">
        <v>8447</v>
      </c>
      <c r="G1520" s="285" t="s">
        <v>4946</v>
      </c>
      <c r="H1520" s="285" t="s">
        <v>5127</v>
      </c>
      <c r="I1520" s="289"/>
      <c r="J1520" s="285" t="s">
        <v>3136</v>
      </c>
      <c r="K1520" s="14" t="s">
        <v>8597</v>
      </c>
      <c r="L1520" s="285" t="s">
        <v>8598</v>
      </c>
      <c r="M1520" s="15">
        <v>43399</v>
      </c>
      <c r="N1520" s="24">
        <v>1</v>
      </c>
      <c r="O1520" s="63">
        <f>2728722.82+140640.68</f>
        <v>2869363.5</v>
      </c>
      <c r="P1520" s="63">
        <v>2295491.04</v>
      </c>
      <c r="Q1520" s="17">
        <f t="shared" si="35"/>
        <v>573872.46</v>
      </c>
      <c r="R1520" s="285" t="s">
        <v>7271</v>
      </c>
      <c r="S1520" s="14">
        <v>43348</v>
      </c>
      <c r="T1520" s="22" t="s">
        <v>8449</v>
      </c>
    </row>
    <row r="1521" spans="1:20" ht="37.5" customHeight="1" x14ac:dyDescent="0.2">
      <c r="A1521" s="21">
        <v>1548</v>
      </c>
      <c r="B1521" s="12" t="s">
        <v>8450</v>
      </c>
      <c r="C1521" s="289" t="s">
        <v>5274</v>
      </c>
      <c r="D1521" s="13" t="s">
        <v>8460</v>
      </c>
      <c r="E1521" s="22" t="s">
        <v>8071</v>
      </c>
      <c r="F1521" s="9" t="s">
        <v>8451</v>
      </c>
      <c r="G1521" s="285" t="s">
        <v>4946</v>
      </c>
      <c r="H1521" s="285" t="s">
        <v>5127</v>
      </c>
      <c r="I1521" s="289"/>
      <c r="J1521" s="285" t="s">
        <v>3136</v>
      </c>
      <c r="K1521" s="14" t="s">
        <v>8597</v>
      </c>
      <c r="L1521" s="285" t="s">
        <v>8598</v>
      </c>
      <c r="M1521" s="15">
        <v>43399</v>
      </c>
      <c r="N1521" s="24">
        <v>1</v>
      </c>
      <c r="O1521" s="63">
        <f>289675+43100</f>
        <v>332775</v>
      </c>
      <c r="P1521" s="63">
        <v>133110.24</v>
      </c>
      <c r="Q1521" s="17">
        <f t="shared" si="35"/>
        <v>199664.76</v>
      </c>
      <c r="R1521" s="285" t="s">
        <v>5110</v>
      </c>
      <c r="S1521" s="14">
        <v>43285</v>
      </c>
      <c r="T1521" s="22" t="s">
        <v>8452</v>
      </c>
    </row>
    <row r="1522" spans="1:20" ht="60" customHeight="1" x14ac:dyDescent="0.2">
      <c r="A1522" s="21">
        <v>1549</v>
      </c>
      <c r="B1522" s="12" t="s">
        <v>8453</v>
      </c>
      <c r="C1522" s="289"/>
      <c r="D1522" s="13" t="s">
        <v>8454</v>
      </c>
      <c r="E1522" s="22" t="s">
        <v>8071</v>
      </c>
      <c r="F1522" s="9" t="s">
        <v>8455</v>
      </c>
      <c r="G1522" s="285" t="s">
        <v>4296</v>
      </c>
      <c r="H1522" s="285" t="s">
        <v>3793</v>
      </c>
      <c r="I1522" s="289"/>
      <c r="J1522" s="285" t="s">
        <v>3136</v>
      </c>
      <c r="K1522" s="14">
        <v>43423</v>
      </c>
      <c r="L1522" s="285">
        <v>1102</v>
      </c>
      <c r="M1522" s="15">
        <v>43399</v>
      </c>
      <c r="N1522" s="24">
        <v>1</v>
      </c>
      <c r="O1522" s="63">
        <v>40847.46</v>
      </c>
      <c r="P1522" s="178">
        <v>34039.5</v>
      </c>
      <c r="Q1522" s="17">
        <f t="shared" si="35"/>
        <v>6807.9599999999991</v>
      </c>
      <c r="R1522" s="285" t="s">
        <v>5110</v>
      </c>
      <c r="S1522" s="14">
        <v>42299</v>
      </c>
      <c r="T1522" s="22" t="s">
        <v>8456</v>
      </c>
    </row>
    <row r="1523" spans="1:20" ht="60.75" customHeight="1" x14ac:dyDescent="0.2">
      <c r="A1523" s="21">
        <v>1550</v>
      </c>
      <c r="B1523" s="12" t="s">
        <v>8493</v>
      </c>
      <c r="C1523" s="289"/>
      <c r="D1523" s="13" t="s">
        <v>8496</v>
      </c>
      <c r="E1523" s="22" t="s">
        <v>8071</v>
      </c>
      <c r="F1523" s="9" t="s">
        <v>8497</v>
      </c>
      <c r="G1523" s="285" t="s">
        <v>8293</v>
      </c>
      <c r="H1523" s="285" t="s">
        <v>5127</v>
      </c>
      <c r="I1523" s="289"/>
      <c r="J1523" s="285" t="s">
        <v>3136</v>
      </c>
      <c r="K1523" s="14">
        <v>43445</v>
      </c>
      <c r="L1523" s="285">
        <v>1210</v>
      </c>
      <c r="M1523" s="15">
        <v>43405</v>
      </c>
      <c r="N1523" s="24">
        <v>1</v>
      </c>
      <c r="O1523" s="63">
        <v>19757</v>
      </c>
      <c r="P1523" s="63">
        <v>19757</v>
      </c>
      <c r="Q1523" s="17">
        <f t="shared" si="35"/>
        <v>0</v>
      </c>
      <c r="R1523" s="285" t="s">
        <v>5110</v>
      </c>
      <c r="S1523" s="14">
        <v>43389</v>
      </c>
      <c r="T1523" s="22" t="s">
        <v>8500</v>
      </c>
    </row>
    <row r="1524" spans="1:20" ht="60.75" customHeight="1" x14ac:dyDescent="0.2">
      <c r="A1524" s="21">
        <v>1551</v>
      </c>
      <c r="B1524" s="12" t="s">
        <v>8494</v>
      </c>
      <c r="C1524" s="289"/>
      <c r="D1524" s="13" t="s">
        <v>8501</v>
      </c>
      <c r="E1524" s="22" t="s">
        <v>8071</v>
      </c>
      <c r="F1524" s="9" t="s">
        <v>8498</v>
      </c>
      <c r="G1524" s="285" t="s">
        <v>8293</v>
      </c>
      <c r="H1524" s="285" t="s">
        <v>5127</v>
      </c>
      <c r="I1524" s="289"/>
      <c r="J1524" s="285" t="s">
        <v>3136</v>
      </c>
      <c r="K1524" s="32">
        <v>43445</v>
      </c>
      <c r="L1524" s="37">
        <v>1210</v>
      </c>
      <c r="M1524" s="57">
        <v>43405</v>
      </c>
      <c r="N1524" s="33">
        <v>1</v>
      </c>
      <c r="O1524" s="61">
        <v>17414</v>
      </c>
      <c r="P1524" s="63">
        <v>17414</v>
      </c>
      <c r="Q1524" s="17">
        <f t="shared" si="35"/>
        <v>0</v>
      </c>
      <c r="R1524" s="285" t="s">
        <v>5110</v>
      </c>
      <c r="S1524" s="14">
        <v>43389</v>
      </c>
      <c r="T1524" s="22" t="s">
        <v>8500</v>
      </c>
    </row>
    <row r="1525" spans="1:20" ht="101.25" customHeight="1" x14ac:dyDescent="0.2">
      <c r="A1525" s="21">
        <v>1552</v>
      </c>
      <c r="B1525" s="12" t="s">
        <v>8495</v>
      </c>
      <c r="C1525" s="289"/>
      <c r="D1525" s="13" t="s">
        <v>8502</v>
      </c>
      <c r="E1525" s="22" t="s">
        <v>8071</v>
      </c>
      <c r="F1525" s="9" t="s">
        <v>8499</v>
      </c>
      <c r="G1525" s="285" t="s">
        <v>8293</v>
      </c>
      <c r="H1525" s="285" t="s">
        <v>5127</v>
      </c>
      <c r="I1525" s="289"/>
      <c r="J1525" s="285" t="s">
        <v>3136</v>
      </c>
      <c r="K1525" s="32">
        <v>43445</v>
      </c>
      <c r="L1525" s="37">
        <v>1210</v>
      </c>
      <c r="M1525" s="57">
        <v>43405</v>
      </c>
      <c r="N1525" s="33">
        <v>1</v>
      </c>
      <c r="O1525" s="61">
        <v>22829</v>
      </c>
      <c r="P1525" s="63">
        <v>22829</v>
      </c>
      <c r="Q1525" s="17">
        <f t="shared" si="35"/>
        <v>0</v>
      </c>
      <c r="R1525" s="285" t="s">
        <v>5110</v>
      </c>
      <c r="S1525" s="14">
        <v>43389</v>
      </c>
      <c r="T1525" s="22" t="s">
        <v>8500</v>
      </c>
    </row>
    <row r="1526" spans="1:20" ht="105" customHeight="1" x14ac:dyDescent="0.2">
      <c r="A1526" s="21">
        <v>1553</v>
      </c>
      <c r="B1526" s="12" t="s">
        <v>8506</v>
      </c>
      <c r="C1526" s="289"/>
      <c r="D1526" s="13" t="s">
        <v>8507</v>
      </c>
      <c r="E1526" s="22" t="s">
        <v>8071</v>
      </c>
      <c r="F1526" s="9" t="s">
        <v>8508</v>
      </c>
      <c r="G1526" s="285" t="s">
        <v>4296</v>
      </c>
      <c r="H1526" s="285" t="s">
        <v>3793</v>
      </c>
      <c r="I1526" s="289"/>
      <c r="J1526" s="285" t="s">
        <v>3136</v>
      </c>
      <c r="K1526" s="32">
        <v>43445</v>
      </c>
      <c r="L1526" s="37">
        <v>1214</v>
      </c>
      <c r="M1526" s="57">
        <v>43418</v>
      </c>
      <c r="N1526" s="33">
        <v>1</v>
      </c>
      <c r="O1526" s="61">
        <v>55508.480000000003</v>
      </c>
      <c r="P1526" s="178">
        <v>45331.86</v>
      </c>
      <c r="Q1526" s="17">
        <f t="shared" si="35"/>
        <v>10176.620000000003</v>
      </c>
      <c r="R1526" s="285" t="s">
        <v>5110</v>
      </c>
      <c r="S1526" s="14">
        <v>43279</v>
      </c>
      <c r="T1526" s="22" t="s">
        <v>8509</v>
      </c>
    </row>
    <row r="1527" spans="1:20" ht="102.75" customHeight="1" x14ac:dyDescent="0.2">
      <c r="A1527" s="21">
        <v>1554</v>
      </c>
      <c r="B1527" s="12" t="s">
        <v>8526</v>
      </c>
      <c r="C1527" s="289"/>
      <c r="D1527" s="13" t="s">
        <v>8527</v>
      </c>
      <c r="E1527" s="22" t="s">
        <v>8071</v>
      </c>
      <c r="F1527" s="9" t="s">
        <v>8102</v>
      </c>
      <c r="G1527" s="285" t="s">
        <v>7981</v>
      </c>
      <c r="H1527" s="285" t="s">
        <v>5127</v>
      </c>
      <c r="I1527" s="18"/>
      <c r="J1527" s="285" t="s">
        <v>3136</v>
      </c>
      <c r="K1527" s="32">
        <v>43454</v>
      </c>
      <c r="L1527" s="37">
        <v>1269</v>
      </c>
      <c r="M1527" s="57">
        <v>43430</v>
      </c>
      <c r="N1527" s="33">
        <v>1</v>
      </c>
      <c r="O1527" s="61">
        <v>26999</v>
      </c>
      <c r="P1527" s="63">
        <v>26999</v>
      </c>
      <c r="Q1527" s="17">
        <f t="shared" ref="Q1527:Q1557" si="36">O1527-P1527</f>
        <v>0</v>
      </c>
      <c r="R1527" s="285" t="s">
        <v>3418</v>
      </c>
      <c r="S1527" s="14">
        <v>43430</v>
      </c>
      <c r="T1527" s="22" t="s">
        <v>8528</v>
      </c>
    </row>
    <row r="1528" spans="1:20" ht="38.25" customHeight="1" x14ac:dyDescent="0.2">
      <c r="A1528" s="21">
        <v>1555</v>
      </c>
      <c r="B1528" s="12" t="s">
        <v>8533</v>
      </c>
      <c r="C1528" s="289"/>
      <c r="D1528" s="13" t="s">
        <v>8534</v>
      </c>
      <c r="E1528" s="22" t="s">
        <v>8071</v>
      </c>
      <c r="F1528" s="9" t="s">
        <v>5968</v>
      </c>
      <c r="G1528" s="285" t="s">
        <v>2437</v>
      </c>
      <c r="H1528" s="285" t="s">
        <v>5127</v>
      </c>
      <c r="I1528" s="18"/>
      <c r="J1528" s="285" t="s">
        <v>3136</v>
      </c>
      <c r="K1528" s="32">
        <v>43454</v>
      </c>
      <c r="L1528" s="37">
        <v>1267</v>
      </c>
      <c r="M1528" s="57">
        <v>43446</v>
      </c>
      <c r="N1528" s="33">
        <v>1</v>
      </c>
      <c r="O1528" s="61">
        <v>22299</v>
      </c>
      <c r="P1528" s="63">
        <v>22299</v>
      </c>
      <c r="Q1528" s="17">
        <f t="shared" si="36"/>
        <v>0</v>
      </c>
      <c r="R1528" s="285" t="s">
        <v>3418</v>
      </c>
      <c r="S1528" s="14">
        <v>43439</v>
      </c>
      <c r="T1528" s="22" t="s">
        <v>8535</v>
      </c>
    </row>
    <row r="1529" spans="1:20" ht="102.75" customHeight="1" x14ac:dyDescent="0.2">
      <c r="A1529" s="21">
        <v>1556</v>
      </c>
      <c r="B1529" s="12" t="s">
        <v>8537</v>
      </c>
      <c r="C1529" s="289"/>
      <c r="D1529" s="13" t="s">
        <v>8538</v>
      </c>
      <c r="E1529" s="22" t="s">
        <v>8071</v>
      </c>
      <c r="F1529" s="9" t="s">
        <v>8144</v>
      </c>
      <c r="G1529" s="285" t="s">
        <v>7982</v>
      </c>
      <c r="H1529" s="285" t="s">
        <v>5127</v>
      </c>
      <c r="I1529" s="289"/>
      <c r="J1529" s="285" t="s">
        <v>3136</v>
      </c>
      <c r="K1529" s="32">
        <v>43460</v>
      </c>
      <c r="L1529" s="37">
        <v>1295</v>
      </c>
      <c r="M1529" s="57">
        <v>43454</v>
      </c>
      <c r="N1529" s="33">
        <v>1</v>
      </c>
      <c r="O1529" s="61">
        <v>22499</v>
      </c>
      <c r="P1529" s="63">
        <v>22499</v>
      </c>
      <c r="Q1529" s="17">
        <f t="shared" si="36"/>
        <v>0</v>
      </c>
      <c r="R1529" s="285" t="s">
        <v>3418</v>
      </c>
      <c r="S1529" s="14">
        <v>43437</v>
      </c>
      <c r="T1529" s="22" t="s">
        <v>8539</v>
      </c>
    </row>
    <row r="1530" spans="1:20" ht="51" customHeight="1" x14ac:dyDescent="0.2">
      <c r="A1530" s="21">
        <v>1557</v>
      </c>
      <c r="B1530" s="42" t="s">
        <v>8552</v>
      </c>
      <c r="C1530" s="30"/>
      <c r="D1530" s="47" t="s">
        <v>8534</v>
      </c>
      <c r="E1530" s="119" t="s">
        <v>8071</v>
      </c>
      <c r="F1530" s="46" t="s">
        <v>8553</v>
      </c>
      <c r="G1530" s="49" t="s">
        <v>2437</v>
      </c>
      <c r="H1530" s="49" t="s">
        <v>5127</v>
      </c>
      <c r="I1530" s="50"/>
      <c r="J1530" s="49" t="s">
        <v>3136</v>
      </c>
      <c r="K1530" s="53">
        <v>43462</v>
      </c>
      <c r="L1530" s="49">
        <v>1318</v>
      </c>
      <c r="M1530" s="51">
        <v>43448</v>
      </c>
      <c r="N1530" s="52">
        <v>1</v>
      </c>
      <c r="O1530" s="261">
        <v>22499</v>
      </c>
      <c r="P1530" s="261">
        <v>22499</v>
      </c>
      <c r="Q1530" s="17">
        <f t="shared" si="36"/>
        <v>0</v>
      </c>
      <c r="R1530" s="49" t="s">
        <v>3418</v>
      </c>
      <c r="S1530" s="53">
        <v>43448</v>
      </c>
      <c r="T1530" s="119" t="s">
        <v>8554</v>
      </c>
    </row>
    <row r="1531" spans="1:20" ht="37.5" customHeight="1" x14ac:dyDescent="0.2">
      <c r="A1531" s="21">
        <v>1558</v>
      </c>
      <c r="B1531" s="12" t="s">
        <v>8556</v>
      </c>
      <c r="C1531" s="289"/>
      <c r="D1531" s="9" t="s">
        <v>9028</v>
      </c>
      <c r="E1531" s="22" t="s">
        <v>8615</v>
      </c>
      <c r="F1531" s="9" t="s">
        <v>9043</v>
      </c>
      <c r="G1531" s="285" t="s">
        <v>2437</v>
      </c>
      <c r="H1531" s="285" t="s">
        <v>5127</v>
      </c>
      <c r="I1531" s="289"/>
      <c r="J1531" s="285" t="s">
        <v>3136</v>
      </c>
      <c r="K1531" s="14">
        <v>43703</v>
      </c>
      <c r="L1531" s="285">
        <v>705</v>
      </c>
      <c r="M1531" s="15">
        <v>43647</v>
      </c>
      <c r="N1531" s="40">
        <v>1</v>
      </c>
      <c r="O1531" s="40">
        <v>104060</v>
      </c>
      <c r="P1531" s="40">
        <v>32952.449999999997</v>
      </c>
      <c r="Q1531" s="17">
        <f t="shared" si="36"/>
        <v>71107.55</v>
      </c>
      <c r="R1531" s="285" t="s">
        <v>7503</v>
      </c>
      <c r="S1531" s="14" t="s">
        <v>9029</v>
      </c>
      <c r="T1531" s="14" t="s">
        <v>1029</v>
      </c>
    </row>
    <row r="1532" spans="1:20" ht="46.5" customHeight="1" x14ac:dyDescent="0.2">
      <c r="A1532" s="21">
        <v>1559</v>
      </c>
      <c r="B1532" s="12" t="s">
        <v>8556</v>
      </c>
      <c r="C1532" s="289"/>
      <c r="D1532" s="13" t="s">
        <v>8559</v>
      </c>
      <c r="E1532" s="22" t="s">
        <v>8071</v>
      </c>
      <c r="F1532" s="9" t="s">
        <v>8906</v>
      </c>
      <c r="G1532" s="285" t="s">
        <v>7981</v>
      </c>
      <c r="H1532" s="49" t="s">
        <v>5127</v>
      </c>
      <c r="I1532" s="50"/>
      <c r="J1532" s="49" t="s">
        <v>3136</v>
      </c>
      <c r="K1532" s="14">
        <v>43463</v>
      </c>
      <c r="L1532" s="285">
        <v>1334</v>
      </c>
      <c r="M1532" s="15">
        <v>43445</v>
      </c>
      <c r="N1532" s="24">
        <f>3-2</f>
        <v>1</v>
      </c>
      <c r="O1532" s="63">
        <f>107913.81-71942.54</f>
        <v>35971.270000000004</v>
      </c>
      <c r="P1532" s="63">
        <f>107913.81-71942.54</f>
        <v>35971.270000000004</v>
      </c>
      <c r="Q1532" s="17">
        <f t="shared" si="36"/>
        <v>0</v>
      </c>
      <c r="R1532" s="285" t="s">
        <v>5364</v>
      </c>
      <c r="S1532" s="14">
        <v>43427</v>
      </c>
      <c r="T1532" s="22" t="s">
        <v>8560</v>
      </c>
    </row>
    <row r="1533" spans="1:20" ht="42.75" customHeight="1" x14ac:dyDescent="0.2">
      <c r="A1533" s="21">
        <v>1560</v>
      </c>
      <c r="B1533" s="12" t="s">
        <v>8556</v>
      </c>
      <c r="C1533" s="30"/>
      <c r="D1533" s="47" t="s">
        <v>8559</v>
      </c>
      <c r="E1533" s="119" t="s">
        <v>8071</v>
      </c>
      <c r="F1533" s="46" t="s">
        <v>8907</v>
      </c>
      <c r="G1533" s="49" t="s">
        <v>6266</v>
      </c>
      <c r="H1533" s="49" t="s">
        <v>5127</v>
      </c>
      <c r="I1533" s="50"/>
      <c r="J1533" s="49" t="s">
        <v>3136</v>
      </c>
      <c r="K1533" s="14">
        <v>43600</v>
      </c>
      <c r="L1533" s="285">
        <v>388</v>
      </c>
      <c r="M1533" s="15">
        <v>43445</v>
      </c>
      <c r="N1533" s="24">
        <v>2</v>
      </c>
      <c r="O1533" s="63">
        <v>71942.539999999994</v>
      </c>
      <c r="P1533" s="63">
        <f>107913.81-35971.27</f>
        <v>71942.540000000008</v>
      </c>
      <c r="Q1533" s="17">
        <f t="shared" si="36"/>
        <v>0</v>
      </c>
      <c r="R1533" s="49" t="s">
        <v>5364</v>
      </c>
      <c r="S1533" s="53">
        <v>43427</v>
      </c>
      <c r="T1533" s="119" t="s">
        <v>8560</v>
      </c>
    </row>
    <row r="1534" spans="1:20" ht="39" customHeight="1" x14ac:dyDescent="0.2">
      <c r="A1534" s="21">
        <v>1561</v>
      </c>
      <c r="B1534" s="12" t="s">
        <v>8556</v>
      </c>
      <c r="C1534" s="289"/>
      <c r="D1534" s="13" t="s">
        <v>8559</v>
      </c>
      <c r="E1534" s="22" t="s">
        <v>8071</v>
      </c>
      <c r="F1534" s="9" t="s">
        <v>8908</v>
      </c>
      <c r="G1534" s="285" t="s">
        <v>2437</v>
      </c>
      <c r="H1534" s="49" t="s">
        <v>5127</v>
      </c>
      <c r="I1534" s="50"/>
      <c r="J1534" s="49" t="s">
        <v>3136</v>
      </c>
      <c r="K1534" s="14">
        <v>43463</v>
      </c>
      <c r="L1534" s="285">
        <v>1334</v>
      </c>
      <c r="M1534" s="15">
        <v>43445</v>
      </c>
      <c r="N1534" s="24">
        <v>2</v>
      </c>
      <c r="O1534" s="63">
        <v>71942.539999999994</v>
      </c>
      <c r="P1534" s="63">
        <f>107913.81-35971.27</f>
        <v>71942.540000000008</v>
      </c>
      <c r="Q1534" s="17">
        <f t="shared" si="36"/>
        <v>0</v>
      </c>
      <c r="R1534" s="285" t="s">
        <v>5364</v>
      </c>
      <c r="S1534" s="14">
        <v>43427</v>
      </c>
      <c r="T1534" s="22" t="s">
        <v>8560</v>
      </c>
    </row>
    <row r="1535" spans="1:20" ht="77.25" customHeight="1" x14ac:dyDescent="0.2">
      <c r="A1535" s="21">
        <v>1562</v>
      </c>
      <c r="B1535" s="12" t="s">
        <v>8557</v>
      </c>
      <c r="C1535" s="289"/>
      <c r="D1535" s="13" t="s">
        <v>8562</v>
      </c>
      <c r="E1535" s="22" t="s">
        <v>8071</v>
      </c>
      <c r="F1535" s="9" t="s">
        <v>8563</v>
      </c>
      <c r="G1535" s="285" t="s">
        <v>7981</v>
      </c>
      <c r="H1535" s="49" t="s">
        <v>5127</v>
      </c>
      <c r="I1535" s="50"/>
      <c r="J1535" s="49" t="s">
        <v>3136</v>
      </c>
      <c r="K1535" s="14">
        <v>43463</v>
      </c>
      <c r="L1535" s="285">
        <v>1334</v>
      </c>
      <c r="M1535" s="15">
        <v>43445</v>
      </c>
      <c r="N1535" s="24">
        <v>12</v>
      </c>
      <c r="O1535" s="63">
        <v>490101.36</v>
      </c>
      <c r="P1535" s="63">
        <v>490101.36</v>
      </c>
      <c r="Q1535" s="17">
        <f t="shared" si="36"/>
        <v>0</v>
      </c>
      <c r="R1535" s="285" t="s">
        <v>5364</v>
      </c>
      <c r="S1535" s="14">
        <v>43427</v>
      </c>
      <c r="T1535" s="22" t="s">
        <v>8560</v>
      </c>
    </row>
    <row r="1536" spans="1:20" ht="79.5" customHeight="1" x14ac:dyDescent="0.2">
      <c r="A1536" s="21">
        <v>1563</v>
      </c>
      <c r="B1536" s="12" t="s">
        <v>8557</v>
      </c>
      <c r="C1536" s="289"/>
      <c r="D1536" s="13" t="s">
        <v>8559</v>
      </c>
      <c r="E1536" s="22" t="s">
        <v>8071</v>
      </c>
      <c r="F1536" s="9" t="s">
        <v>8256</v>
      </c>
      <c r="G1536" s="285" t="s">
        <v>6266</v>
      </c>
      <c r="H1536" s="49" t="s">
        <v>5127</v>
      </c>
      <c r="I1536" s="50"/>
      <c r="J1536" s="49" t="s">
        <v>3136</v>
      </c>
      <c r="K1536" s="14">
        <v>43600</v>
      </c>
      <c r="L1536" s="285">
        <v>388</v>
      </c>
      <c r="M1536" s="15">
        <v>43445</v>
      </c>
      <c r="N1536" s="24">
        <v>1</v>
      </c>
      <c r="O1536" s="63">
        <f>107913.81-71942.54</f>
        <v>35971.270000000004</v>
      </c>
      <c r="P1536" s="63">
        <f>107913.81-71942.54</f>
        <v>35971.270000000004</v>
      </c>
      <c r="Q1536" s="17">
        <f t="shared" si="36"/>
        <v>0</v>
      </c>
      <c r="R1536" s="285" t="s">
        <v>5364</v>
      </c>
      <c r="S1536" s="14">
        <v>43427</v>
      </c>
      <c r="T1536" s="22" t="s">
        <v>8560</v>
      </c>
    </row>
    <row r="1537" spans="1:20" ht="64.5" customHeight="1" x14ac:dyDescent="0.2">
      <c r="A1537" s="21">
        <v>1564</v>
      </c>
      <c r="B1537" s="12" t="s">
        <v>8558</v>
      </c>
      <c r="C1537" s="289"/>
      <c r="D1537" s="13" t="s">
        <v>8559</v>
      </c>
      <c r="E1537" s="22" t="s">
        <v>8071</v>
      </c>
      <c r="F1537" s="9" t="s">
        <v>8561</v>
      </c>
      <c r="G1537" s="285" t="s">
        <v>6266</v>
      </c>
      <c r="H1537" s="49" t="s">
        <v>5127</v>
      </c>
      <c r="I1537" s="50"/>
      <c r="J1537" s="49" t="s">
        <v>3136</v>
      </c>
      <c r="K1537" s="14">
        <v>43600</v>
      </c>
      <c r="L1537" s="285">
        <v>388</v>
      </c>
      <c r="M1537" s="15">
        <v>43445</v>
      </c>
      <c r="N1537" s="24">
        <v>1</v>
      </c>
      <c r="O1537" s="63">
        <f>107913.81-71942.54</f>
        <v>35971.270000000004</v>
      </c>
      <c r="P1537" s="63">
        <f>107913.81-71942.54</f>
        <v>35971.270000000004</v>
      </c>
      <c r="Q1537" s="17">
        <f t="shared" si="36"/>
        <v>0</v>
      </c>
      <c r="R1537" s="285" t="s">
        <v>5364</v>
      </c>
      <c r="S1537" s="14">
        <v>43427</v>
      </c>
      <c r="T1537" s="22" t="s">
        <v>8560</v>
      </c>
    </row>
    <row r="1538" spans="1:20" ht="74.25" customHeight="1" x14ac:dyDescent="0.2">
      <c r="A1538" s="21">
        <v>1565</v>
      </c>
      <c r="B1538" s="12" t="s">
        <v>8558</v>
      </c>
      <c r="C1538" s="289"/>
      <c r="D1538" s="13" t="s">
        <v>8559</v>
      </c>
      <c r="E1538" s="22" t="s">
        <v>8071</v>
      </c>
      <c r="F1538" s="9" t="s">
        <v>8561</v>
      </c>
      <c r="G1538" s="285" t="s">
        <v>7982</v>
      </c>
      <c r="H1538" s="49" t="s">
        <v>5127</v>
      </c>
      <c r="I1538" s="50"/>
      <c r="J1538" s="49" t="s">
        <v>3136</v>
      </c>
      <c r="K1538" s="14">
        <v>43463</v>
      </c>
      <c r="L1538" s="285">
        <v>1334</v>
      </c>
      <c r="M1538" s="15">
        <v>43445</v>
      </c>
      <c r="N1538" s="24">
        <v>2</v>
      </c>
      <c r="O1538" s="63">
        <v>71942.539999999994</v>
      </c>
      <c r="P1538" s="63">
        <f>107913.81-35971.27</f>
        <v>71942.540000000008</v>
      </c>
      <c r="Q1538" s="17">
        <f t="shared" si="36"/>
        <v>0</v>
      </c>
      <c r="R1538" s="285" t="s">
        <v>5364</v>
      </c>
      <c r="S1538" s="14">
        <v>43427</v>
      </c>
      <c r="T1538" s="22" t="s">
        <v>8560</v>
      </c>
    </row>
    <row r="1539" spans="1:20" ht="69" customHeight="1" x14ac:dyDescent="0.2">
      <c r="A1539" s="21">
        <v>1566</v>
      </c>
      <c r="B1539" s="12" t="s">
        <v>8558</v>
      </c>
      <c r="C1539" s="289"/>
      <c r="D1539" s="13" t="s">
        <v>8564</v>
      </c>
      <c r="E1539" s="22" t="s">
        <v>8071</v>
      </c>
      <c r="F1539" s="9"/>
      <c r="G1539" s="285" t="s">
        <v>7981</v>
      </c>
      <c r="H1539" s="285" t="s">
        <v>5127</v>
      </c>
      <c r="I1539" s="18"/>
      <c r="J1539" s="285" t="s">
        <v>3136</v>
      </c>
      <c r="K1539" s="14">
        <v>43463</v>
      </c>
      <c r="L1539" s="285">
        <v>1334</v>
      </c>
      <c r="M1539" s="15">
        <v>43445</v>
      </c>
      <c r="N1539" s="24">
        <v>1</v>
      </c>
      <c r="O1539" s="63">
        <v>1997.29</v>
      </c>
      <c r="P1539" s="63">
        <v>1997.29</v>
      </c>
      <c r="Q1539" s="17">
        <f t="shared" si="36"/>
        <v>0</v>
      </c>
      <c r="R1539" s="285" t="s">
        <v>5364</v>
      </c>
      <c r="S1539" s="14">
        <v>43427</v>
      </c>
      <c r="T1539" s="22" t="s">
        <v>8560</v>
      </c>
    </row>
    <row r="1540" spans="1:20" ht="65.25" customHeight="1" x14ac:dyDescent="0.2">
      <c r="A1540" s="21">
        <v>1567</v>
      </c>
      <c r="B1540" s="12" t="s">
        <v>8567</v>
      </c>
      <c r="C1540" s="289"/>
      <c r="D1540" s="13" t="s">
        <v>8573</v>
      </c>
      <c r="E1540" s="22" t="s">
        <v>8071</v>
      </c>
      <c r="F1540" s="9" t="s">
        <v>8574</v>
      </c>
      <c r="G1540" s="285" t="s">
        <v>4946</v>
      </c>
      <c r="H1540" s="285" t="s">
        <v>5127</v>
      </c>
      <c r="I1540" s="289"/>
      <c r="J1540" s="285" t="s">
        <v>3136</v>
      </c>
      <c r="K1540" s="14">
        <v>43463</v>
      </c>
      <c r="L1540" s="285">
        <v>1328</v>
      </c>
      <c r="M1540" s="15">
        <v>43438</v>
      </c>
      <c r="N1540" s="24">
        <v>1</v>
      </c>
      <c r="O1540" s="63">
        <v>42239</v>
      </c>
      <c r="P1540" s="63">
        <v>42239</v>
      </c>
      <c r="Q1540" s="17">
        <f t="shared" si="36"/>
        <v>0</v>
      </c>
      <c r="R1540" s="285" t="s">
        <v>5110</v>
      </c>
      <c r="S1540" s="14">
        <v>43298</v>
      </c>
      <c r="T1540" s="22" t="s">
        <v>8575</v>
      </c>
    </row>
    <row r="1541" spans="1:20" ht="65.25" customHeight="1" x14ac:dyDescent="0.2">
      <c r="A1541" s="21">
        <v>1568</v>
      </c>
      <c r="B1541" s="12" t="s">
        <v>8568</v>
      </c>
      <c r="C1541" s="289"/>
      <c r="D1541" s="13" t="s">
        <v>8576</v>
      </c>
      <c r="E1541" s="22" t="s">
        <v>8071</v>
      </c>
      <c r="F1541" s="9" t="s">
        <v>8577</v>
      </c>
      <c r="G1541" s="285" t="s">
        <v>4946</v>
      </c>
      <c r="H1541" s="285" t="s">
        <v>5127</v>
      </c>
      <c r="I1541" s="289"/>
      <c r="J1541" s="285" t="s">
        <v>3136</v>
      </c>
      <c r="K1541" s="14">
        <v>43463</v>
      </c>
      <c r="L1541" s="285">
        <v>1328</v>
      </c>
      <c r="M1541" s="15">
        <v>43438</v>
      </c>
      <c r="N1541" s="24">
        <v>1</v>
      </c>
      <c r="O1541" s="63">
        <v>230308</v>
      </c>
      <c r="P1541" s="63">
        <v>92123.04</v>
      </c>
      <c r="Q1541" s="17">
        <f t="shared" si="36"/>
        <v>138184.96000000002</v>
      </c>
      <c r="R1541" s="285" t="s">
        <v>5110</v>
      </c>
      <c r="S1541" s="14">
        <v>43388</v>
      </c>
      <c r="T1541" s="22" t="s">
        <v>8578</v>
      </c>
    </row>
    <row r="1542" spans="1:20" ht="63.75" customHeight="1" x14ac:dyDescent="0.2">
      <c r="A1542" s="21">
        <v>1569</v>
      </c>
      <c r="B1542" s="12" t="s">
        <v>8569</v>
      </c>
      <c r="C1542" s="289"/>
      <c r="D1542" s="13" t="s">
        <v>8579</v>
      </c>
      <c r="E1542" s="22" t="s">
        <v>8071</v>
      </c>
      <c r="F1542" s="9" t="s">
        <v>8580</v>
      </c>
      <c r="G1542" s="285" t="s">
        <v>4946</v>
      </c>
      <c r="H1542" s="285" t="s">
        <v>5127</v>
      </c>
      <c r="I1542" s="289"/>
      <c r="J1542" s="285" t="s">
        <v>3136</v>
      </c>
      <c r="K1542" s="14">
        <v>43463</v>
      </c>
      <c r="L1542" s="285">
        <v>1328</v>
      </c>
      <c r="M1542" s="15">
        <v>43438</v>
      </c>
      <c r="N1542" s="24">
        <v>1</v>
      </c>
      <c r="O1542" s="63">
        <v>410648</v>
      </c>
      <c r="P1542" s="63">
        <v>164259.35999999999</v>
      </c>
      <c r="Q1542" s="17">
        <f t="shared" si="36"/>
        <v>246388.64</v>
      </c>
      <c r="R1542" s="285" t="s">
        <v>5110</v>
      </c>
      <c r="S1542" s="14">
        <v>43388</v>
      </c>
      <c r="T1542" s="22" t="s">
        <v>8581</v>
      </c>
    </row>
    <row r="1543" spans="1:20" ht="63.75" customHeight="1" x14ac:dyDescent="0.2">
      <c r="A1543" s="21">
        <v>1570</v>
      </c>
      <c r="B1543" s="12" t="s">
        <v>8570</v>
      </c>
      <c r="C1543" s="289"/>
      <c r="D1543" s="13" t="s">
        <v>8584</v>
      </c>
      <c r="E1543" s="22" t="s">
        <v>8071</v>
      </c>
      <c r="F1543" s="9" t="s">
        <v>8582</v>
      </c>
      <c r="G1543" s="285" t="s">
        <v>4946</v>
      </c>
      <c r="H1543" s="285" t="s">
        <v>5127</v>
      </c>
      <c r="I1543" s="289"/>
      <c r="J1543" s="285" t="s">
        <v>3136</v>
      </c>
      <c r="K1543" s="14">
        <v>43463</v>
      </c>
      <c r="L1543" s="285">
        <v>1328</v>
      </c>
      <c r="M1543" s="15">
        <v>43438</v>
      </c>
      <c r="N1543" s="24">
        <v>1</v>
      </c>
      <c r="O1543" s="63">
        <v>300144.5</v>
      </c>
      <c r="P1543" s="63">
        <v>120057.60000000001</v>
      </c>
      <c r="Q1543" s="17">
        <f t="shared" si="36"/>
        <v>180086.9</v>
      </c>
      <c r="R1543" s="285" t="s">
        <v>5110</v>
      </c>
      <c r="S1543" s="14">
        <v>43321</v>
      </c>
      <c r="T1543" s="22" t="s">
        <v>8583</v>
      </c>
    </row>
    <row r="1544" spans="1:20" ht="62.25" customHeight="1" x14ac:dyDescent="0.2">
      <c r="A1544" s="21">
        <v>1571</v>
      </c>
      <c r="B1544" s="12" t="s">
        <v>8571</v>
      </c>
      <c r="C1544" s="289"/>
      <c r="D1544" s="13" t="s">
        <v>8585</v>
      </c>
      <c r="E1544" s="22" t="s">
        <v>8071</v>
      </c>
      <c r="F1544" s="9" t="s">
        <v>8586</v>
      </c>
      <c r="G1544" s="285" t="s">
        <v>4946</v>
      </c>
      <c r="H1544" s="285" t="s">
        <v>5127</v>
      </c>
      <c r="I1544" s="289"/>
      <c r="J1544" s="285" t="s">
        <v>3136</v>
      </c>
      <c r="K1544" s="14">
        <v>43463</v>
      </c>
      <c r="L1544" s="285">
        <v>1328</v>
      </c>
      <c r="M1544" s="15">
        <v>43438</v>
      </c>
      <c r="N1544" s="24">
        <v>1</v>
      </c>
      <c r="O1544" s="63">
        <v>416371</v>
      </c>
      <c r="P1544" s="63">
        <v>166548.48000000001</v>
      </c>
      <c r="Q1544" s="17">
        <f t="shared" si="36"/>
        <v>249822.52</v>
      </c>
      <c r="R1544" s="285" t="s">
        <v>5110</v>
      </c>
      <c r="S1544" s="14">
        <v>43298</v>
      </c>
      <c r="T1544" s="22" t="s">
        <v>8587</v>
      </c>
    </row>
    <row r="1545" spans="1:20" ht="62.25" customHeight="1" x14ac:dyDescent="0.2">
      <c r="A1545" s="21">
        <v>1572</v>
      </c>
      <c r="B1545" s="12" t="s">
        <v>8572</v>
      </c>
      <c r="C1545" s="289"/>
      <c r="D1545" s="13" t="s">
        <v>8588</v>
      </c>
      <c r="E1545" s="22" t="s">
        <v>8071</v>
      </c>
      <c r="F1545" s="9" t="s">
        <v>8589</v>
      </c>
      <c r="G1545" s="285" t="s">
        <v>4946</v>
      </c>
      <c r="H1545" s="285" t="s">
        <v>5127</v>
      </c>
      <c r="I1545" s="289"/>
      <c r="J1545" s="285" t="s">
        <v>3136</v>
      </c>
      <c r="K1545" s="14">
        <v>43463</v>
      </c>
      <c r="L1545" s="285">
        <v>1328</v>
      </c>
      <c r="M1545" s="15">
        <v>43438</v>
      </c>
      <c r="N1545" s="24">
        <v>1</v>
      </c>
      <c r="O1545" s="63">
        <v>374351</v>
      </c>
      <c r="P1545" s="63">
        <v>213914.88</v>
      </c>
      <c r="Q1545" s="17">
        <f t="shared" si="36"/>
        <v>160436.12</v>
      </c>
      <c r="R1545" s="285" t="s">
        <v>5110</v>
      </c>
      <c r="S1545" s="14">
        <v>43292</v>
      </c>
      <c r="T1545" s="22" t="s">
        <v>8590</v>
      </c>
    </row>
    <row r="1546" spans="1:20" ht="52.5" customHeight="1" x14ac:dyDescent="0.2">
      <c r="A1546" s="21">
        <v>1573</v>
      </c>
      <c r="B1546" s="12" t="s">
        <v>8591</v>
      </c>
      <c r="C1546" s="289"/>
      <c r="D1546" s="13" t="s">
        <v>8592</v>
      </c>
      <c r="E1546" s="22" t="s">
        <v>8071</v>
      </c>
      <c r="F1546" s="9" t="s">
        <v>8593</v>
      </c>
      <c r="G1546" s="285" t="s">
        <v>8293</v>
      </c>
      <c r="H1546" s="285" t="s">
        <v>5127</v>
      </c>
      <c r="I1546" s="289"/>
      <c r="J1546" s="285" t="s">
        <v>3136</v>
      </c>
      <c r="K1546" s="14" t="s">
        <v>11782</v>
      </c>
      <c r="L1546" s="285" t="s">
        <v>11781</v>
      </c>
      <c r="M1546" s="15">
        <v>43454</v>
      </c>
      <c r="N1546" s="24">
        <v>1</v>
      </c>
      <c r="O1546" s="63">
        <v>132324</v>
      </c>
      <c r="P1546" s="63">
        <v>69577.86</v>
      </c>
      <c r="Q1546" s="17">
        <f t="shared" si="36"/>
        <v>62746.14</v>
      </c>
      <c r="R1546" s="285" t="s">
        <v>3149</v>
      </c>
      <c r="S1546" s="14">
        <v>43335</v>
      </c>
      <c r="T1546" s="22" t="s">
        <v>8594</v>
      </c>
    </row>
    <row r="1547" spans="1:20" ht="52.5" customHeight="1" x14ac:dyDescent="0.2">
      <c r="A1547" s="21">
        <v>1574</v>
      </c>
      <c r="B1547" s="12" t="s">
        <v>8614</v>
      </c>
      <c r="C1547" s="289"/>
      <c r="D1547" s="9" t="s">
        <v>8618</v>
      </c>
      <c r="E1547" s="22" t="s">
        <v>8615</v>
      </c>
      <c r="F1547" s="9" t="s">
        <v>8616</v>
      </c>
      <c r="G1547" s="285" t="s">
        <v>4946</v>
      </c>
      <c r="H1547" s="285" t="s">
        <v>5127</v>
      </c>
      <c r="I1547" s="289"/>
      <c r="J1547" s="285" t="s">
        <v>3136</v>
      </c>
      <c r="K1547" s="14">
        <v>43493</v>
      </c>
      <c r="L1547" s="285">
        <v>94</v>
      </c>
      <c r="M1547" s="15">
        <v>43475</v>
      </c>
      <c r="N1547" s="24">
        <v>1</v>
      </c>
      <c r="O1547" s="63">
        <v>16742</v>
      </c>
      <c r="P1547" s="63">
        <v>16742</v>
      </c>
      <c r="Q1547" s="17">
        <f t="shared" si="36"/>
        <v>0</v>
      </c>
      <c r="R1547" s="285" t="s">
        <v>3418</v>
      </c>
      <c r="S1547" s="14">
        <v>43475</v>
      </c>
      <c r="T1547" s="22" t="s">
        <v>8617</v>
      </c>
    </row>
    <row r="1548" spans="1:20" ht="59.25" customHeight="1" x14ac:dyDescent="0.2">
      <c r="A1548" s="21">
        <v>1575</v>
      </c>
      <c r="B1548" s="12" t="s">
        <v>8621</v>
      </c>
      <c r="C1548" s="289"/>
      <c r="D1548" s="9" t="s">
        <v>8632</v>
      </c>
      <c r="E1548" s="22" t="s">
        <v>8615</v>
      </c>
      <c r="F1548" s="9" t="s">
        <v>8630</v>
      </c>
      <c r="G1548" s="285" t="s">
        <v>4946</v>
      </c>
      <c r="H1548" s="285" t="s">
        <v>5127</v>
      </c>
      <c r="I1548" s="289"/>
      <c r="J1548" s="285" t="s">
        <v>3136</v>
      </c>
      <c r="K1548" s="14">
        <v>43770</v>
      </c>
      <c r="L1548" s="285">
        <v>892</v>
      </c>
      <c r="M1548" s="15">
        <v>43479</v>
      </c>
      <c r="N1548" s="24">
        <v>3</v>
      </c>
      <c r="O1548" s="63">
        <v>65415.81</v>
      </c>
      <c r="P1548" s="63">
        <v>65415.81</v>
      </c>
      <c r="Q1548" s="17">
        <f t="shared" si="36"/>
        <v>0</v>
      </c>
      <c r="R1548" s="285" t="s">
        <v>3012</v>
      </c>
      <c r="S1548" s="14">
        <v>43448</v>
      </c>
      <c r="T1548" s="22" t="s">
        <v>8631</v>
      </c>
    </row>
    <row r="1549" spans="1:20" ht="37.5" customHeight="1" x14ac:dyDescent="0.2">
      <c r="A1549" s="21">
        <v>1576</v>
      </c>
      <c r="B1549" s="12" t="s">
        <v>8622</v>
      </c>
      <c r="C1549" s="289"/>
      <c r="D1549" s="9" t="s">
        <v>8633</v>
      </c>
      <c r="E1549" s="22" t="s">
        <v>8615</v>
      </c>
      <c r="F1549" s="9" t="s">
        <v>8634</v>
      </c>
      <c r="G1549" s="285" t="s">
        <v>4946</v>
      </c>
      <c r="H1549" s="285" t="s">
        <v>5127</v>
      </c>
      <c r="I1549" s="289"/>
      <c r="J1549" s="285" t="s">
        <v>3136</v>
      </c>
      <c r="K1549" s="14">
        <v>43770</v>
      </c>
      <c r="L1549" s="285">
        <v>892</v>
      </c>
      <c r="M1549" s="15">
        <v>43479</v>
      </c>
      <c r="N1549" s="24">
        <v>2</v>
      </c>
      <c r="O1549" s="63">
        <v>55919.16</v>
      </c>
      <c r="P1549" s="63">
        <v>55919.16</v>
      </c>
      <c r="Q1549" s="17">
        <f t="shared" si="36"/>
        <v>0</v>
      </c>
      <c r="R1549" s="285" t="s">
        <v>3012</v>
      </c>
      <c r="S1549" s="14">
        <v>43448</v>
      </c>
      <c r="T1549" s="22" t="s">
        <v>8631</v>
      </c>
    </row>
    <row r="1550" spans="1:20" ht="77.25" customHeight="1" x14ac:dyDescent="0.2">
      <c r="A1550" s="21">
        <v>1577</v>
      </c>
      <c r="B1550" s="12" t="s">
        <v>8623</v>
      </c>
      <c r="C1550" s="289"/>
      <c r="D1550" s="9" t="s">
        <v>8638</v>
      </c>
      <c r="E1550" s="22" t="s">
        <v>8615</v>
      </c>
      <c r="F1550" s="9" t="s">
        <v>8634</v>
      </c>
      <c r="G1550" s="285" t="s">
        <v>4946</v>
      </c>
      <c r="H1550" s="285" t="s">
        <v>5127</v>
      </c>
      <c r="I1550" s="289"/>
      <c r="J1550" s="285" t="s">
        <v>3136</v>
      </c>
      <c r="K1550" s="14">
        <v>43770</v>
      </c>
      <c r="L1550" s="285">
        <v>892</v>
      </c>
      <c r="M1550" s="15">
        <v>43479</v>
      </c>
      <c r="N1550" s="24">
        <v>4</v>
      </c>
      <c r="O1550" s="63">
        <v>46393.96</v>
      </c>
      <c r="P1550" s="63">
        <v>46393.96</v>
      </c>
      <c r="Q1550" s="17">
        <f t="shared" si="36"/>
        <v>0</v>
      </c>
      <c r="R1550" s="285" t="s">
        <v>3012</v>
      </c>
      <c r="S1550" s="14">
        <v>43448</v>
      </c>
      <c r="T1550" s="22" t="s">
        <v>8631</v>
      </c>
    </row>
    <row r="1551" spans="1:20" ht="49.5" customHeight="1" x14ac:dyDescent="0.2">
      <c r="A1551" s="21">
        <v>1578</v>
      </c>
      <c r="B1551" s="12" t="s">
        <v>8624</v>
      </c>
      <c r="C1551" s="289"/>
      <c r="D1551" s="9" t="s">
        <v>8636</v>
      </c>
      <c r="E1551" s="22" t="s">
        <v>8615</v>
      </c>
      <c r="F1551" s="9" t="s">
        <v>8637</v>
      </c>
      <c r="G1551" s="285" t="s">
        <v>4946</v>
      </c>
      <c r="H1551" s="285" t="s">
        <v>5127</v>
      </c>
      <c r="I1551" s="289"/>
      <c r="J1551" s="285" t="s">
        <v>3136</v>
      </c>
      <c r="K1551" s="14">
        <v>43770</v>
      </c>
      <c r="L1551" s="285">
        <v>892</v>
      </c>
      <c r="M1551" s="15">
        <v>43479</v>
      </c>
      <c r="N1551" s="24">
        <v>2</v>
      </c>
      <c r="O1551" s="63">
        <v>221209.52</v>
      </c>
      <c r="P1551" s="63">
        <v>61447.08</v>
      </c>
      <c r="Q1551" s="17">
        <f t="shared" si="36"/>
        <v>159762.44</v>
      </c>
      <c r="R1551" s="285" t="s">
        <v>3012</v>
      </c>
      <c r="S1551" s="14">
        <v>43448</v>
      </c>
      <c r="T1551" s="22" t="s">
        <v>8631</v>
      </c>
    </row>
    <row r="1552" spans="1:20" ht="44.25" customHeight="1" x14ac:dyDescent="0.2">
      <c r="A1552" s="21">
        <v>1579</v>
      </c>
      <c r="B1552" s="12" t="s">
        <v>8625</v>
      </c>
      <c r="C1552" s="289"/>
      <c r="D1552" s="9" t="s">
        <v>8639</v>
      </c>
      <c r="E1552" s="22" t="s">
        <v>8615</v>
      </c>
      <c r="F1552" s="9" t="s">
        <v>8640</v>
      </c>
      <c r="G1552" s="285" t="s">
        <v>4946</v>
      </c>
      <c r="H1552" s="49" t="s">
        <v>5127</v>
      </c>
      <c r="I1552" s="30"/>
      <c r="J1552" s="49" t="s">
        <v>3136</v>
      </c>
      <c r="K1552" s="32">
        <v>43770</v>
      </c>
      <c r="L1552" s="37">
        <v>892</v>
      </c>
      <c r="M1552" s="15">
        <v>43479</v>
      </c>
      <c r="N1552" s="24">
        <v>1</v>
      </c>
      <c r="O1552" s="63">
        <v>15299.35</v>
      </c>
      <c r="P1552" s="63">
        <v>15299.35</v>
      </c>
      <c r="Q1552" s="17">
        <f t="shared" si="36"/>
        <v>0</v>
      </c>
      <c r="R1552" s="285" t="s">
        <v>3012</v>
      </c>
      <c r="S1552" s="14">
        <v>43448</v>
      </c>
      <c r="T1552" s="22" t="s">
        <v>8635</v>
      </c>
    </row>
    <row r="1553" spans="1:20" ht="45.75" customHeight="1" x14ac:dyDescent="0.2">
      <c r="A1553" s="21">
        <v>1580</v>
      </c>
      <c r="B1553" s="42" t="s">
        <v>8626</v>
      </c>
      <c r="C1553" s="30"/>
      <c r="D1553" s="46" t="s">
        <v>8641</v>
      </c>
      <c r="E1553" s="119" t="s">
        <v>8615</v>
      </c>
      <c r="F1553" s="46" t="s">
        <v>8642</v>
      </c>
      <c r="G1553" s="49" t="s">
        <v>4946</v>
      </c>
      <c r="H1553" s="49" t="s">
        <v>5127</v>
      </c>
      <c r="I1553" s="30"/>
      <c r="J1553" s="49" t="s">
        <v>3136</v>
      </c>
      <c r="K1553" s="274">
        <v>43770</v>
      </c>
      <c r="L1553" s="71">
        <v>892</v>
      </c>
      <c r="M1553" s="15">
        <v>43479</v>
      </c>
      <c r="N1553" s="24">
        <v>1</v>
      </c>
      <c r="O1553" s="63">
        <v>56888.79</v>
      </c>
      <c r="P1553" s="63">
        <v>56888.79</v>
      </c>
      <c r="Q1553" s="17">
        <f t="shared" si="36"/>
        <v>0</v>
      </c>
      <c r="R1553" s="49" t="s">
        <v>3012</v>
      </c>
      <c r="S1553" s="53">
        <v>43448</v>
      </c>
      <c r="T1553" s="119" t="s">
        <v>8635</v>
      </c>
    </row>
    <row r="1554" spans="1:20" ht="44.25" customHeight="1" x14ac:dyDescent="0.2">
      <c r="A1554" s="21">
        <v>1581</v>
      </c>
      <c r="B1554" s="12" t="s">
        <v>8627</v>
      </c>
      <c r="C1554" s="289"/>
      <c r="D1554" s="9" t="s">
        <v>8643</v>
      </c>
      <c r="E1554" s="22" t="s">
        <v>8615</v>
      </c>
      <c r="F1554" s="9" t="s">
        <v>8644</v>
      </c>
      <c r="G1554" s="285" t="s">
        <v>4946</v>
      </c>
      <c r="H1554" s="285" t="s">
        <v>5127</v>
      </c>
      <c r="I1554" s="289"/>
      <c r="J1554" s="285" t="s">
        <v>3136</v>
      </c>
      <c r="K1554" s="32">
        <v>43770</v>
      </c>
      <c r="L1554" s="37">
        <v>892</v>
      </c>
      <c r="M1554" s="57">
        <v>43479</v>
      </c>
      <c r="N1554" s="33">
        <v>1</v>
      </c>
      <c r="O1554" s="61">
        <v>34915.99</v>
      </c>
      <c r="P1554" s="61">
        <v>34915.99</v>
      </c>
      <c r="Q1554" s="17">
        <f t="shared" si="36"/>
        <v>0</v>
      </c>
      <c r="R1554" s="285" t="s">
        <v>3012</v>
      </c>
      <c r="S1554" s="14">
        <v>43448</v>
      </c>
      <c r="T1554" s="22" t="s">
        <v>8635</v>
      </c>
    </row>
    <row r="1555" spans="1:20" ht="48" customHeight="1" x14ac:dyDescent="0.2">
      <c r="A1555" s="21">
        <v>1582</v>
      </c>
      <c r="B1555" s="12" t="s">
        <v>8628</v>
      </c>
      <c r="C1555" s="289"/>
      <c r="D1555" s="9" t="s">
        <v>8645</v>
      </c>
      <c r="E1555" s="22" t="s">
        <v>8615</v>
      </c>
      <c r="F1555" s="9" t="s">
        <v>8646</v>
      </c>
      <c r="G1555" s="285" t="s">
        <v>4946</v>
      </c>
      <c r="H1555" s="285" t="s">
        <v>5127</v>
      </c>
      <c r="I1555" s="289"/>
      <c r="J1555" s="285" t="s">
        <v>3136</v>
      </c>
      <c r="K1555" s="32">
        <v>43770</v>
      </c>
      <c r="L1555" s="37">
        <v>892</v>
      </c>
      <c r="M1555" s="57">
        <v>43479</v>
      </c>
      <c r="N1555" s="33">
        <v>1</v>
      </c>
      <c r="O1555" s="61">
        <v>11274.17</v>
      </c>
      <c r="P1555" s="61">
        <v>11274.17</v>
      </c>
      <c r="Q1555" s="17">
        <f t="shared" si="36"/>
        <v>0</v>
      </c>
      <c r="R1555" s="285" t="s">
        <v>3012</v>
      </c>
      <c r="S1555" s="14">
        <v>43448</v>
      </c>
      <c r="T1555" s="22" t="s">
        <v>8635</v>
      </c>
    </row>
    <row r="1556" spans="1:20" ht="48" customHeight="1" x14ac:dyDescent="0.2">
      <c r="A1556" s="21">
        <v>1583</v>
      </c>
      <c r="B1556" s="12" t="s">
        <v>8629</v>
      </c>
      <c r="C1556" s="289"/>
      <c r="D1556" s="9" t="s">
        <v>8647</v>
      </c>
      <c r="E1556" s="22" t="s">
        <v>8615</v>
      </c>
      <c r="F1556" s="9" t="s">
        <v>8648</v>
      </c>
      <c r="G1556" s="285" t="s">
        <v>4946</v>
      </c>
      <c r="H1556" s="285" t="s">
        <v>5127</v>
      </c>
      <c r="I1556" s="289"/>
      <c r="J1556" s="285" t="s">
        <v>3136</v>
      </c>
      <c r="K1556" s="32">
        <v>43770</v>
      </c>
      <c r="L1556" s="37">
        <v>892</v>
      </c>
      <c r="M1556" s="57">
        <v>43479</v>
      </c>
      <c r="N1556" s="33">
        <v>2</v>
      </c>
      <c r="O1556" s="61">
        <v>38808.080000000002</v>
      </c>
      <c r="P1556" s="61">
        <v>38808.080000000002</v>
      </c>
      <c r="Q1556" s="17">
        <f t="shared" si="36"/>
        <v>0</v>
      </c>
      <c r="R1556" s="285" t="s">
        <v>3012</v>
      </c>
      <c r="S1556" s="14">
        <v>43448</v>
      </c>
      <c r="T1556" s="22" t="s">
        <v>8635</v>
      </c>
    </row>
    <row r="1557" spans="1:20" ht="135" customHeight="1" x14ac:dyDescent="0.2">
      <c r="A1557" s="21">
        <v>1584</v>
      </c>
      <c r="B1557" s="12" t="s">
        <v>8649</v>
      </c>
      <c r="C1557" s="289"/>
      <c r="D1557" s="9" t="s">
        <v>8651</v>
      </c>
      <c r="E1557" s="22" t="s">
        <v>8615</v>
      </c>
      <c r="F1557" s="9" t="s">
        <v>8652</v>
      </c>
      <c r="G1557" s="285" t="s">
        <v>4946</v>
      </c>
      <c r="H1557" s="285" t="s">
        <v>5127</v>
      </c>
      <c r="I1557" s="289"/>
      <c r="J1557" s="285" t="s">
        <v>3136</v>
      </c>
      <c r="K1557" s="14">
        <v>43770</v>
      </c>
      <c r="L1557" s="37">
        <v>892</v>
      </c>
      <c r="M1557" s="57">
        <v>43479</v>
      </c>
      <c r="N1557" s="33">
        <v>4</v>
      </c>
      <c r="O1557" s="61">
        <v>139364.20000000001</v>
      </c>
      <c r="P1557" s="61">
        <v>139364.20000000001</v>
      </c>
      <c r="Q1557" s="17">
        <f t="shared" si="36"/>
        <v>0</v>
      </c>
      <c r="R1557" s="285" t="s">
        <v>3012</v>
      </c>
      <c r="S1557" s="14">
        <v>43448</v>
      </c>
      <c r="T1557" s="22" t="s">
        <v>8635</v>
      </c>
    </row>
    <row r="1558" spans="1:20" ht="121.5" customHeight="1" x14ac:dyDescent="0.2">
      <c r="A1558" s="21">
        <v>1585</v>
      </c>
      <c r="B1558" s="12" t="s">
        <v>8650</v>
      </c>
      <c r="C1558" s="289"/>
      <c r="D1558" s="9" t="s">
        <v>8656</v>
      </c>
      <c r="E1558" s="22" t="s">
        <v>8615</v>
      </c>
      <c r="F1558" s="9" t="s">
        <v>8653</v>
      </c>
      <c r="G1558" s="285" t="s">
        <v>4946</v>
      </c>
      <c r="H1558" s="285" t="s">
        <v>5127</v>
      </c>
      <c r="I1558" s="289"/>
      <c r="J1558" s="285" t="s">
        <v>3136</v>
      </c>
      <c r="K1558" s="14">
        <v>43770</v>
      </c>
      <c r="L1558" s="285">
        <v>892</v>
      </c>
      <c r="M1558" s="15">
        <v>43479</v>
      </c>
      <c r="N1558" s="24">
        <v>4</v>
      </c>
      <c r="O1558" s="63">
        <v>77069</v>
      </c>
      <c r="P1558" s="63">
        <v>77069</v>
      </c>
      <c r="Q1558" s="17">
        <f t="shared" ref="Q1558:Q1621" si="37">O1558-P1558</f>
        <v>0</v>
      </c>
      <c r="R1558" s="285" t="s">
        <v>3012</v>
      </c>
      <c r="S1558" s="14">
        <v>43448</v>
      </c>
      <c r="T1558" s="22" t="s">
        <v>8635</v>
      </c>
    </row>
    <row r="1559" spans="1:20" ht="122.25" customHeight="1" x14ac:dyDescent="0.2">
      <c r="A1559" s="21">
        <v>1586</v>
      </c>
      <c r="B1559" s="12" t="s">
        <v>8654</v>
      </c>
      <c r="C1559" s="289"/>
      <c r="D1559" s="9" t="s">
        <v>8657</v>
      </c>
      <c r="E1559" s="22" t="s">
        <v>8615</v>
      </c>
      <c r="F1559" s="9" t="s">
        <v>8658</v>
      </c>
      <c r="G1559" s="285" t="s">
        <v>4946</v>
      </c>
      <c r="H1559" s="285" t="s">
        <v>5127</v>
      </c>
      <c r="I1559" s="289"/>
      <c r="J1559" s="285" t="s">
        <v>3136</v>
      </c>
      <c r="K1559" s="14">
        <v>43770</v>
      </c>
      <c r="L1559" s="37">
        <v>892</v>
      </c>
      <c r="M1559" s="57">
        <v>43479</v>
      </c>
      <c r="N1559" s="33">
        <v>4</v>
      </c>
      <c r="O1559" s="61">
        <v>73570.720000000001</v>
      </c>
      <c r="P1559" s="61">
        <v>73570.720000000001</v>
      </c>
      <c r="Q1559" s="17">
        <f t="shared" si="37"/>
        <v>0</v>
      </c>
      <c r="R1559" s="285" t="s">
        <v>3012</v>
      </c>
      <c r="S1559" s="14">
        <v>43448</v>
      </c>
      <c r="T1559" s="22" t="s">
        <v>8635</v>
      </c>
    </row>
    <row r="1560" spans="1:20" ht="48.75" customHeight="1" x14ac:dyDescent="0.2">
      <c r="A1560" s="21">
        <v>1587</v>
      </c>
      <c r="B1560" s="12" t="s">
        <v>8655</v>
      </c>
      <c r="C1560" s="289"/>
      <c r="D1560" s="9" t="s">
        <v>8659</v>
      </c>
      <c r="E1560" s="22" t="s">
        <v>8615</v>
      </c>
      <c r="F1560" s="9" t="s">
        <v>8660</v>
      </c>
      <c r="G1560" s="285" t="s">
        <v>4946</v>
      </c>
      <c r="H1560" s="285" t="s">
        <v>5127</v>
      </c>
      <c r="I1560" s="289"/>
      <c r="J1560" s="285" t="s">
        <v>3136</v>
      </c>
      <c r="K1560" s="14">
        <v>43770</v>
      </c>
      <c r="L1560" s="285">
        <v>892</v>
      </c>
      <c r="M1560" s="15">
        <v>43479</v>
      </c>
      <c r="N1560" s="24">
        <v>1</v>
      </c>
      <c r="O1560" s="63">
        <v>51382.58</v>
      </c>
      <c r="P1560" s="63">
        <v>51382.58</v>
      </c>
      <c r="Q1560" s="17">
        <f t="shared" si="37"/>
        <v>0</v>
      </c>
      <c r="R1560" s="285" t="s">
        <v>3012</v>
      </c>
      <c r="S1560" s="14">
        <v>43448</v>
      </c>
      <c r="T1560" s="22" t="s">
        <v>8635</v>
      </c>
    </row>
    <row r="1561" spans="1:20" ht="48.75" customHeight="1" x14ac:dyDescent="0.2">
      <c r="A1561" s="21">
        <v>1588</v>
      </c>
      <c r="B1561" s="12" t="s">
        <v>8662</v>
      </c>
      <c r="C1561" s="289"/>
      <c r="D1561" s="9" t="s">
        <v>8663</v>
      </c>
      <c r="E1561" s="22" t="s">
        <v>8615</v>
      </c>
      <c r="F1561" s="9" t="s">
        <v>6814</v>
      </c>
      <c r="G1561" s="285" t="s">
        <v>792</v>
      </c>
      <c r="H1561" s="285" t="s">
        <v>5127</v>
      </c>
      <c r="I1561" s="289"/>
      <c r="J1561" s="285" t="s">
        <v>3136</v>
      </c>
      <c r="K1561" s="14">
        <v>43507</v>
      </c>
      <c r="L1561" s="285">
        <v>140</v>
      </c>
      <c r="M1561" s="15">
        <v>43493</v>
      </c>
      <c r="N1561" s="24">
        <v>1</v>
      </c>
      <c r="O1561" s="63">
        <v>25999</v>
      </c>
      <c r="P1561" s="63">
        <v>25999</v>
      </c>
      <c r="Q1561" s="17">
        <f t="shared" si="37"/>
        <v>0</v>
      </c>
      <c r="R1561" s="285" t="s">
        <v>3418</v>
      </c>
      <c r="S1561" s="14">
        <v>43488</v>
      </c>
      <c r="T1561" s="22"/>
    </row>
    <row r="1562" spans="1:20" ht="51" customHeight="1" x14ac:dyDescent="0.2">
      <c r="A1562" s="21">
        <v>1589</v>
      </c>
      <c r="B1562" s="12" t="s">
        <v>8664</v>
      </c>
      <c r="C1562" s="289"/>
      <c r="D1562" s="9" t="s">
        <v>8665</v>
      </c>
      <c r="E1562" s="22" t="s">
        <v>8615</v>
      </c>
      <c r="F1562" s="9" t="s">
        <v>8175</v>
      </c>
      <c r="G1562" s="285" t="s">
        <v>7981</v>
      </c>
      <c r="H1562" s="285" t="s">
        <v>5127</v>
      </c>
      <c r="I1562" s="18"/>
      <c r="J1562" s="285" t="s">
        <v>3136</v>
      </c>
      <c r="K1562" s="14">
        <v>43509</v>
      </c>
      <c r="L1562" s="285">
        <v>163</v>
      </c>
      <c r="M1562" s="15">
        <v>43482</v>
      </c>
      <c r="N1562" s="24">
        <v>1</v>
      </c>
      <c r="O1562" s="63">
        <v>27999</v>
      </c>
      <c r="P1562" s="63">
        <v>27999</v>
      </c>
      <c r="Q1562" s="17">
        <f t="shared" si="37"/>
        <v>0</v>
      </c>
      <c r="R1562" s="285" t="s">
        <v>3418</v>
      </c>
      <c r="S1562" s="14">
        <v>43482</v>
      </c>
      <c r="T1562" s="22" t="s">
        <v>8666</v>
      </c>
    </row>
    <row r="1563" spans="1:20" ht="51" customHeight="1" x14ac:dyDescent="0.2">
      <c r="A1563" s="21">
        <v>1590</v>
      </c>
      <c r="B1563" s="12" t="s">
        <v>8667</v>
      </c>
      <c r="C1563" s="289"/>
      <c r="D1563" s="9" t="s">
        <v>8668</v>
      </c>
      <c r="E1563" s="22" t="s">
        <v>8615</v>
      </c>
      <c r="F1563" s="9" t="s">
        <v>8669</v>
      </c>
      <c r="G1563" s="285" t="s">
        <v>7981</v>
      </c>
      <c r="H1563" s="285" t="s">
        <v>5127</v>
      </c>
      <c r="I1563" s="18"/>
      <c r="J1563" s="285" t="s">
        <v>3136</v>
      </c>
      <c r="K1563" s="14">
        <v>43509</v>
      </c>
      <c r="L1563" s="285">
        <v>162</v>
      </c>
      <c r="M1563" s="15">
        <v>43501</v>
      </c>
      <c r="N1563" s="24">
        <v>1</v>
      </c>
      <c r="O1563" s="63">
        <v>37788.5</v>
      </c>
      <c r="P1563" s="63">
        <v>37788.5</v>
      </c>
      <c r="Q1563" s="17">
        <f t="shared" si="37"/>
        <v>0</v>
      </c>
      <c r="R1563" s="285" t="s">
        <v>7401</v>
      </c>
      <c r="S1563" s="14">
        <v>43501</v>
      </c>
      <c r="T1563" s="22" t="s">
        <v>1029</v>
      </c>
    </row>
    <row r="1564" spans="1:20" ht="55.5" customHeight="1" x14ac:dyDescent="0.2">
      <c r="A1564" s="21">
        <v>1591</v>
      </c>
      <c r="B1564" s="12" t="s">
        <v>8670</v>
      </c>
      <c r="C1564" s="289"/>
      <c r="D1564" s="9" t="s">
        <v>8674</v>
      </c>
      <c r="E1564" s="22" t="s">
        <v>8615</v>
      </c>
      <c r="F1564" s="9" t="s">
        <v>8671</v>
      </c>
      <c r="G1564" s="285" t="s">
        <v>7464</v>
      </c>
      <c r="H1564" s="285" t="s">
        <v>5127</v>
      </c>
      <c r="I1564" s="289"/>
      <c r="J1564" s="285" t="s">
        <v>3136</v>
      </c>
      <c r="K1564" s="14">
        <v>43516</v>
      </c>
      <c r="L1564" s="285">
        <v>176</v>
      </c>
      <c r="M1564" s="15">
        <v>43495</v>
      </c>
      <c r="N1564" s="24">
        <v>1</v>
      </c>
      <c r="O1564" s="63">
        <v>35700</v>
      </c>
      <c r="P1564" s="63">
        <v>35700</v>
      </c>
      <c r="Q1564" s="17">
        <f t="shared" si="37"/>
        <v>0</v>
      </c>
      <c r="R1564" s="285" t="s">
        <v>3418</v>
      </c>
      <c r="S1564" s="14">
        <v>43495</v>
      </c>
      <c r="T1564" s="22" t="s">
        <v>8672</v>
      </c>
    </row>
    <row r="1565" spans="1:20" ht="53.25" customHeight="1" x14ac:dyDescent="0.2">
      <c r="A1565" s="21">
        <v>1592</v>
      </c>
      <c r="B1565" s="12" t="s">
        <v>8745</v>
      </c>
      <c r="C1565" s="289"/>
      <c r="D1565" s="9" t="s">
        <v>8746</v>
      </c>
      <c r="E1565" s="22" t="s">
        <v>8615</v>
      </c>
      <c r="F1565" s="9"/>
      <c r="G1565" s="285" t="s">
        <v>4296</v>
      </c>
      <c r="H1565" s="285" t="s">
        <v>3793</v>
      </c>
      <c r="I1565" s="289"/>
      <c r="J1565" s="285" t="s">
        <v>3136</v>
      </c>
      <c r="K1565" s="14">
        <v>43522</v>
      </c>
      <c r="L1565" s="285">
        <v>190</v>
      </c>
      <c r="M1565" s="15">
        <v>43508</v>
      </c>
      <c r="N1565" s="24">
        <v>3</v>
      </c>
      <c r="O1565" s="63">
        <v>64500</v>
      </c>
      <c r="P1565" s="63">
        <v>64500</v>
      </c>
      <c r="Q1565" s="17">
        <f t="shared" si="37"/>
        <v>0</v>
      </c>
      <c r="R1565" s="285" t="s">
        <v>5110</v>
      </c>
      <c r="S1565" s="14">
        <v>43488</v>
      </c>
      <c r="T1565" s="22" t="s">
        <v>8747</v>
      </c>
    </row>
    <row r="1566" spans="1:20" ht="53.25" customHeight="1" x14ac:dyDescent="0.2">
      <c r="A1566" s="21">
        <v>1593</v>
      </c>
      <c r="B1566" s="12" t="s">
        <v>8791</v>
      </c>
      <c r="C1566" s="289"/>
      <c r="D1566" s="9" t="s">
        <v>8794</v>
      </c>
      <c r="E1566" s="22" t="s">
        <v>8615</v>
      </c>
      <c r="F1566" s="9" t="s">
        <v>8792</v>
      </c>
      <c r="G1566" s="285" t="s">
        <v>792</v>
      </c>
      <c r="H1566" s="285" t="s">
        <v>5127</v>
      </c>
      <c r="I1566" s="289"/>
      <c r="J1566" s="285" t="s">
        <v>3136</v>
      </c>
      <c r="K1566" s="14">
        <v>43542</v>
      </c>
      <c r="L1566" s="285">
        <v>235</v>
      </c>
      <c r="M1566" s="15">
        <v>43529</v>
      </c>
      <c r="N1566" s="24">
        <v>1</v>
      </c>
      <c r="O1566" s="63">
        <v>26999</v>
      </c>
      <c r="P1566" s="63">
        <v>26999</v>
      </c>
      <c r="Q1566" s="17">
        <f t="shared" si="37"/>
        <v>0</v>
      </c>
      <c r="R1566" s="285" t="s">
        <v>3418</v>
      </c>
      <c r="S1566" s="14">
        <v>43523</v>
      </c>
      <c r="T1566" s="22" t="s">
        <v>8793</v>
      </c>
    </row>
    <row r="1567" spans="1:20" ht="50.25" customHeight="1" x14ac:dyDescent="0.2">
      <c r="A1567" s="21">
        <v>1594</v>
      </c>
      <c r="B1567" s="12" t="s">
        <v>8795</v>
      </c>
      <c r="C1567" s="289"/>
      <c r="D1567" s="9" t="s">
        <v>8798</v>
      </c>
      <c r="E1567" s="22" t="s">
        <v>8615</v>
      </c>
      <c r="F1567" s="9" t="s">
        <v>8796</v>
      </c>
      <c r="G1567" s="285" t="s">
        <v>7980</v>
      </c>
      <c r="H1567" s="285" t="s">
        <v>5127</v>
      </c>
      <c r="I1567" s="289"/>
      <c r="J1567" s="285" t="s">
        <v>3136</v>
      </c>
      <c r="K1567" s="14">
        <v>43542</v>
      </c>
      <c r="L1567" s="285">
        <v>236</v>
      </c>
      <c r="M1567" s="15">
        <v>43529</v>
      </c>
      <c r="N1567" s="24">
        <v>1</v>
      </c>
      <c r="O1567" s="63">
        <v>13799</v>
      </c>
      <c r="P1567" s="63">
        <v>13799</v>
      </c>
      <c r="Q1567" s="17">
        <f t="shared" si="37"/>
        <v>0</v>
      </c>
      <c r="R1567" s="285" t="s">
        <v>3418</v>
      </c>
      <c r="S1567" s="289"/>
      <c r="T1567" s="14" t="s">
        <v>8797</v>
      </c>
    </row>
    <row r="1568" spans="1:20" ht="50.25" customHeight="1" x14ac:dyDescent="0.2">
      <c r="A1568" s="21">
        <v>1595</v>
      </c>
      <c r="B1568" s="12" t="s">
        <v>8799</v>
      </c>
      <c r="C1568" s="289"/>
      <c r="D1568" s="9" t="s">
        <v>8800</v>
      </c>
      <c r="E1568" s="22" t="s">
        <v>5394</v>
      </c>
      <c r="F1568" s="9" t="s">
        <v>8840</v>
      </c>
      <c r="G1568" s="285" t="s">
        <v>4877</v>
      </c>
      <c r="H1568" s="285" t="s">
        <v>3793</v>
      </c>
      <c r="I1568" s="289"/>
      <c r="J1568" s="285" t="s">
        <v>3686</v>
      </c>
      <c r="K1568" s="14" t="s">
        <v>8838</v>
      </c>
      <c r="L1568" s="285" t="s">
        <v>8839</v>
      </c>
      <c r="M1568" s="15">
        <v>39722</v>
      </c>
      <c r="N1568" s="40">
        <v>1</v>
      </c>
      <c r="O1568" s="40">
        <v>7429.76</v>
      </c>
      <c r="P1568" s="40">
        <v>7429.76</v>
      </c>
      <c r="Q1568" s="17">
        <f t="shared" si="37"/>
        <v>0</v>
      </c>
      <c r="R1568" s="289"/>
      <c r="S1568" s="289"/>
      <c r="T1568" s="9"/>
    </row>
    <row r="1569" spans="1:20" ht="45.75" customHeight="1" x14ac:dyDescent="0.2">
      <c r="A1569" s="21">
        <v>1596</v>
      </c>
      <c r="B1569" s="12" t="s">
        <v>8809</v>
      </c>
      <c r="C1569" s="289"/>
      <c r="D1569" s="9" t="s">
        <v>8818</v>
      </c>
      <c r="E1569" s="22" t="s">
        <v>8071</v>
      </c>
      <c r="F1569" s="9" t="s">
        <v>8819</v>
      </c>
      <c r="G1569" s="285" t="s">
        <v>4946</v>
      </c>
      <c r="H1569" s="285" t="s">
        <v>5127</v>
      </c>
      <c r="I1569" s="289"/>
      <c r="J1569" s="285" t="s">
        <v>3136</v>
      </c>
      <c r="K1569" s="14">
        <v>43770</v>
      </c>
      <c r="L1569" s="285">
        <v>892</v>
      </c>
      <c r="M1569" s="15">
        <v>43528</v>
      </c>
      <c r="N1569" s="40">
        <v>1</v>
      </c>
      <c r="O1569" s="40">
        <v>1047588.12</v>
      </c>
      <c r="P1569" s="40">
        <v>698391.98</v>
      </c>
      <c r="Q1569" s="17">
        <f t="shared" si="37"/>
        <v>349196.14</v>
      </c>
      <c r="R1569" s="285" t="s">
        <v>3012</v>
      </c>
      <c r="S1569" s="15">
        <v>43458</v>
      </c>
      <c r="T1569" s="22" t="s">
        <v>8822</v>
      </c>
    </row>
    <row r="1570" spans="1:20" ht="45.75" customHeight="1" x14ac:dyDescent="0.2">
      <c r="A1570" s="21">
        <v>1597</v>
      </c>
      <c r="B1570" s="12" t="s">
        <v>8810</v>
      </c>
      <c r="C1570" s="289"/>
      <c r="D1570" s="9" t="s">
        <v>8820</v>
      </c>
      <c r="E1570" s="22" t="s">
        <v>8071</v>
      </c>
      <c r="F1570" s="9" t="s">
        <v>8821</v>
      </c>
      <c r="G1570" s="285" t="s">
        <v>4946</v>
      </c>
      <c r="H1570" s="285" t="s">
        <v>5127</v>
      </c>
      <c r="I1570" s="289"/>
      <c r="J1570" s="285" t="s">
        <v>3136</v>
      </c>
      <c r="K1570" s="14">
        <v>43770</v>
      </c>
      <c r="L1570" s="285">
        <v>892</v>
      </c>
      <c r="M1570" s="15">
        <v>43528</v>
      </c>
      <c r="N1570" s="40">
        <v>4</v>
      </c>
      <c r="O1570" s="40">
        <v>260362</v>
      </c>
      <c r="P1570" s="40">
        <v>260362</v>
      </c>
      <c r="Q1570" s="17">
        <f t="shared" si="37"/>
        <v>0</v>
      </c>
      <c r="R1570" s="285" t="s">
        <v>3012</v>
      </c>
      <c r="S1570" s="15">
        <v>43451</v>
      </c>
      <c r="T1570" s="22" t="s">
        <v>8823</v>
      </c>
    </row>
    <row r="1571" spans="1:20" ht="45.75" customHeight="1" x14ac:dyDescent="0.2">
      <c r="A1571" s="21">
        <v>1598</v>
      </c>
      <c r="B1571" s="12" t="s">
        <v>8811</v>
      </c>
      <c r="C1571" s="289"/>
      <c r="D1571" s="9" t="s">
        <v>8824</v>
      </c>
      <c r="E1571" s="22" t="s">
        <v>8071</v>
      </c>
      <c r="F1571" s="9" t="s">
        <v>8825</v>
      </c>
      <c r="G1571" s="285" t="s">
        <v>4946</v>
      </c>
      <c r="H1571" s="285" t="s">
        <v>5127</v>
      </c>
      <c r="I1571" s="289"/>
      <c r="J1571" s="285" t="s">
        <v>3136</v>
      </c>
      <c r="K1571" s="14">
        <v>43770</v>
      </c>
      <c r="L1571" s="285">
        <v>892</v>
      </c>
      <c r="M1571" s="15">
        <v>43528</v>
      </c>
      <c r="N1571" s="40">
        <v>6</v>
      </c>
      <c r="O1571" s="40">
        <v>77880</v>
      </c>
      <c r="P1571" s="40">
        <v>77880</v>
      </c>
      <c r="Q1571" s="17">
        <f t="shared" si="37"/>
        <v>0</v>
      </c>
      <c r="R1571" s="285" t="s">
        <v>3012</v>
      </c>
      <c r="S1571" s="15">
        <v>43458</v>
      </c>
      <c r="T1571" s="22" t="s">
        <v>8822</v>
      </c>
    </row>
    <row r="1572" spans="1:20" ht="48.75" customHeight="1" x14ac:dyDescent="0.2">
      <c r="A1572" s="21">
        <v>1599</v>
      </c>
      <c r="B1572" s="12" t="s">
        <v>8812</v>
      </c>
      <c r="C1572" s="289"/>
      <c r="D1572" s="9" t="s">
        <v>8826</v>
      </c>
      <c r="E1572" s="22" t="s">
        <v>8071</v>
      </c>
      <c r="F1572" s="9" t="s">
        <v>8827</v>
      </c>
      <c r="G1572" s="285" t="s">
        <v>4946</v>
      </c>
      <c r="H1572" s="285" t="s">
        <v>5127</v>
      </c>
      <c r="I1572" s="289"/>
      <c r="J1572" s="285" t="s">
        <v>3136</v>
      </c>
      <c r="K1572" s="14">
        <v>43770</v>
      </c>
      <c r="L1572" s="285">
        <v>892</v>
      </c>
      <c r="M1572" s="15">
        <v>43528</v>
      </c>
      <c r="N1572" s="40">
        <v>4</v>
      </c>
      <c r="O1572" s="40">
        <v>43460</v>
      </c>
      <c r="P1572" s="40">
        <v>43460</v>
      </c>
      <c r="Q1572" s="17">
        <f t="shared" si="37"/>
        <v>0</v>
      </c>
      <c r="R1572" s="285" t="s">
        <v>3012</v>
      </c>
      <c r="S1572" s="15">
        <v>43458</v>
      </c>
      <c r="T1572" s="22" t="s">
        <v>8822</v>
      </c>
    </row>
    <row r="1573" spans="1:20" ht="48.75" customHeight="1" x14ac:dyDescent="0.2">
      <c r="A1573" s="21">
        <v>1600</v>
      </c>
      <c r="B1573" s="12" t="s">
        <v>8813</v>
      </c>
      <c r="C1573" s="289"/>
      <c r="D1573" s="9" t="s">
        <v>8828</v>
      </c>
      <c r="E1573" s="22" t="s">
        <v>8071</v>
      </c>
      <c r="F1573" s="9" t="s">
        <v>8829</v>
      </c>
      <c r="G1573" s="285" t="s">
        <v>4946</v>
      </c>
      <c r="H1573" s="285" t="s">
        <v>5127</v>
      </c>
      <c r="I1573" s="289"/>
      <c r="J1573" s="285" t="s">
        <v>3136</v>
      </c>
      <c r="K1573" s="14">
        <v>43770</v>
      </c>
      <c r="L1573" s="285">
        <v>892</v>
      </c>
      <c r="M1573" s="15">
        <v>43528</v>
      </c>
      <c r="N1573" s="40">
        <v>2</v>
      </c>
      <c r="O1573" s="40">
        <v>25080</v>
      </c>
      <c r="P1573" s="40">
        <v>25080</v>
      </c>
      <c r="Q1573" s="17">
        <f t="shared" si="37"/>
        <v>0</v>
      </c>
      <c r="R1573" s="285" t="s">
        <v>3012</v>
      </c>
      <c r="S1573" s="15">
        <v>43458</v>
      </c>
      <c r="T1573" s="22" t="s">
        <v>8822</v>
      </c>
    </row>
    <row r="1574" spans="1:20" ht="45" customHeight="1" x14ac:dyDescent="0.2">
      <c r="A1574" s="21">
        <v>1601</v>
      </c>
      <c r="B1574" s="12" t="s">
        <v>8814</v>
      </c>
      <c r="C1574" s="289"/>
      <c r="D1574" s="9" t="s">
        <v>8830</v>
      </c>
      <c r="E1574" s="22" t="s">
        <v>8071</v>
      </c>
      <c r="F1574" s="9" t="s">
        <v>8831</v>
      </c>
      <c r="G1574" s="285" t="s">
        <v>4946</v>
      </c>
      <c r="H1574" s="285" t="s">
        <v>5127</v>
      </c>
      <c r="I1574" s="289"/>
      <c r="J1574" s="285" t="s">
        <v>3136</v>
      </c>
      <c r="K1574" s="14">
        <v>43770</v>
      </c>
      <c r="L1574" s="285">
        <v>892</v>
      </c>
      <c r="M1574" s="15">
        <v>43528</v>
      </c>
      <c r="N1574" s="40">
        <v>2</v>
      </c>
      <c r="O1574" s="40">
        <v>38110</v>
      </c>
      <c r="P1574" s="40">
        <v>38110</v>
      </c>
      <c r="Q1574" s="17">
        <f t="shared" si="37"/>
        <v>0</v>
      </c>
      <c r="R1574" s="285" t="s">
        <v>3012</v>
      </c>
      <c r="S1574" s="15">
        <v>43458</v>
      </c>
      <c r="T1574" s="22" t="s">
        <v>8822</v>
      </c>
    </row>
    <row r="1575" spans="1:20" ht="71.25" customHeight="1" x14ac:dyDescent="0.2">
      <c r="A1575" s="21">
        <v>1602</v>
      </c>
      <c r="B1575" s="12" t="s">
        <v>8815</v>
      </c>
      <c r="C1575" s="289"/>
      <c r="D1575" s="9" t="s">
        <v>8832</v>
      </c>
      <c r="E1575" s="22" t="s">
        <v>8071</v>
      </c>
      <c r="F1575" s="9" t="s">
        <v>8833</v>
      </c>
      <c r="G1575" s="285" t="s">
        <v>4946</v>
      </c>
      <c r="H1575" s="285" t="s">
        <v>5127</v>
      </c>
      <c r="I1575" s="289"/>
      <c r="J1575" s="285" t="s">
        <v>3136</v>
      </c>
      <c r="K1575" s="14">
        <v>43770</v>
      </c>
      <c r="L1575" s="285">
        <v>892</v>
      </c>
      <c r="M1575" s="15">
        <v>43528</v>
      </c>
      <c r="N1575" s="40">
        <v>2</v>
      </c>
      <c r="O1575" s="40">
        <v>31090</v>
      </c>
      <c r="P1575" s="40">
        <v>31090</v>
      </c>
      <c r="Q1575" s="17">
        <f t="shared" si="37"/>
        <v>0</v>
      </c>
      <c r="R1575" s="285" t="s">
        <v>3012</v>
      </c>
      <c r="S1575" s="15">
        <v>43458</v>
      </c>
      <c r="T1575" s="22" t="s">
        <v>8822</v>
      </c>
    </row>
    <row r="1576" spans="1:20" ht="77.25" customHeight="1" x14ac:dyDescent="0.2">
      <c r="A1576" s="21">
        <v>1603</v>
      </c>
      <c r="B1576" s="12" t="s">
        <v>8816</v>
      </c>
      <c r="C1576" s="289"/>
      <c r="D1576" s="9" t="s">
        <v>8834</v>
      </c>
      <c r="E1576" s="22" t="s">
        <v>8071</v>
      </c>
      <c r="F1576" s="9" t="s">
        <v>8835</v>
      </c>
      <c r="G1576" s="285" t="s">
        <v>4946</v>
      </c>
      <c r="H1576" s="285" t="s">
        <v>5127</v>
      </c>
      <c r="I1576" s="289"/>
      <c r="J1576" s="285" t="s">
        <v>3136</v>
      </c>
      <c r="K1576" s="14">
        <v>43770</v>
      </c>
      <c r="L1576" s="285">
        <v>892</v>
      </c>
      <c r="M1576" s="15">
        <v>43528</v>
      </c>
      <c r="N1576" s="40">
        <v>4</v>
      </c>
      <c r="O1576" s="40">
        <v>44800</v>
      </c>
      <c r="P1576" s="40">
        <v>44800</v>
      </c>
      <c r="Q1576" s="17">
        <f t="shared" si="37"/>
        <v>0</v>
      </c>
      <c r="R1576" s="285" t="s">
        <v>3012</v>
      </c>
      <c r="S1576" s="15">
        <v>43458</v>
      </c>
      <c r="T1576" s="22" t="s">
        <v>8822</v>
      </c>
    </row>
    <row r="1577" spans="1:20" ht="39.75" customHeight="1" x14ac:dyDescent="0.2">
      <c r="A1577" s="21">
        <v>1604</v>
      </c>
      <c r="B1577" s="12" t="s">
        <v>8817</v>
      </c>
      <c r="C1577" s="289"/>
      <c r="D1577" s="9" t="s">
        <v>8836</v>
      </c>
      <c r="E1577" s="22" t="s">
        <v>8071</v>
      </c>
      <c r="F1577" s="9" t="s">
        <v>8837</v>
      </c>
      <c r="G1577" s="285" t="s">
        <v>4946</v>
      </c>
      <c r="H1577" s="285" t="s">
        <v>5127</v>
      </c>
      <c r="I1577" s="289"/>
      <c r="J1577" s="285" t="s">
        <v>3136</v>
      </c>
      <c r="K1577" s="14">
        <v>43770</v>
      </c>
      <c r="L1577" s="285">
        <v>892</v>
      </c>
      <c r="M1577" s="15">
        <v>43528</v>
      </c>
      <c r="N1577" s="40">
        <v>1</v>
      </c>
      <c r="O1577" s="40">
        <v>32699.95</v>
      </c>
      <c r="P1577" s="40">
        <v>32699.95</v>
      </c>
      <c r="Q1577" s="17">
        <f t="shared" si="37"/>
        <v>0</v>
      </c>
      <c r="R1577" s="285" t="s">
        <v>3012</v>
      </c>
      <c r="S1577" s="15">
        <v>43458</v>
      </c>
      <c r="T1577" s="22" t="s">
        <v>8822</v>
      </c>
    </row>
    <row r="1578" spans="1:20" ht="78" customHeight="1" x14ac:dyDescent="0.2">
      <c r="A1578" s="21">
        <v>1605</v>
      </c>
      <c r="B1578" s="12" t="s">
        <v>8846</v>
      </c>
      <c r="C1578" s="289"/>
      <c r="D1578" s="9" t="s">
        <v>8850</v>
      </c>
      <c r="E1578" s="22" t="s">
        <v>8615</v>
      </c>
      <c r="F1578" s="9" t="s">
        <v>8847</v>
      </c>
      <c r="G1578" s="285" t="s">
        <v>515</v>
      </c>
      <c r="H1578" s="285" t="s">
        <v>5127</v>
      </c>
      <c r="I1578" s="18"/>
      <c r="J1578" s="285" t="s">
        <v>3136</v>
      </c>
      <c r="K1578" s="14">
        <v>43550</v>
      </c>
      <c r="L1578" s="285">
        <v>263</v>
      </c>
      <c r="M1578" s="15">
        <v>43523</v>
      </c>
      <c r="N1578" s="40">
        <v>1</v>
      </c>
      <c r="O1578" s="40">
        <v>15299</v>
      </c>
      <c r="P1578" s="40">
        <v>15299</v>
      </c>
      <c r="Q1578" s="17">
        <f t="shared" si="37"/>
        <v>0</v>
      </c>
      <c r="R1578" s="285" t="s">
        <v>5110</v>
      </c>
      <c r="S1578" s="15">
        <v>43523</v>
      </c>
      <c r="T1578" s="22" t="s">
        <v>8848</v>
      </c>
    </row>
    <row r="1579" spans="1:20" ht="31.5" customHeight="1" x14ac:dyDescent="0.2">
      <c r="A1579" s="21">
        <v>1606</v>
      </c>
      <c r="B1579" s="12" t="s">
        <v>8849</v>
      </c>
      <c r="C1579" s="289"/>
      <c r="D1579" s="9" t="s">
        <v>8853</v>
      </c>
      <c r="E1579" s="22" t="s">
        <v>8615</v>
      </c>
      <c r="F1579" s="9" t="s">
        <v>8852</v>
      </c>
      <c r="G1579" s="285" t="s">
        <v>8077</v>
      </c>
      <c r="H1579" s="285" t="s">
        <v>5127</v>
      </c>
      <c r="I1579" s="18"/>
      <c r="J1579" s="285" t="s">
        <v>3136</v>
      </c>
      <c r="K1579" s="14">
        <v>43550</v>
      </c>
      <c r="L1579" s="285">
        <v>265</v>
      </c>
      <c r="M1579" s="15">
        <v>43537</v>
      </c>
      <c r="N1579" s="40">
        <v>1</v>
      </c>
      <c r="O1579" s="40">
        <v>17360</v>
      </c>
      <c r="P1579" s="40">
        <v>17360</v>
      </c>
      <c r="Q1579" s="17">
        <f t="shared" si="37"/>
        <v>0</v>
      </c>
      <c r="R1579" s="285" t="s">
        <v>3418</v>
      </c>
      <c r="S1579" s="15">
        <v>43522</v>
      </c>
      <c r="T1579" s="22" t="s">
        <v>8851</v>
      </c>
    </row>
    <row r="1580" spans="1:20" ht="31.5" customHeight="1" x14ac:dyDescent="0.2">
      <c r="A1580" s="21">
        <v>1607</v>
      </c>
      <c r="B1580" s="12" t="s">
        <v>8854</v>
      </c>
      <c r="C1580" s="289"/>
      <c r="D1580" s="9" t="s">
        <v>8855</v>
      </c>
      <c r="E1580" s="22" t="s">
        <v>8615</v>
      </c>
      <c r="F1580" s="9" t="s">
        <v>8865</v>
      </c>
      <c r="G1580" s="285" t="s">
        <v>4296</v>
      </c>
      <c r="H1580" s="285" t="s">
        <v>3793</v>
      </c>
      <c r="I1580" s="18"/>
      <c r="J1580" s="285" t="s">
        <v>3136</v>
      </c>
      <c r="K1580" s="14">
        <v>43550</v>
      </c>
      <c r="L1580" s="285">
        <v>264</v>
      </c>
      <c r="M1580" s="15">
        <v>43530</v>
      </c>
      <c r="N1580" s="40">
        <v>1</v>
      </c>
      <c r="O1580" s="40">
        <v>21500</v>
      </c>
      <c r="P1580" s="40">
        <v>21500</v>
      </c>
      <c r="Q1580" s="17">
        <f t="shared" si="37"/>
        <v>0</v>
      </c>
      <c r="R1580" s="285" t="s">
        <v>5110</v>
      </c>
      <c r="S1580" s="15">
        <v>43507</v>
      </c>
      <c r="T1580" s="22" t="s">
        <v>8857</v>
      </c>
    </row>
    <row r="1581" spans="1:20" ht="51.75" customHeight="1" x14ac:dyDescent="0.2">
      <c r="A1581" s="21">
        <v>1608</v>
      </c>
      <c r="B1581" s="12" t="s">
        <v>8859</v>
      </c>
      <c r="C1581" s="289"/>
      <c r="D1581" s="9" t="s">
        <v>8861</v>
      </c>
      <c r="E1581" s="22" t="s">
        <v>8615</v>
      </c>
      <c r="F1581" s="9" t="s">
        <v>8856</v>
      </c>
      <c r="G1581" s="285" t="s">
        <v>4296</v>
      </c>
      <c r="H1581" s="285" t="s">
        <v>3793</v>
      </c>
      <c r="I1581" s="18"/>
      <c r="J1581" s="285" t="s">
        <v>3136</v>
      </c>
      <c r="K1581" s="14">
        <v>43550</v>
      </c>
      <c r="L1581" s="285">
        <v>264</v>
      </c>
      <c r="M1581" s="15">
        <v>43537</v>
      </c>
      <c r="N1581" s="40">
        <v>1</v>
      </c>
      <c r="O1581" s="40">
        <v>24256.14</v>
      </c>
      <c r="P1581" s="40">
        <v>24256.14</v>
      </c>
      <c r="Q1581" s="17">
        <f t="shared" si="37"/>
        <v>0</v>
      </c>
      <c r="R1581" s="285" t="s">
        <v>5110</v>
      </c>
      <c r="S1581" s="15">
        <v>43496</v>
      </c>
      <c r="T1581" s="22" t="s">
        <v>8860</v>
      </c>
    </row>
    <row r="1582" spans="1:20" ht="51.75" customHeight="1" x14ac:dyDescent="0.2">
      <c r="A1582" s="21">
        <v>1609</v>
      </c>
      <c r="B1582" s="12" t="s">
        <v>8888</v>
      </c>
      <c r="C1582" s="289"/>
      <c r="D1582" s="9" t="s">
        <v>8889</v>
      </c>
      <c r="E1582" s="22" t="s">
        <v>8615</v>
      </c>
      <c r="F1582" s="9" t="s">
        <v>8267</v>
      </c>
      <c r="G1582" s="285" t="s">
        <v>7967</v>
      </c>
      <c r="H1582" s="285" t="s">
        <v>5127</v>
      </c>
      <c r="I1582" s="18"/>
      <c r="J1582" s="285" t="s">
        <v>3136</v>
      </c>
      <c r="K1582" s="14">
        <v>43572</v>
      </c>
      <c r="L1582" s="285">
        <v>324</v>
      </c>
      <c r="M1582" s="15">
        <v>43553</v>
      </c>
      <c r="N1582" s="40">
        <v>1</v>
      </c>
      <c r="O1582" s="40">
        <v>15978</v>
      </c>
      <c r="P1582" s="40">
        <v>15978</v>
      </c>
      <c r="Q1582" s="17">
        <f t="shared" si="37"/>
        <v>0</v>
      </c>
      <c r="R1582" s="285" t="s">
        <v>5110</v>
      </c>
      <c r="S1582" s="15">
        <v>43553</v>
      </c>
      <c r="T1582" s="22" t="s">
        <v>2388</v>
      </c>
    </row>
    <row r="1583" spans="1:20" ht="54.75" customHeight="1" x14ac:dyDescent="0.2">
      <c r="A1583" s="21">
        <v>1610</v>
      </c>
      <c r="B1583" s="12" t="s">
        <v>8890</v>
      </c>
      <c r="C1583" s="289"/>
      <c r="D1583" s="9" t="s">
        <v>8891</v>
      </c>
      <c r="E1583" s="22" t="s">
        <v>8615</v>
      </c>
      <c r="F1583" s="9" t="s">
        <v>8892</v>
      </c>
      <c r="G1583" s="285" t="s">
        <v>792</v>
      </c>
      <c r="H1583" s="285" t="s">
        <v>5127</v>
      </c>
      <c r="I1583" s="289"/>
      <c r="J1583" s="285" t="s">
        <v>3136</v>
      </c>
      <c r="K1583" s="14">
        <v>43579</v>
      </c>
      <c r="L1583" s="285">
        <v>343</v>
      </c>
      <c r="M1583" s="15">
        <v>43564</v>
      </c>
      <c r="N1583" s="40">
        <v>1</v>
      </c>
      <c r="O1583" s="40">
        <v>27500</v>
      </c>
      <c r="P1583" s="40">
        <v>27500</v>
      </c>
      <c r="Q1583" s="17">
        <f t="shared" si="37"/>
        <v>0</v>
      </c>
      <c r="R1583" s="285" t="s">
        <v>3418</v>
      </c>
      <c r="S1583" s="15">
        <v>43550</v>
      </c>
      <c r="T1583" s="22" t="s">
        <v>6502</v>
      </c>
    </row>
    <row r="1584" spans="1:20" ht="49.5" customHeight="1" x14ac:dyDescent="0.2">
      <c r="A1584" s="21">
        <v>1611</v>
      </c>
      <c r="B1584" s="12" t="s">
        <v>8896</v>
      </c>
      <c r="C1584" s="289"/>
      <c r="D1584" s="9" t="s">
        <v>8897</v>
      </c>
      <c r="E1584" s="22" t="s">
        <v>8615</v>
      </c>
      <c r="F1584" s="9" t="s">
        <v>8898</v>
      </c>
      <c r="G1584" s="285" t="s">
        <v>4877</v>
      </c>
      <c r="H1584" s="285" t="s">
        <v>3793</v>
      </c>
      <c r="I1584" s="289"/>
      <c r="J1584" s="285" t="s">
        <v>3136</v>
      </c>
      <c r="K1584" s="14">
        <v>43592</v>
      </c>
      <c r="L1584" s="285">
        <v>371</v>
      </c>
      <c r="M1584" s="15" t="s">
        <v>8899</v>
      </c>
      <c r="N1584" s="40">
        <v>1</v>
      </c>
      <c r="O1584" s="40">
        <v>75000</v>
      </c>
      <c r="P1584" s="40">
        <v>53750</v>
      </c>
      <c r="Q1584" s="17">
        <f t="shared" si="37"/>
        <v>21250</v>
      </c>
      <c r="R1584" s="285" t="s">
        <v>7155</v>
      </c>
      <c r="S1584" s="15">
        <v>43557</v>
      </c>
      <c r="T1584" s="22" t="s">
        <v>8900</v>
      </c>
    </row>
    <row r="1585" spans="1:20" ht="31.5" customHeight="1" x14ac:dyDescent="0.2">
      <c r="A1585" s="21">
        <v>1612</v>
      </c>
      <c r="B1585" s="12" t="s">
        <v>8901</v>
      </c>
      <c r="C1585" s="289"/>
      <c r="D1585" s="9" t="s">
        <v>8902</v>
      </c>
      <c r="E1585" s="22" t="s">
        <v>8615</v>
      </c>
      <c r="F1585" s="9" t="s">
        <v>8913</v>
      </c>
      <c r="G1585" s="285" t="s">
        <v>4296</v>
      </c>
      <c r="H1585" s="285" t="s">
        <v>3793</v>
      </c>
      <c r="I1585" s="18"/>
      <c r="J1585" s="285" t="s">
        <v>3136</v>
      </c>
      <c r="K1585" s="14">
        <v>43600</v>
      </c>
      <c r="L1585" s="285">
        <v>387</v>
      </c>
      <c r="M1585" s="15">
        <v>43564</v>
      </c>
      <c r="N1585" s="40">
        <v>1</v>
      </c>
      <c r="O1585" s="40">
        <v>31488.5</v>
      </c>
      <c r="P1585" s="40">
        <v>31488.5</v>
      </c>
      <c r="Q1585" s="17">
        <f t="shared" si="37"/>
        <v>0</v>
      </c>
      <c r="R1585" s="285" t="s">
        <v>5110</v>
      </c>
      <c r="S1585" s="15">
        <v>43504</v>
      </c>
      <c r="T1585" s="285" t="s">
        <v>8903</v>
      </c>
    </row>
    <row r="1586" spans="1:20" ht="56.25" customHeight="1" x14ac:dyDescent="0.2">
      <c r="A1586" s="21">
        <v>1613</v>
      </c>
      <c r="B1586" s="12" t="s">
        <v>8904</v>
      </c>
      <c r="C1586" s="289"/>
      <c r="D1586" s="9" t="s">
        <v>8905</v>
      </c>
      <c r="E1586" s="22" t="s">
        <v>8615</v>
      </c>
      <c r="F1586" s="9" t="s">
        <v>8914</v>
      </c>
      <c r="G1586" s="285" t="s">
        <v>4296</v>
      </c>
      <c r="H1586" s="285" t="s">
        <v>3793</v>
      </c>
      <c r="I1586" s="18"/>
      <c r="J1586" s="285" t="s">
        <v>3136</v>
      </c>
      <c r="K1586" s="14">
        <v>43600</v>
      </c>
      <c r="L1586" s="285">
        <v>387</v>
      </c>
      <c r="M1586" s="15">
        <v>43564</v>
      </c>
      <c r="N1586" s="40">
        <v>1</v>
      </c>
      <c r="O1586" s="40">
        <v>14025</v>
      </c>
      <c r="P1586" s="40">
        <v>14025</v>
      </c>
      <c r="Q1586" s="17">
        <f t="shared" si="37"/>
        <v>0</v>
      </c>
      <c r="R1586" s="285" t="s">
        <v>5110</v>
      </c>
      <c r="S1586" s="15">
        <v>43544</v>
      </c>
      <c r="T1586" s="285"/>
    </row>
    <row r="1587" spans="1:20" ht="56.25" customHeight="1" x14ac:dyDescent="0.2">
      <c r="A1587" s="21">
        <v>1614</v>
      </c>
      <c r="B1587" s="12" t="s">
        <v>8909</v>
      </c>
      <c r="C1587" s="289"/>
      <c r="D1587" s="9" t="s">
        <v>8911</v>
      </c>
      <c r="E1587" s="22" t="s">
        <v>8615</v>
      </c>
      <c r="F1587" s="9" t="s">
        <v>8915</v>
      </c>
      <c r="G1587" s="285" t="s">
        <v>4296</v>
      </c>
      <c r="H1587" s="285" t="s">
        <v>3793</v>
      </c>
      <c r="I1587" s="18"/>
      <c r="J1587" s="285" t="s">
        <v>3136</v>
      </c>
      <c r="K1587" s="14">
        <v>43607</v>
      </c>
      <c r="L1587" s="285">
        <v>415</v>
      </c>
      <c r="M1587" s="15">
        <v>43584</v>
      </c>
      <c r="N1587" s="40">
        <v>1</v>
      </c>
      <c r="O1587" s="40">
        <v>17134.28</v>
      </c>
      <c r="P1587" s="40">
        <v>17134.28</v>
      </c>
      <c r="Q1587" s="17">
        <f t="shared" si="37"/>
        <v>0</v>
      </c>
      <c r="R1587" s="285" t="s">
        <v>5110</v>
      </c>
      <c r="S1587" s="15">
        <v>43524</v>
      </c>
      <c r="T1587" s="285"/>
    </row>
    <row r="1588" spans="1:20" ht="57" customHeight="1" x14ac:dyDescent="0.2">
      <c r="A1588" s="21">
        <v>1615</v>
      </c>
      <c r="B1588" s="12" t="s">
        <v>8910</v>
      </c>
      <c r="C1588" s="289"/>
      <c r="D1588" s="9" t="s">
        <v>8912</v>
      </c>
      <c r="E1588" s="22" t="s">
        <v>8615</v>
      </c>
      <c r="F1588" s="9" t="s">
        <v>8916</v>
      </c>
      <c r="G1588" s="285" t="s">
        <v>4296</v>
      </c>
      <c r="H1588" s="285" t="s">
        <v>3793</v>
      </c>
      <c r="I1588" s="18"/>
      <c r="J1588" s="285" t="s">
        <v>3136</v>
      </c>
      <c r="K1588" s="14">
        <v>43607</v>
      </c>
      <c r="L1588" s="285">
        <v>415</v>
      </c>
      <c r="M1588" s="15">
        <v>43584</v>
      </c>
      <c r="N1588" s="40">
        <v>1</v>
      </c>
      <c r="O1588" s="40">
        <v>26040.71</v>
      </c>
      <c r="P1588" s="40">
        <v>26040.71</v>
      </c>
      <c r="Q1588" s="17">
        <f t="shared" si="37"/>
        <v>0</v>
      </c>
      <c r="R1588" s="285" t="s">
        <v>5110</v>
      </c>
      <c r="S1588" s="15">
        <v>43524</v>
      </c>
      <c r="T1588" s="22" t="s">
        <v>8920</v>
      </c>
    </row>
    <row r="1589" spans="1:20" ht="62.25" customHeight="1" x14ac:dyDescent="0.2">
      <c r="A1589" s="21">
        <v>1616</v>
      </c>
      <c r="B1589" s="12" t="s">
        <v>8917</v>
      </c>
      <c r="C1589" s="289"/>
      <c r="D1589" s="9" t="s">
        <v>8918</v>
      </c>
      <c r="E1589" s="22" t="s">
        <v>8615</v>
      </c>
      <c r="F1589" s="9" t="s">
        <v>8919</v>
      </c>
      <c r="G1589" s="285" t="s">
        <v>4296</v>
      </c>
      <c r="H1589" s="285" t="s">
        <v>3793</v>
      </c>
      <c r="I1589" s="18"/>
      <c r="J1589" s="285" t="s">
        <v>3136</v>
      </c>
      <c r="K1589" s="14">
        <v>43607</v>
      </c>
      <c r="L1589" s="285">
        <v>415</v>
      </c>
      <c r="M1589" s="15">
        <v>43586</v>
      </c>
      <c r="N1589" s="40">
        <v>1</v>
      </c>
      <c r="O1589" s="40">
        <v>83229.429999999993</v>
      </c>
      <c r="P1589" s="178">
        <v>83229.429999999993</v>
      </c>
      <c r="Q1589" s="17">
        <f t="shared" si="37"/>
        <v>0</v>
      </c>
      <c r="R1589" s="285" t="s">
        <v>5110</v>
      </c>
      <c r="S1589" s="15">
        <v>43535</v>
      </c>
      <c r="T1589" s="285" t="s">
        <v>8921</v>
      </c>
    </row>
    <row r="1590" spans="1:20" ht="71.25" customHeight="1" x14ac:dyDescent="0.2">
      <c r="A1590" s="21">
        <v>1617</v>
      </c>
      <c r="B1590" s="12" t="s">
        <v>8922</v>
      </c>
      <c r="C1590" s="289"/>
      <c r="D1590" s="9" t="s">
        <v>8924</v>
      </c>
      <c r="E1590" s="22" t="s">
        <v>8615</v>
      </c>
      <c r="F1590" s="9" t="s">
        <v>8923</v>
      </c>
      <c r="G1590" s="285" t="s">
        <v>4296</v>
      </c>
      <c r="H1590" s="285" t="s">
        <v>3793</v>
      </c>
      <c r="I1590" s="18"/>
      <c r="J1590" s="285" t="s">
        <v>3136</v>
      </c>
      <c r="K1590" s="14">
        <v>43614</v>
      </c>
      <c r="L1590" s="285">
        <v>445</v>
      </c>
      <c r="M1590" s="15">
        <v>43593</v>
      </c>
      <c r="N1590" s="40">
        <v>1</v>
      </c>
      <c r="O1590" s="40">
        <v>22671</v>
      </c>
      <c r="P1590" s="40">
        <v>22671</v>
      </c>
      <c r="Q1590" s="17">
        <f t="shared" si="37"/>
        <v>0</v>
      </c>
      <c r="R1590" s="285" t="s">
        <v>5110</v>
      </c>
      <c r="S1590" s="15">
        <v>43516</v>
      </c>
      <c r="T1590" s="14">
        <v>43516</v>
      </c>
    </row>
    <row r="1591" spans="1:20" ht="83.25" customHeight="1" x14ac:dyDescent="0.2">
      <c r="A1591" s="21">
        <v>1618</v>
      </c>
      <c r="B1591" s="12" t="s">
        <v>8925</v>
      </c>
      <c r="C1591" s="289"/>
      <c r="D1591" s="9" t="s">
        <v>8926</v>
      </c>
      <c r="E1591" s="22" t="s">
        <v>8615</v>
      </c>
      <c r="F1591" s="9" t="s">
        <v>8927</v>
      </c>
      <c r="G1591" s="285" t="s">
        <v>7983</v>
      </c>
      <c r="H1591" s="285" t="s">
        <v>5127</v>
      </c>
      <c r="I1591" s="289"/>
      <c r="J1591" s="285" t="s">
        <v>3136</v>
      </c>
      <c r="K1591" s="14">
        <v>43614</v>
      </c>
      <c r="L1591" s="285">
        <v>446</v>
      </c>
      <c r="M1591" s="15">
        <v>43608</v>
      </c>
      <c r="N1591" s="40">
        <v>1</v>
      </c>
      <c r="O1591" s="40">
        <v>36900</v>
      </c>
      <c r="P1591" s="40">
        <v>36900</v>
      </c>
      <c r="Q1591" s="17">
        <f t="shared" si="37"/>
        <v>0</v>
      </c>
      <c r="R1591" s="285" t="s">
        <v>7155</v>
      </c>
      <c r="S1591" s="15">
        <v>43606</v>
      </c>
      <c r="T1591" s="14" t="s">
        <v>8928</v>
      </c>
    </row>
    <row r="1592" spans="1:20" ht="81.75" customHeight="1" x14ac:dyDescent="0.2">
      <c r="A1592" s="21">
        <v>1619</v>
      </c>
      <c r="B1592" s="12" t="s">
        <v>8929</v>
      </c>
      <c r="C1592" s="289"/>
      <c r="D1592" s="9" t="s">
        <v>3950</v>
      </c>
      <c r="E1592" s="22" t="s">
        <v>8615</v>
      </c>
      <c r="F1592" s="9" t="s">
        <v>10704</v>
      </c>
      <c r="G1592" s="285"/>
      <c r="H1592" s="285" t="s">
        <v>2042</v>
      </c>
      <c r="I1592" s="289" t="s">
        <v>2207</v>
      </c>
      <c r="J1592" s="285" t="s">
        <v>3136</v>
      </c>
      <c r="K1592" s="14">
        <v>43616</v>
      </c>
      <c r="L1592" s="285">
        <v>456</v>
      </c>
      <c r="M1592" s="15">
        <v>43602</v>
      </c>
      <c r="N1592" s="40">
        <v>1</v>
      </c>
      <c r="O1592" s="40">
        <v>87514.03</v>
      </c>
      <c r="P1592" s="40">
        <v>87514.03</v>
      </c>
      <c r="Q1592" s="17">
        <f t="shared" si="37"/>
        <v>0</v>
      </c>
      <c r="R1592" s="285" t="s">
        <v>7155</v>
      </c>
      <c r="S1592" s="15">
        <v>43549</v>
      </c>
      <c r="T1592" s="14" t="s">
        <v>8930</v>
      </c>
    </row>
    <row r="1593" spans="1:20" ht="110.25" customHeight="1" x14ac:dyDescent="0.2">
      <c r="A1593" s="21">
        <v>1620</v>
      </c>
      <c r="B1593" s="12" t="s">
        <v>8931</v>
      </c>
      <c r="C1593" s="289"/>
      <c r="D1593" s="9" t="s">
        <v>3950</v>
      </c>
      <c r="E1593" s="22" t="s">
        <v>8615</v>
      </c>
      <c r="F1593" s="9" t="s">
        <v>10705</v>
      </c>
      <c r="G1593" s="285"/>
      <c r="H1593" s="285" t="s">
        <v>2042</v>
      </c>
      <c r="I1593" s="289" t="s">
        <v>2207</v>
      </c>
      <c r="J1593" s="285" t="s">
        <v>3136</v>
      </c>
      <c r="K1593" s="14">
        <v>43616</v>
      </c>
      <c r="L1593" s="285">
        <v>456</v>
      </c>
      <c r="M1593" s="15">
        <v>43602</v>
      </c>
      <c r="N1593" s="62">
        <v>1</v>
      </c>
      <c r="O1593" s="62">
        <v>87514.03</v>
      </c>
      <c r="P1593" s="62">
        <v>87514.03</v>
      </c>
      <c r="Q1593" s="34">
        <f t="shared" si="37"/>
        <v>0</v>
      </c>
      <c r="R1593" s="285" t="s">
        <v>7155</v>
      </c>
      <c r="S1593" s="15">
        <v>43549</v>
      </c>
      <c r="T1593" s="14" t="s">
        <v>8930</v>
      </c>
    </row>
    <row r="1594" spans="1:20" ht="65.25" customHeight="1" x14ac:dyDescent="0.2">
      <c r="A1594" s="21">
        <v>1621</v>
      </c>
      <c r="B1594" s="12" t="s">
        <v>8932</v>
      </c>
      <c r="C1594" s="289"/>
      <c r="D1594" s="9" t="s">
        <v>3950</v>
      </c>
      <c r="E1594" s="22" t="s">
        <v>8615</v>
      </c>
      <c r="F1594" s="9" t="s">
        <v>10706</v>
      </c>
      <c r="G1594" s="285"/>
      <c r="H1594" s="285" t="s">
        <v>2042</v>
      </c>
      <c r="I1594" s="289" t="s">
        <v>2207</v>
      </c>
      <c r="J1594" s="285" t="s">
        <v>3136</v>
      </c>
      <c r="K1594" s="14">
        <v>43616</v>
      </c>
      <c r="L1594" s="285">
        <v>456</v>
      </c>
      <c r="M1594" s="15">
        <v>43602</v>
      </c>
      <c r="N1594" s="62">
        <v>1</v>
      </c>
      <c r="O1594" s="62">
        <v>87514.03</v>
      </c>
      <c r="P1594" s="62">
        <v>87514.03</v>
      </c>
      <c r="Q1594" s="34">
        <f t="shared" si="37"/>
        <v>0</v>
      </c>
      <c r="R1594" s="285" t="s">
        <v>7155</v>
      </c>
      <c r="S1594" s="15">
        <v>43549</v>
      </c>
      <c r="T1594" s="14" t="s">
        <v>8930</v>
      </c>
    </row>
    <row r="1595" spans="1:20" ht="107.25" customHeight="1" x14ac:dyDescent="0.2">
      <c r="A1595" s="21">
        <v>1622</v>
      </c>
      <c r="B1595" s="12" t="s">
        <v>8933</v>
      </c>
      <c r="C1595" s="289"/>
      <c r="D1595" s="9" t="s">
        <v>3950</v>
      </c>
      <c r="E1595" s="22" t="s">
        <v>8615</v>
      </c>
      <c r="F1595" s="9" t="s">
        <v>8934</v>
      </c>
      <c r="G1595" s="285"/>
      <c r="H1595" s="285" t="s">
        <v>2042</v>
      </c>
      <c r="I1595" s="289" t="s">
        <v>2207</v>
      </c>
      <c r="J1595" s="285" t="s">
        <v>3136</v>
      </c>
      <c r="K1595" s="14">
        <v>43616</v>
      </c>
      <c r="L1595" s="285">
        <v>456</v>
      </c>
      <c r="M1595" s="15">
        <v>43602</v>
      </c>
      <c r="N1595" s="62">
        <v>1</v>
      </c>
      <c r="O1595" s="62">
        <v>87514.03</v>
      </c>
      <c r="P1595" s="62">
        <v>87514.03</v>
      </c>
      <c r="Q1595" s="34">
        <f t="shared" si="37"/>
        <v>0</v>
      </c>
      <c r="R1595" s="285" t="s">
        <v>7155</v>
      </c>
      <c r="S1595" s="15">
        <v>43549</v>
      </c>
      <c r="T1595" s="14" t="s">
        <v>8930</v>
      </c>
    </row>
    <row r="1596" spans="1:20" ht="84" customHeight="1" x14ac:dyDescent="0.2">
      <c r="A1596" s="21">
        <v>1623</v>
      </c>
      <c r="B1596" s="12" t="s">
        <v>8937</v>
      </c>
      <c r="C1596" s="289"/>
      <c r="D1596" s="9" t="s">
        <v>8953</v>
      </c>
      <c r="E1596" s="22" t="s">
        <v>8615</v>
      </c>
      <c r="F1596" s="9" t="s">
        <v>8954</v>
      </c>
      <c r="G1596" s="285" t="s">
        <v>4946</v>
      </c>
      <c r="H1596" s="285" t="s">
        <v>5127</v>
      </c>
      <c r="I1596" s="289"/>
      <c r="J1596" s="285" t="s">
        <v>3136</v>
      </c>
      <c r="K1596" s="14">
        <v>43770</v>
      </c>
      <c r="L1596" s="285">
        <v>892</v>
      </c>
      <c r="M1596" s="15">
        <v>43586</v>
      </c>
      <c r="N1596" s="62">
        <v>1</v>
      </c>
      <c r="O1596" s="62">
        <v>15510.49</v>
      </c>
      <c r="P1596" s="62">
        <v>15510.49</v>
      </c>
      <c r="Q1596" s="34">
        <f t="shared" si="37"/>
        <v>0</v>
      </c>
      <c r="R1596" s="285" t="s">
        <v>7155</v>
      </c>
      <c r="S1596" s="15">
        <v>43087</v>
      </c>
      <c r="T1596" s="14" t="s">
        <v>8952</v>
      </c>
    </row>
    <row r="1597" spans="1:20" ht="79.5" customHeight="1" x14ac:dyDescent="0.2">
      <c r="A1597" s="21">
        <v>1624</v>
      </c>
      <c r="B1597" s="12" t="s">
        <v>8938</v>
      </c>
      <c r="C1597" s="289"/>
      <c r="D1597" s="9" t="s">
        <v>8955</v>
      </c>
      <c r="E1597" s="22" t="s">
        <v>8615</v>
      </c>
      <c r="F1597" s="9" t="s">
        <v>8956</v>
      </c>
      <c r="G1597" s="285" t="s">
        <v>4946</v>
      </c>
      <c r="H1597" s="285" t="s">
        <v>5127</v>
      </c>
      <c r="I1597" s="289"/>
      <c r="J1597" s="285" t="s">
        <v>3136</v>
      </c>
      <c r="K1597" s="14">
        <v>43770</v>
      </c>
      <c r="L1597" s="285">
        <v>892</v>
      </c>
      <c r="M1597" s="15">
        <v>43586</v>
      </c>
      <c r="N1597" s="40">
        <v>4</v>
      </c>
      <c r="O1597" s="40">
        <v>276355.03999999998</v>
      </c>
      <c r="P1597" s="40">
        <v>276355.03999999998</v>
      </c>
      <c r="Q1597" s="17">
        <f t="shared" si="37"/>
        <v>0</v>
      </c>
      <c r="R1597" s="285" t="s">
        <v>7155</v>
      </c>
      <c r="S1597" s="15">
        <v>43087</v>
      </c>
      <c r="T1597" s="14" t="s">
        <v>8952</v>
      </c>
    </row>
    <row r="1598" spans="1:20" ht="82.5" customHeight="1" x14ac:dyDescent="0.2">
      <c r="A1598" s="21">
        <v>1625</v>
      </c>
      <c r="B1598" s="12" t="s">
        <v>8939</v>
      </c>
      <c r="C1598" s="289"/>
      <c r="D1598" s="9" t="s">
        <v>8957</v>
      </c>
      <c r="E1598" s="22" t="s">
        <v>8615</v>
      </c>
      <c r="F1598" s="9" t="s">
        <v>8958</v>
      </c>
      <c r="G1598" s="285" t="s">
        <v>4946</v>
      </c>
      <c r="H1598" s="285" t="s">
        <v>5127</v>
      </c>
      <c r="I1598" s="289"/>
      <c r="J1598" s="285" t="s">
        <v>3136</v>
      </c>
      <c r="K1598" s="14">
        <v>43770</v>
      </c>
      <c r="L1598" s="285">
        <v>892</v>
      </c>
      <c r="M1598" s="15">
        <v>43586</v>
      </c>
      <c r="N1598" s="40">
        <v>1</v>
      </c>
      <c r="O1598" s="40">
        <v>18211.07</v>
      </c>
      <c r="P1598" s="40">
        <v>18211.07</v>
      </c>
      <c r="Q1598" s="17">
        <f t="shared" si="37"/>
        <v>0</v>
      </c>
      <c r="R1598" s="285" t="s">
        <v>7155</v>
      </c>
      <c r="S1598" s="15">
        <v>43087</v>
      </c>
      <c r="T1598" s="14" t="s">
        <v>8952</v>
      </c>
    </row>
    <row r="1599" spans="1:20" ht="78" customHeight="1" x14ac:dyDescent="0.2">
      <c r="A1599" s="21">
        <v>1626</v>
      </c>
      <c r="B1599" s="12" t="s">
        <v>8940</v>
      </c>
      <c r="C1599" s="289"/>
      <c r="D1599" s="9" t="s">
        <v>8959</v>
      </c>
      <c r="E1599" s="22" t="s">
        <v>8615</v>
      </c>
      <c r="F1599" s="9" t="s">
        <v>8960</v>
      </c>
      <c r="G1599" s="285" t="s">
        <v>4946</v>
      </c>
      <c r="H1599" s="285" t="s">
        <v>5127</v>
      </c>
      <c r="I1599" s="289"/>
      <c r="J1599" s="285" t="s">
        <v>3136</v>
      </c>
      <c r="K1599" s="14">
        <v>43770</v>
      </c>
      <c r="L1599" s="285">
        <v>892</v>
      </c>
      <c r="M1599" s="15">
        <v>43586</v>
      </c>
      <c r="N1599" s="40">
        <v>2</v>
      </c>
      <c r="O1599" s="40">
        <v>65756.62</v>
      </c>
      <c r="P1599" s="40">
        <v>65756.62</v>
      </c>
      <c r="Q1599" s="17">
        <f t="shared" si="37"/>
        <v>0</v>
      </c>
      <c r="R1599" s="285" t="s">
        <v>7155</v>
      </c>
      <c r="S1599" s="15">
        <v>43087</v>
      </c>
      <c r="T1599" s="14" t="s">
        <v>8952</v>
      </c>
    </row>
    <row r="1600" spans="1:20" ht="78" customHeight="1" x14ac:dyDescent="0.2">
      <c r="A1600" s="21">
        <v>1627</v>
      </c>
      <c r="B1600" s="12" t="s">
        <v>8941</v>
      </c>
      <c r="C1600" s="289"/>
      <c r="D1600" s="9" t="s">
        <v>8961</v>
      </c>
      <c r="E1600" s="22" t="s">
        <v>8615</v>
      </c>
      <c r="F1600" s="9" t="s">
        <v>8962</v>
      </c>
      <c r="G1600" s="285" t="s">
        <v>4946</v>
      </c>
      <c r="H1600" s="285" t="s">
        <v>5127</v>
      </c>
      <c r="I1600" s="289"/>
      <c r="J1600" s="285" t="s">
        <v>3136</v>
      </c>
      <c r="K1600" s="14">
        <v>43770</v>
      </c>
      <c r="L1600" s="285">
        <v>892</v>
      </c>
      <c r="M1600" s="15">
        <v>43586</v>
      </c>
      <c r="N1600" s="40">
        <v>4</v>
      </c>
      <c r="O1600" s="40">
        <v>137316.39000000001</v>
      </c>
      <c r="P1600" s="40">
        <v>137316.39000000001</v>
      </c>
      <c r="Q1600" s="17">
        <f t="shared" si="37"/>
        <v>0</v>
      </c>
      <c r="R1600" s="285" t="s">
        <v>7155</v>
      </c>
      <c r="S1600" s="15">
        <v>43087</v>
      </c>
      <c r="T1600" s="14" t="s">
        <v>8952</v>
      </c>
    </row>
    <row r="1601" spans="1:20" ht="78" customHeight="1" x14ac:dyDescent="0.2">
      <c r="A1601" s="21">
        <v>1628</v>
      </c>
      <c r="B1601" s="12" t="s">
        <v>8942</v>
      </c>
      <c r="C1601" s="289"/>
      <c r="D1601" s="9" t="s">
        <v>8961</v>
      </c>
      <c r="E1601" s="22" t="s">
        <v>8615</v>
      </c>
      <c r="F1601" s="9" t="s">
        <v>8963</v>
      </c>
      <c r="G1601" s="285" t="s">
        <v>4946</v>
      </c>
      <c r="H1601" s="285" t="s">
        <v>5127</v>
      </c>
      <c r="I1601" s="289"/>
      <c r="J1601" s="285" t="s">
        <v>3136</v>
      </c>
      <c r="K1601" s="14">
        <v>43770</v>
      </c>
      <c r="L1601" s="285">
        <v>892</v>
      </c>
      <c r="M1601" s="15">
        <v>43586</v>
      </c>
      <c r="N1601" s="40">
        <v>4</v>
      </c>
      <c r="O1601" s="40">
        <v>158215.96</v>
      </c>
      <c r="P1601" s="40">
        <v>158215.96</v>
      </c>
      <c r="Q1601" s="17">
        <f t="shared" si="37"/>
        <v>0</v>
      </c>
      <c r="R1601" s="285" t="s">
        <v>7155</v>
      </c>
      <c r="S1601" s="15">
        <v>43087</v>
      </c>
      <c r="T1601" s="14" t="s">
        <v>8952</v>
      </c>
    </row>
    <row r="1602" spans="1:20" ht="78" customHeight="1" x14ac:dyDescent="0.2">
      <c r="A1602" s="21">
        <v>1629</v>
      </c>
      <c r="B1602" s="12" t="s">
        <v>8943</v>
      </c>
      <c r="C1602" s="289"/>
      <c r="D1602" s="9" t="s">
        <v>8964</v>
      </c>
      <c r="E1602" s="22" t="s">
        <v>8615</v>
      </c>
      <c r="F1602" s="9" t="s">
        <v>8965</v>
      </c>
      <c r="G1602" s="285" t="s">
        <v>4946</v>
      </c>
      <c r="H1602" s="285" t="s">
        <v>5127</v>
      </c>
      <c r="I1602" s="289"/>
      <c r="J1602" s="285" t="s">
        <v>3136</v>
      </c>
      <c r="K1602" s="14">
        <v>43770</v>
      </c>
      <c r="L1602" s="285">
        <v>892</v>
      </c>
      <c r="M1602" s="15">
        <v>43586</v>
      </c>
      <c r="N1602" s="40">
        <v>2</v>
      </c>
      <c r="O1602" s="40">
        <v>22047.64</v>
      </c>
      <c r="P1602" s="40">
        <v>22047.64</v>
      </c>
      <c r="Q1602" s="17">
        <f t="shared" si="37"/>
        <v>0</v>
      </c>
      <c r="R1602" s="285" t="s">
        <v>7155</v>
      </c>
      <c r="S1602" s="15">
        <v>43087</v>
      </c>
      <c r="T1602" s="14" t="s">
        <v>8952</v>
      </c>
    </row>
    <row r="1603" spans="1:20" ht="46.5" customHeight="1" x14ac:dyDescent="0.2">
      <c r="A1603" s="21">
        <v>1630</v>
      </c>
      <c r="B1603" s="12" t="s">
        <v>8944</v>
      </c>
      <c r="C1603" s="289"/>
      <c r="D1603" s="9" t="s">
        <v>8966</v>
      </c>
      <c r="E1603" s="22" t="s">
        <v>8615</v>
      </c>
      <c r="F1603" s="9" t="s">
        <v>8967</v>
      </c>
      <c r="G1603" s="285" t="s">
        <v>4946</v>
      </c>
      <c r="H1603" s="285" t="s">
        <v>5127</v>
      </c>
      <c r="I1603" s="289"/>
      <c r="J1603" s="285" t="s">
        <v>3136</v>
      </c>
      <c r="K1603" s="14">
        <v>43770</v>
      </c>
      <c r="L1603" s="285">
        <v>892</v>
      </c>
      <c r="M1603" s="15">
        <v>43586</v>
      </c>
      <c r="N1603" s="40">
        <v>4</v>
      </c>
      <c r="O1603" s="40">
        <v>51582.53</v>
      </c>
      <c r="P1603" s="40">
        <v>51582.53</v>
      </c>
      <c r="Q1603" s="17">
        <f t="shared" si="37"/>
        <v>0</v>
      </c>
      <c r="R1603" s="285" t="s">
        <v>7155</v>
      </c>
      <c r="S1603" s="15">
        <v>43087</v>
      </c>
      <c r="T1603" s="14" t="s">
        <v>8952</v>
      </c>
    </row>
    <row r="1604" spans="1:20" ht="46.5" customHeight="1" x14ac:dyDescent="0.2">
      <c r="A1604" s="21">
        <v>1631</v>
      </c>
      <c r="B1604" s="12" t="s">
        <v>8945</v>
      </c>
      <c r="C1604" s="289"/>
      <c r="D1604" s="9" t="s">
        <v>8984</v>
      </c>
      <c r="E1604" s="22" t="s">
        <v>8615</v>
      </c>
      <c r="F1604" s="9" t="s">
        <v>8968</v>
      </c>
      <c r="G1604" s="285" t="s">
        <v>4946</v>
      </c>
      <c r="H1604" s="285" t="s">
        <v>5127</v>
      </c>
      <c r="I1604" s="289"/>
      <c r="J1604" s="285" t="s">
        <v>3136</v>
      </c>
      <c r="K1604" s="14">
        <v>43770</v>
      </c>
      <c r="L1604" s="285">
        <v>892</v>
      </c>
      <c r="M1604" s="15">
        <v>43586</v>
      </c>
      <c r="N1604" s="40">
        <v>2</v>
      </c>
      <c r="O1604" s="40">
        <v>24980.01</v>
      </c>
      <c r="P1604" s="40">
        <v>24980.01</v>
      </c>
      <c r="Q1604" s="17">
        <f t="shared" si="37"/>
        <v>0</v>
      </c>
      <c r="R1604" s="285" t="s">
        <v>7155</v>
      </c>
      <c r="S1604" s="15">
        <v>43087</v>
      </c>
      <c r="T1604" s="14" t="s">
        <v>8952</v>
      </c>
    </row>
    <row r="1605" spans="1:20" ht="46.5" customHeight="1" x14ac:dyDescent="0.2">
      <c r="A1605" s="21">
        <v>1632</v>
      </c>
      <c r="B1605" s="12" t="s">
        <v>8946</v>
      </c>
      <c r="C1605" s="289"/>
      <c r="D1605" s="9" t="s">
        <v>8969</v>
      </c>
      <c r="E1605" s="22" t="s">
        <v>8615</v>
      </c>
      <c r="F1605" s="9" t="s">
        <v>8971</v>
      </c>
      <c r="G1605" s="285" t="s">
        <v>4946</v>
      </c>
      <c r="H1605" s="285" t="s">
        <v>5127</v>
      </c>
      <c r="I1605" s="289"/>
      <c r="J1605" s="285" t="s">
        <v>3136</v>
      </c>
      <c r="K1605" s="14">
        <v>43770</v>
      </c>
      <c r="L1605" s="285">
        <v>892</v>
      </c>
      <c r="M1605" s="15">
        <v>43586</v>
      </c>
      <c r="N1605" s="40">
        <v>1</v>
      </c>
      <c r="O1605" s="40">
        <v>12818.37</v>
      </c>
      <c r="P1605" s="40">
        <v>12818.37</v>
      </c>
      <c r="Q1605" s="17">
        <f t="shared" si="37"/>
        <v>0</v>
      </c>
      <c r="R1605" s="285" t="s">
        <v>7155</v>
      </c>
      <c r="S1605" s="15">
        <v>43087</v>
      </c>
      <c r="T1605" s="14" t="s">
        <v>8952</v>
      </c>
    </row>
    <row r="1606" spans="1:20" ht="46.5" customHeight="1" x14ac:dyDescent="0.2">
      <c r="A1606" s="21">
        <v>1633</v>
      </c>
      <c r="B1606" s="12" t="s">
        <v>8947</v>
      </c>
      <c r="C1606" s="289"/>
      <c r="D1606" s="9" t="s">
        <v>8970</v>
      </c>
      <c r="E1606" s="22" t="s">
        <v>8615</v>
      </c>
      <c r="F1606" s="9" t="s">
        <v>8972</v>
      </c>
      <c r="G1606" s="285" t="s">
        <v>4946</v>
      </c>
      <c r="H1606" s="285" t="s">
        <v>5127</v>
      </c>
      <c r="I1606" s="289"/>
      <c r="J1606" s="285" t="s">
        <v>3136</v>
      </c>
      <c r="K1606" s="14">
        <v>43770</v>
      </c>
      <c r="L1606" s="285">
        <v>892</v>
      </c>
      <c r="M1606" s="15">
        <v>43586</v>
      </c>
      <c r="N1606" s="40">
        <v>2</v>
      </c>
      <c r="O1606" s="40">
        <v>49313.27</v>
      </c>
      <c r="P1606" s="40">
        <v>49313.27</v>
      </c>
      <c r="Q1606" s="17">
        <f t="shared" si="37"/>
        <v>0</v>
      </c>
      <c r="R1606" s="285" t="s">
        <v>7155</v>
      </c>
      <c r="S1606" s="15">
        <v>43087</v>
      </c>
      <c r="T1606" s="14" t="s">
        <v>8952</v>
      </c>
    </row>
    <row r="1607" spans="1:20" ht="46.5" customHeight="1" x14ac:dyDescent="0.2">
      <c r="A1607" s="21">
        <v>1634</v>
      </c>
      <c r="B1607" s="12" t="s">
        <v>8948</v>
      </c>
      <c r="C1607" s="289"/>
      <c r="D1607" s="9" t="s">
        <v>8973</v>
      </c>
      <c r="E1607" s="22" t="s">
        <v>8615</v>
      </c>
      <c r="F1607" s="9" t="s">
        <v>8974</v>
      </c>
      <c r="G1607" s="285" t="s">
        <v>4946</v>
      </c>
      <c r="H1607" s="285" t="s">
        <v>5127</v>
      </c>
      <c r="I1607" s="289"/>
      <c r="J1607" s="285" t="s">
        <v>3136</v>
      </c>
      <c r="K1607" s="14">
        <v>43770</v>
      </c>
      <c r="L1607" s="285">
        <v>892</v>
      </c>
      <c r="M1607" s="15">
        <v>43586</v>
      </c>
      <c r="N1607" s="40">
        <v>1</v>
      </c>
      <c r="O1607" s="40">
        <v>18366.8</v>
      </c>
      <c r="P1607" s="40">
        <v>18366.8</v>
      </c>
      <c r="Q1607" s="17">
        <f t="shared" si="37"/>
        <v>0</v>
      </c>
      <c r="R1607" s="285" t="s">
        <v>7155</v>
      </c>
      <c r="S1607" s="15">
        <v>43087</v>
      </c>
      <c r="T1607" s="14" t="s">
        <v>8952</v>
      </c>
    </row>
    <row r="1608" spans="1:20" ht="49.5" customHeight="1" x14ac:dyDescent="0.2">
      <c r="A1608" s="21">
        <v>1635</v>
      </c>
      <c r="B1608" s="12" t="s">
        <v>8949</v>
      </c>
      <c r="C1608" s="289"/>
      <c r="D1608" s="9" t="s">
        <v>8976</v>
      </c>
      <c r="E1608" s="22" t="s">
        <v>8615</v>
      </c>
      <c r="F1608" s="9" t="s">
        <v>8977</v>
      </c>
      <c r="G1608" s="285" t="s">
        <v>4946</v>
      </c>
      <c r="H1608" s="285" t="s">
        <v>5127</v>
      </c>
      <c r="I1608" s="289"/>
      <c r="J1608" s="285" t="s">
        <v>3136</v>
      </c>
      <c r="K1608" s="14">
        <v>43770</v>
      </c>
      <c r="L1608" s="285">
        <v>892</v>
      </c>
      <c r="M1608" s="15">
        <v>43586</v>
      </c>
      <c r="N1608" s="40">
        <v>1</v>
      </c>
      <c r="O1608" s="40">
        <v>34536.44</v>
      </c>
      <c r="P1608" s="40">
        <v>34536.44</v>
      </c>
      <c r="Q1608" s="17">
        <f t="shared" si="37"/>
        <v>0</v>
      </c>
      <c r="R1608" s="285" t="s">
        <v>7155</v>
      </c>
      <c r="S1608" s="15">
        <v>43087</v>
      </c>
      <c r="T1608" s="14" t="s">
        <v>8952</v>
      </c>
    </row>
    <row r="1609" spans="1:20" ht="49.5" customHeight="1" x14ac:dyDescent="0.2">
      <c r="A1609" s="21">
        <v>1636</v>
      </c>
      <c r="B1609" s="12" t="s">
        <v>8950</v>
      </c>
      <c r="C1609" s="289"/>
      <c r="D1609" s="9" t="s">
        <v>8975</v>
      </c>
      <c r="E1609" s="22" t="s">
        <v>8615</v>
      </c>
      <c r="F1609" s="9" t="s">
        <v>8978</v>
      </c>
      <c r="G1609" s="285" t="s">
        <v>4946</v>
      </c>
      <c r="H1609" s="285" t="s">
        <v>5127</v>
      </c>
      <c r="I1609" s="289"/>
      <c r="J1609" s="285" t="s">
        <v>3136</v>
      </c>
      <c r="K1609" s="14">
        <v>43770</v>
      </c>
      <c r="L1609" s="285">
        <v>892</v>
      </c>
      <c r="M1609" s="15">
        <v>43586</v>
      </c>
      <c r="N1609" s="40">
        <v>1</v>
      </c>
      <c r="O1609" s="40">
        <v>17403.43</v>
      </c>
      <c r="P1609" s="40">
        <v>17403.43</v>
      </c>
      <c r="Q1609" s="17">
        <f t="shared" si="37"/>
        <v>0</v>
      </c>
      <c r="R1609" s="285" t="s">
        <v>7155</v>
      </c>
      <c r="S1609" s="15">
        <v>43087</v>
      </c>
      <c r="T1609" s="14" t="s">
        <v>8952</v>
      </c>
    </row>
    <row r="1610" spans="1:20" ht="49.5" customHeight="1" x14ac:dyDescent="0.2">
      <c r="A1610" s="21">
        <v>1637</v>
      </c>
      <c r="B1610" s="12" t="s">
        <v>8951</v>
      </c>
      <c r="C1610" s="289"/>
      <c r="D1610" s="9" t="s">
        <v>8979</v>
      </c>
      <c r="E1610" s="22" t="s">
        <v>8615</v>
      </c>
      <c r="F1610" s="9" t="s">
        <v>8980</v>
      </c>
      <c r="G1610" s="285" t="s">
        <v>4946</v>
      </c>
      <c r="H1610" s="285" t="s">
        <v>5127</v>
      </c>
      <c r="I1610" s="289"/>
      <c r="J1610" s="285" t="s">
        <v>3136</v>
      </c>
      <c r="K1610" s="14">
        <v>43770</v>
      </c>
      <c r="L1610" s="285">
        <v>892</v>
      </c>
      <c r="M1610" s="15">
        <v>43586</v>
      </c>
      <c r="N1610" s="40">
        <v>6</v>
      </c>
      <c r="O1610" s="40">
        <v>63039.43</v>
      </c>
      <c r="P1610" s="40">
        <v>63039.43</v>
      </c>
      <c r="Q1610" s="17">
        <f t="shared" si="37"/>
        <v>0</v>
      </c>
      <c r="R1610" s="285" t="s">
        <v>7155</v>
      </c>
      <c r="S1610" s="15">
        <v>43087</v>
      </c>
      <c r="T1610" s="14" t="s">
        <v>8952</v>
      </c>
    </row>
    <row r="1611" spans="1:20" ht="49.5" customHeight="1" x14ac:dyDescent="0.2">
      <c r="A1611" s="21">
        <v>1638</v>
      </c>
      <c r="B1611" s="12" t="s">
        <v>8981</v>
      </c>
      <c r="C1611" s="289"/>
      <c r="D1611" s="9" t="s">
        <v>8982</v>
      </c>
      <c r="E1611" s="22" t="s">
        <v>8615</v>
      </c>
      <c r="F1611" s="9" t="s">
        <v>8983</v>
      </c>
      <c r="G1611" s="285" t="s">
        <v>4946</v>
      </c>
      <c r="H1611" s="285" t="s">
        <v>5127</v>
      </c>
      <c r="I1611" s="289"/>
      <c r="J1611" s="285" t="s">
        <v>3136</v>
      </c>
      <c r="K1611" s="14">
        <v>43770</v>
      </c>
      <c r="L1611" s="285">
        <v>892</v>
      </c>
      <c r="M1611" s="15">
        <v>43586</v>
      </c>
      <c r="N1611" s="40">
        <v>1</v>
      </c>
      <c r="O1611" s="40">
        <v>17351.52</v>
      </c>
      <c r="P1611" s="40">
        <v>17351.52</v>
      </c>
      <c r="Q1611" s="17">
        <f t="shared" si="37"/>
        <v>0</v>
      </c>
      <c r="R1611" s="285" t="s">
        <v>7155</v>
      </c>
      <c r="S1611" s="15">
        <v>43087</v>
      </c>
      <c r="T1611" s="14" t="s">
        <v>8952</v>
      </c>
    </row>
    <row r="1612" spans="1:20" ht="49.5" customHeight="1" x14ac:dyDescent="0.2">
      <c r="A1612" s="21">
        <v>1639</v>
      </c>
      <c r="B1612" s="12" t="s">
        <v>8989</v>
      </c>
      <c r="C1612" s="289"/>
      <c r="D1612" s="9" t="s">
        <v>6442</v>
      </c>
      <c r="E1612" s="22" t="s">
        <v>8615</v>
      </c>
      <c r="F1612" s="9" t="s">
        <v>8991</v>
      </c>
      <c r="G1612" s="285" t="s">
        <v>4296</v>
      </c>
      <c r="H1612" s="285" t="s">
        <v>3793</v>
      </c>
      <c r="I1612" s="18"/>
      <c r="J1612" s="285" t="s">
        <v>3136</v>
      </c>
      <c r="K1612" s="14">
        <v>43642</v>
      </c>
      <c r="L1612" s="285">
        <v>532</v>
      </c>
      <c r="M1612" s="15">
        <v>43613</v>
      </c>
      <c r="N1612" s="40">
        <v>1</v>
      </c>
      <c r="O1612" s="40">
        <v>14030</v>
      </c>
      <c r="P1612" s="40">
        <v>14030</v>
      </c>
      <c r="Q1612" s="17">
        <f t="shared" si="37"/>
        <v>0</v>
      </c>
      <c r="R1612" s="285" t="s">
        <v>3588</v>
      </c>
      <c r="S1612" s="15">
        <v>43613</v>
      </c>
      <c r="T1612" s="14" t="s">
        <v>8995</v>
      </c>
    </row>
    <row r="1613" spans="1:20" ht="50.25" customHeight="1" x14ac:dyDescent="0.2">
      <c r="A1613" s="21">
        <v>1640</v>
      </c>
      <c r="B1613" s="12" t="s">
        <v>8990</v>
      </c>
      <c r="C1613" s="289"/>
      <c r="D1613" s="9" t="s">
        <v>8992</v>
      </c>
      <c r="E1613" s="22" t="s">
        <v>8615</v>
      </c>
      <c r="F1613" s="9" t="s">
        <v>8993</v>
      </c>
      <c r="G1613" s="285" t="s">
        <v>4296</v>
      </c>
      <c r="H1613" s="285" t="s">
        <v>3793</v>
      </c>
      <c r="I1613" s="18"/>
      <c r="J1613" s="285" t="s">
        <v>3136</v>
      </c>
      <c r="K1613" s="14">
        <v>43642</v>
      </c>
      <c r="L1613" s="285">
        <v>532</v>
      </c>
      <c r="M1613" s="15"/>
      <c r="N1613" s="40">
        <v>1</v>
      </c>
      <c r="O1613" s="40">
        <v>42734.5</v>
      </c>
      <c r="P1613" s="178">
        <v>15313.16</v>
      </c>
      <c r="Q1613" s="17">
        <f t="shared" si="37"/>
        <v>27421.34</v>
      </c>
      <c r="R1613" s="285" t="s">
        <v>5110</v>
      </c>
      <c r="S1613" s="38">
        <v>43474</v>
      </c>
      <c r="T1613" s="14" t="s">
        <v>8994</v>
      </c>
    </row>
    <row r="1614" spans="1:20" ht="50.25" customHeight="1" x14ac:dyDescent="0.2">
      <c r="A1614" s="21">
        <v>1641</v>
      </c>
      <c r="B1614" s="12" t="s">
        <v>8998</v>
      </c>
      <c r="C1614" s="289"/>
      <c r="D1614" s="9" t="s">
        <v>9000</v>
      </c>
      <c r="E1614" s="22" t="s">
        <v>8615</v>
      </c>
      <c r="F1614" s="9" t="s">
        <v>3338</v>
      </c>
      <c r="G1614" s="285" t="s">
        <v>4296</v>
      </c>
      <c r="H1614" s="285" t="s">
        <v>3793</v>
      </c>
      <c r="I1614" s="18"/>
      <c r="J1614" s="285" t="s">
        <v>3136</v>
      </c>
      <c r="K1614" s="14">
        <v>43664</v>
      </c>
      <c r="L1614" s="285">
        <v>580</v>
      </c>
      <c r="M1614" s="57">
        <v>43629</v>
      </c>
      <c r="N1614" s="40">
        <v>1</v>
      </c>
      <c r="O1614" s="40">
        <v>19500</v>
      </c>
      <c r="P1614" s="40">
        <v>19500</v>
      </c>
      <c r="Q1614" s="17">
        <f t="shared" si="37"/>
        <v>0</v>
      </c>
      <c r="R1614" s="285" t="s">
        <v>574</v>
      </c>
      <c r="S1614" s="15">
        <v>43603</v>
      </c>
      <c r="T1614" s="14">
        <v>43603</v>
      </c>
    </row>
    <row r="1615" spans="1:20" ht="80.25" customHeight="1" x14ac:dyDescent="0.2">
      <c r="A1615" s="21">
        <v>1642</v>
      </c>
      <c r="B1615" s="12" t="s">
        <v>8999</v>
      </c>
      <c r="C1615" s="289"/>
      <c r="D1615" s="9" t="s">
        <v>9001</v>
      </c>
      <c r="E1615" s="22" t="s">
        <v>8615</v>
      </c>
      <c r="F1615" s="9"/>
      <c r="G1615" s="285" t="s">
        <v>4296</v>
      </c>
      <c r="H1615" s="285" t="s">
        <v>3793</v>
      </c>
      <c r="I1615" s="18"/>
      <c r="J1615" s="285" t="s">
        <v>3136</v>
      </c>
      <c r="K1615" s="14">
        <v>43664</v>
      </c>
      <c r="L1615" s="285">
        <v>580</v>
      </c>
      <c r="M1615" s="15">
        <v>43629</v>
      </c>
      <c r="N1615" s="40">
        <v>1</v>
      </c>
      <c r="O1615" s="40">
        <v>21500</v>
      </c>
      <c r="P1615" s="40">
        <v>21500</v>
      </c>
      <c r="Q1615" s="17">
        <f t="shared" si="37"/>
        <v>0</v>
      </c>
      <c r="R1615" s="285" t="s">
        <v>574</v>
      </c>
      <c r="S1615" s="15">
        <v>43603</v>
      </c>
      <c r="T1615" s="14">
        <v>43603</v>
      </c>
    </row>
    <row r="1616" spans="1:20" ht="72" customHeight="1" x14ac:dyDescent="0.2">
      <c r="A1616" s="21">
        <v>1643</v>
      </c>
      <c r="B1616" s="12" t="s">
        <v>9002</v>
      </c>
      <c r="C1616" s="289"/>
      <c r="D1616" s="9" t="s">
        <v>9003</v>
      </c>
      <c r="E1616" s="22" t="s">
        <v>8615</v>
      </c>
      <c r="F1616" s="9" t="s">
        <v>9012</v>
      </c>
      <c r="G1616" s="285" t="s">
        <v>4296</v>
      </c>
      <c r="H1616" s="285" t="s">
        <v>3793</v>
      </c>
      <c r="I1616" s="18"/>
      <c r="J1616" s="285" t="s">
        <v>3136</v>
      </c>
      <c r="K1616" s="14">
        <v>43664</v>
      </c>
      <c r="L1616" s="285">
        <v>580</v>
      </c>
      <c r="M1616" s="15">
        <v>43641</v>
      </c>
      <c r="N1616" s="40">
        <v>1</v>
      </c>
      <c r="O1616" s="40">
        <v>53750</v>
      </c>
      <c r="P1616" s="178">
        <v>37624.86</v>
      </c>
      <c r="Q1616" s="17">
        <f t="shared" si="37"/>
        <v>16125.14</v>
      </c>
      <c r="R1616" s="285" t="s">
        <v>574</v>
      </c>
      <c r="S1616" s="15">
        <v>43537</v>
      </c>
      <c r="T1616" s="14" t="s">
        <v>9004</v>
      </c>
    </row>
    <row r="1617" spans="1:20" ht="72" customHeight="1" x14ac:dyDescent="0.2">
      <c r="A1617" s="21">
        <v>1644</v>
      </c>
      <c r="B1617" s="12" t="s">
        <v>9005</v>
      </c>
      <c r="C1617" s="289"/>
      <c r="D1617" s="9" t="s">
        <v>9007</v>
      </c>
      <c r="E1617" s="22" t="s">
        <v>8615</v>
      </c>
      <c r="F1617" s="9" t="s">
        <v>9008</v>
      </c>
      <c r="G1617" s="285" t="s">
        <v>4296</v>
      </c>
      <c r="H1617" s="285" t="s">
        <v>3793</v>
      </c>
      <c r="I1617" s="18"/>
      <c r="J1617" s="285" t="s">
        <v>3136</v>
      </c>
      <c r="K1617" s="14">
        <v>43664</v>
      </c>
      <c r="L1617" s="285">
        <v>580</v>
      </c>
      <c r="M1617" s="15">
        <v>43641</v>
      </c>
      <c r="N1617" s="40">
        <v>1</v>
      </c>
      <c r="O1617" s="40">
        <f>82650+570.98</f>
        <v>83220.98</v>
      </c>
      <c r="P1617" s="178">
        <v>41610.660000000003</v>
      </c>
      <c r="Q1617" s="17">
        <f t="shared" si="37"/>
        <v>41610.319999999992</v>
      </c>
      <c r="R1617" s="285" t="s">
        <v>574</v>
      </c>
      <c r="S1617" s="15">
        <v>43546</v>
      </c>
      <c r="T1617" s="14" t="s">
        <v>9011</v>
      </c>
    </row>
    <row r="1618" spans="1:20" ht="77.25" customHeight="1" x14ac:dyDescent="0.2">
      <c r="A1618" s="21">
        <v>1645</v>
      </c>
      <c r="B1618" s="12" t="s">
        <v>9006</v>
      </c>
      <c r="C1618" s="289"/>
      <c r="D1618" s="9" t="s">
        <v>9009</v>
      </c>
      <c r="E1618" s="22" t="s">
        <v>8615</v>
      </c>
      <c r="F1618" s="9" t="s">
        <v>9010</v>
      </c>
      <c r="G1618" s="285" t="s">
        <v>4296</v>
      </c>
      <c r="H1618" s="285" t="s">
        <v>3793</v>
      </c>
      <c r="I1618" s="18"/>
      <c r="J1618" s="285" t="s">
        <v>3136</v>
      </c>
      <c r="K1618" s="14">
        <v>43664</v>
      </c>
      <c r="L1618" s="285">
        <v>580</v>
      </c>
      <c r="M1618" s="15">
        <v>43641</v>
      </c>
      <c r="N1618" s="40">
        <v>1</v>
      </c>
      <c r="O1618" s="40">
        <f>62100+429.02</f>
        <v>62529.02</v>
      </c>
      <c r="P1618" s="178">
        <v>31264.38</v>
      </c>
      <c r="Q1618" s="17">
        <f t="shared" si="37"/>
        <v>31264.639999999996</v>
      </c>
      <c r="R1618" s="285" t="s">
        <v>574</v>
      </c>
      <c r="S1618" s="15">
        <v>43546</v>
      </c>
      <c r="T1618" s="14" t="s">
        <v>9011</v>
      </c>
    </row>
    <row r="1619" spans="1:20" ht="77.25" customHeight="1" x14ac:dyDescent="0.2">
      <c r="A1619" s="21">
        <v>1646</v>
      </c>
      <c r="B1619" s="12" t="s">
        <v>9013</v>
      </c>
      <c r="C1619" s="289"/>
      <c r="D1619" s="9" t="s">
        <v>9014</v>
      </c>
      <c r="E1619" s="22" t="s">
        <v>8615</v>
      </c>
      <c r="F1619" s="9" t="s">
        <v>9015</v>
      </c>
      <c r="G1619" s="285" t="s">
        <v>7983</v>
      </c>
      <c r="H1619" s="285" t="s">
        <v>5127</v>
      </c>
      <c r="I1619" s="18"/>
      <c r="J1619" s="285" t="s">
        <v>3136</v>
      </c>
      <c r="K1619" s="14" t="s">
        <v>9202</v>
      </c>
      <c r="L1619" s="285" t="s">
        <v>9203</v>
      </c>
      <c r="M1619" s="15">
        <v>43627</v>
      </c>
      <c r="N1619" s="40">
        <v>1</v>
      </c>
      <c r="O1619" s="40">
        <v>20050</v>
      </c>
      <c r="P1619" s="40">
        <v>20050</v>
      </c>
      <c r="Q1619" s="17">
        <f t="shared" si="37"/>
        <v>0</v>
      </c>
      <c r="R1619" s="285" t="s">
        <v>7155</v>
      </c>
      <c r="S1619" s="15">
        <v>43627</v>
      </c>
      <c r="T1619" s="14" t="s">
        <v>9016</v>
      </c>
    </row>
    <row r="1620" spans="1:20" ht="71.25" customHeight="1" x14ac:dyDescent="0.2">
      <c r="A1620" s="21">
        <v>1647</v>
      </c>
      <c r="B1620" s="12" t="s">
        <v>9024</v>
      </c>
      <c r="C1620" s="289"/>
      <c r="D1620" s="9" t="s">
        <v>9026</v>
      </c>
      <c r="E1620" s="22" t="s">
        <v>8615</v>
      </c>
      <c r="F1620" s="9" t="s">
        <v>9025</v>
      </c>
      <c r="G1620" s="285" t="s">
        <v>4946</v>
      </c>
      <c r="H1620" s="285" t="s">
        <v>5127</v>
      </c>
      <c r="I1620" s="18"/>
      <c r="J1620" s="285" t="s">
        <v>3136</v>
      </c>
      <c r="K1620" s="14">
        <v>43679</v>
      </c>
      <c r="L1620" s="285">
        <v>641</v>
      </c>
      <c r="M1620" s="15">
        <v>43649</v>
      </c>
      <c r="N1620" s="40">
        <v>1</v>
      </c>
      <c r="O1620" s="40">
        <v>20900</v>
      </c>
      <c r="P1620" s="40">
        <v>20900</v>
      </c>
      <c r="Q1620" s="17">
        <f t="shared" si="37"/>
        <v>0</v>
      </c>
      <c r="R1620" s="285"/>
      <c r="S1620" s="15"/>
      <c r="T1620" s="14"/>
    </row>
    <row r="1621" spans="1:20" ht="71.25" customHeight="1" x14ac:dyDescent="0.2">
      <c r="A1621" s="21">
        <v>1648</v>
      </c>
      <c r="B1621" s="12" t="s">
        <v>9030</v>
      </c>
      <c r="C1621" s="289"/>
      <c r="D1621" s="9" t="s">
        <v>8067</v>
      </c>
      <c r="E1621" s="22" t="s">
        <v>8615</v>
      </c>
      <c r="F1621" s="9" t="s">
        <v>9031</v>
      </c>
      <c r="G1621" s="285" t="s">
        <v>7981</v>
      </c>
      <c r="H1621" s="285" t="s">
        <v>5127</v>
      </c>
      <c r="I1621" s="18"/>
      <c r="J1621" s="285" t="s">
        <v>3136</v>
      </c>
      <c r="K1621" s="14">
        <v>43697</v>
      </c>
      <c r="L1621" s="285">
        <v>691</v>
      </c>
      <c r="M1621" s="15" t="s">
        <v>9032</v>
      </c>
      <c r="N1621" s="40">
        <v>1</v>
      </c>
      <c r="O1621" s="40">
        <v>17000</v>
      </c>
      <c r="P1621" s="40">
        <v>17000</v>
      </c>
      <c r="Q1621" s="17">
        <f t="shared" si="37"/>
        <v>0</v>
      </c>
      <c r="R1621" s="285" t="s">
        <v>5110</v>
      </c>
      <c r="S1621" s="14">
        <v>43678</v>
      </c>
      <c r="T1621" s="22">
        <v>897</v>
      </c>
    </row>
    <row r="1622" spans="1:20" ht="78" customHeight="1" x14ac:dyDescent="0.2">
      <c r="A1622" s="21">
        <v>1649</v>
      </c>
      <c r="B1622" s="12" t="s">
        <v>9038</v>
      </c>
      <c r="C1622" s="289"/>
      <c r="D1622" s="9" t="s">
        <v>9001</v>
      </c>
      <c r="E1622" s="22" t="s">
        <v>8615</v>
      </c>
      <c r="F1622" s="9" t="s">
        <v>9039</v>
      </c>
      <c r="G1622" s="285" t="s">
        <v>4296</v>
      </c>
      <c r="H1622" s="285" t="s">
        <v>3793</v>
      </c>
      <c r="I1622" s="18"/>
      <c r="J1622" s="285" t="s">
        <v>3136</v>
      </c>
      <c r="K1622" s="14">
        <v>43699</v>
      </c>
      <c r="L1622" s="285">
        <v>699</v>
      </c>
      <c r="M1622" s="15">
        <v>43685</v>
      </c>
      <c r="N1622" s="40">
        <v>1</v>
      </c>
      <c r="O1622" s="40">
        <v>24000</v>
      </c>
      <c r="P1622" s="40">
        <v>24000</v>
      </c>
      <c r="Q1622" s="17">
        <f t="shared" ref="Q1622:Q1685" si="38">O1622-P1622</f>
        <v>0</v>
      </c>
      <c r="R1622" s="285" t="s">
        <v>9040</v>
      </c>
      <c r="S1622" s="14">
        <v>43685</v>
      </c>
      <c r="T1622" s="22">
        <v>387</v>
      </c>
    </row>
    <row r="1623" spans="1:20" ht="78" customHeight="1" x14ac:dyDescent="0.2">
      <c r="A1623" s="21">
        <v>1650</v>
      </c>
      <c r="B1623" s="12" t="s">
        <v>9141</v>
      </c>
      <c r="C1623" s="289"/>
      <c r="D1623" s="9" t="s">
        <v>9049</v>
      </c>
      <c r="E1623" s="22" t="s">
        <v>8615</v>
      </c>
      <c r="F1623" s="9"/>
      <c r="G1623" s="285" t="s">
        <v>7981</v>
      </c>
      <c r="H1623" s="285" t="s">
        <v>5127</v>
      </c>
      <c r="I1623" s="289"/>
      <c r="J1623" s="285" t="s">
        <v>3136</v>
      </c>
      <c r="K1623" s="14">
        <v>43760</v>
      </c>
      <c r="L1623" s="285">
        <v>865</v>
      </c>
      <c r="M1623" s="15">
        <v>43654</v>
      </c>
      <c r="N1623" s="40">
        <v>1</v>
      </c>
      <c r="O1623" s="40">
        <v>23780</v>
      </c>
      <c r="P1623" s="40">
        <v>23780</v>
      </c>
      <c r="Q1623" s="17">
        <f t="shared" si="38"/>
        <v>0</v>
      </c>
      <c r="R1623" s="285" t="s">
        <v>5303</v>
      </c>
      <c r="S1623" s="14">
        <v>43654</v>
      </c>
      <c r="T1623" s="22" t="s">
        <v>1029</v>
      </c>
    </row>
    <row r="1624" spans="1:20" ht="45" customHeight="1" x14ac:dyDescent="0.2">
      <c r="A1624" s="21">
        <v>1651</v>
      </c>
      <c r="B1624" s="42" t="s">
        <v>9142</v>
      </c>
      <c r="C1624" s="30"/>
      <c r="D1624" s="46" t="s">
        <v>9050</v>
      </c>
      <c r="E1624" s="119" t="s">
        <v>8615</v>
      </c>
      <c r="F1624" s="46"/>
      <c r="G1624" s="49" t="s">
        <v>7981</v>
      </c>
      <c r="H1624" s="49" t="s">
        <v>5127</v>
      </c>
      <c r="I1624" s="30"/>
      <c r="J1624" s="49" t="s">
        <v>3136</v>
      </c>
      <c r="K1624" s="53">
        <v>43760</v>
      </c>
      <c r="L1624" s="49">
        <v>865</v>
      </c>
      <c r="M1624" s="51">
        <v>43654</v>
      </c>
      <c r="N1624" s="100">
        <v>1</v>
      </c>
      <c r="O1624" s="100">
        <v>5900</v>
      </c>
      <c r="P1624" s="100">
        <v>5900</v>
      </c>
      <c r="Q1624" s="17">
        <f t="shared" si="38"/>
        <v>0</v>
      </c>
      <c r="R1624" s="49" t="s">
        <v>5303</v>
      </c>
      <c r="S1624" s="53">
        <v>43654</v>
      </c>
      <c r="T1624" s="119" t="s">
        <v>1029</v>
      </c>
    </row>
    <row r="1625" spans="1:20" ht="45" customHeight="1" x14ac:dyDescent="0.2">
      <c r="A1625" s="21">
        <v>1652</v>
      </c>
      <c r="B1625" s="12" t="s">
        <v>9143</v>
      </c>
      <c r="C1625" s="289"/>
      <c r="D1625" s="9" t="s">
        <v>9051</v>
      </c>
      <c r="E1625" s="22" t="s">
        <v>8615</v>
      </c>
      <c r="F1625" s="9"/>
      <c r="G1625" s="285" t="s">
        <v>7981</v>
      </c>
      <c r="H1625" s="285" t="s">
        <v>5127</v>
      </c>
      <c r="I1625" s="289"/>
      <c r="J1625" s="285" t="s">
        <v>3136</v>
      </c>
      <c r="K1625" s="14">
        <v>43760</v>
      </c>
      <c r="L1625" s="285">
        <v>865</v>
      </c>
      <c r="M1625" s="15">
        <v>43654</v>
      </c>
      <c r="N1625" s="40">
        <v>1</v>
      </c>
      <c r="O1625" s="40">
        <v>28906</v>
      </c>
      <c r="P1625" s="40">
        <v>28906</v>
      </c>
      <c r="Q1625" s="17">
        <f t="shared" si="38"/>
        <v>0</v>
      </c>
      <c r="R1625" s="285" t="s">
        <v>5303</v>
      </c>
      <c r="S1625" s="14">
        <v>43654</v>
      </c>
      <c r="T1625" s="22" t="s">
        <v>1029</v>
      </c>
    </row>
    <row r="1626" spans="1:20" ht="50.25" customHeight="1" x14ac:dyDescent="0.2">
      <c r="A1626" s="21">
        <v>1653</v>
      </c>
      <c r="B1626" s="12" t="s">
        <v>9144</v>
      </c>
      <c r="C1626" s="289"/>
      <c r="D1626" s="9" t="s">
        <v>9052</v>
      </c>
      <c r="E1626" s="22" t="s">
        <v>8615</v>
      </c>
      <c r="F1626" s="9"/>
      <c r="G1626" s="285" t="s">
        <v>7981</v>
      </c>
      <c r="H1626" s="285" t="s">
        <v>5127</v>
      </c>
      <c r="I1626" s="289"/>
      <c r="J1626" s="285" t="s">
        <v>3136</v>
      </c>
      <c r="K1626" s="53">
        <v>43760</v>
      </c>
      <c r="L1626" s="285">
        <v>865</v>
      </c>
      <c r="M1626" s="15">
        <v>43654</v>
      </c>
      <c r="N1626" s="40">
        <v>1</v>
      </c>
      <c r="O1626" s="40">
        <v>22210</v>
      </c>
      <c r="P1626" s="40">
        <v>22210</v>
      </c>
      <c r="Q1626" s="17">
        <f t="shared" si="38"/>
        <v>0</v>
      </c>
      <c r="R1626" s="285" t="s">
        <v>5303</v>
      </c>
      <c r="S1626" s="14">
        <v>43654</v>
      </c>
      <c r="T1626" s="22" t="s">
        <v>1029</v>
      </c>
    </row>
    <row r="1627" spans="1:20" ht="50.25" customHeight="1" x14ac:dyDescent="0.2">
      <c r="A1627" s="21">
        <v>1654</v>
      </c>
      <c r="B1627" s="12" t="s">
        <v>9145</v>
      </c>
      <c r="C1627" s="289"/>
      <c r="D1627" s="9" t="s">
        <v>9053</v>
      </c>
      <c r="E1627" s="22" t="s">
        <v>8615</v>
      </c>
      <c r="F1627" s="9"/>
      <c r="G1627" s="285" t="s">
        <v>7981</v>
      </c>
      <c r="H1627" s="285" t="s">
        <v>5127</v>
      </c>
      <c r="I1627" s="289"/>
      <c r="J1627" s="285" t="s">
        <v>3136</v>
      </c>
      <c r="K1627" s="14">
        <v>43760</v>
      </c>
      <c r="L1627" s="285">
        <v>865</v>
      </c>
      <c r="M1627" s="15">
        <v>43654</v>
      </c>
      <c r="N1627" s="40">
        <v>2</v>
      </c>
      <c r="O1627" s="40">
        <v>47292</v>
      </c>
      <c r="P1627" s="40">
        <v>47292</v>
      </c>
      <c r="Q1627" s="17">
        <f t="shared" si="38"/>
        <v>0</v>
      </c>
      <c r="R1627" s="285" t="s">
        <v>5303</v>
      </c>
      <c r="S1627" s="14">
        <v>43654</v>
      </c>
      <c r="T1627" s="22" t="s">
        <v>1029</v>
      </c>
    </row>
    <row r="1628" spans="1:20" ht="42.75" customHeight="1" x14ac:dyDescent="0.2">
      <c r="A1628" s="21">
        <v>1655</v>
      </c>
      <c r="B1628" s="12" t="s">
        <v>9146</v>
      </c>
      <c r="C1628" s="289"/>
      <c r="D1628" s="9" t="s">
        <v>9055</v>
      </c>
      <c r="E1628" s="22" t="s">
        <v>8615</v>
      </c>
      <c r="F1628" s="9"/>
      <c r="G1628" s="285" t="s">
        <v>7981</v>
      </c>
      <c r="H1628" s="285" t="s">
        <v>5127</v>
      </c>
      <c r="I1628" s="289"/>
      <c r="J1628" s="285" t="s">
        <v>3136</v>
      </c>
      <c r="K1628" s="14">
        <v>43760</v>
      </c>
      <c r="L1628" s="285">
        <v>865</v>
      </c>
      <c r="M1628" s="15">
        <v>43654</v>
      </c>
      <c r="N1628" s="40">
        <v>1</v>
      </c>
      <c r="O1628" s="40">
        <v>24750</v>
      </c>
      <c r="P1628" s="40">
        <v>24750</v>
      </c>
      <c r="Q1628" s="17">
        <f t="shared" si="38"/>
        <v>0</v>
      </c>
      <c r="R1628" s="285" t="s">
        <v>5303</v>
      </c>
      <c r="S1628" s="14">
        <v>43654</v>
      </c>
      <c r="T1628" s="22" t="s">
        <v>1029</v>
      </c>
    </row>
    <row r="1629" spans="1:20" ht="42.75" customHeight="1" x14ac:dyDescent="0.2">
      <c r="A1629" s="21">
        <v>1656</v>
      </c>
      <c r="B1629" s="12" t="s">
        <v>9121</v>
      </c>
      <c r="C1629" s="289"/>
      <c r="D1629" s="9" t="s">
        <v>9054</v>
      </c>
      <c r="E1629" s="22" t="s">
        <v>8615</v>
      </c>
      <c r="F1629" s="9"/>
      <c r="G1629" s="285" t="s">
        <v>7967</v>
      </c>
      <c r="H1629" s="285" t="s">
        <v>5127</v>
      </c>
      <c r="I1629" s="18"/>
      <c r="J1629" s="285" t="s">
        <v>3136</v>
      </c>
      <c r="K1629" s="14">
        <v>43760</v>
      </c>
      <c r="L1629" s="285">
        <v>865</v>
      </c>
      <c r="M1629" s="15">
        <v>43654</v>
      </c>
      <c r="N1629" s="40">
        <v>1</v>
      </c>
      <c r="O1629" s="40">
        <v>6961</v>
      </c>
      <c r="P1629" s="40">
        <v>6961</v>
      </c>
      <c r="Q1629" s="17">
        <f t="shared" si="38"/>
        <v>0</v>
      </c>
      <c r="R1629" s="285" t="s">
        <v>5303</v>
      </c>
      <c r="S1629" s="14">
        <v>43654</v>
      </c>
      <c r="T1629" s="22" t="s">
        <v>1029</v>
      </c>
    </row>
    <row r="1630" spans="1:20" ht="44.25" customHeight="1" x14ac:dyDescent="0.2">
      <c r="A1630" s="21">
        <v>1657</v>
      </c>
      <c r="B1630" s="12" t="s">
        <v>9122</v>
      </c>
      <c r="C1630" s="289"/>
      <c r="D1630" s="9" t="s">
        <v>9056</v>
      </c>
      <c r="E1630" s="22" t="s">
        <v>8615</v>
      </c>
      <c r="F1630" s="9"/>
      <c r="G1630" s="285" t="s">
        <v>7967</v>
      </c>
      <c r="H1630" s="285" t="s">
        <v>5127</v>
      </c>
      <c r="I1630" s="18"/>
      <c r="J1630" s="285" t="s">
        <v>3136</v>
      </c>
      <c r="K1630" s="14">
        <v>43760</v>
      </c>
      <c r="L1630" s="285">
        <v>865</v>
      </c>
      <c r="M1630" s="15">
        <v>43654</v>
      </c>
      <c r="N1630" s="40">
        <v>1</v>
      </c>
      <c r="O1630" s="40">
        <v>24710</v>
      </c>
      <c r="P1630" s="40">
        <v>24710</v>
      </c>
      <c r="Q1630" s="17">
        <f t="shared" si="38"/>
        <v>0</v>
      </c>
      <c r="R1630" s="285" t="s">
        <v>5303</v>
      </c>
      <c r="S1630" s="14">
        <v>43654</v>
      </c>
      <c r="T1630" s="22" t="s">
        <v>1029</v>
      </c>
    </row>
    <row r="1631" spans="1:20" ht="44.25" customHeight="1" x14ac:dyDescent="0.2">
      <c r="A1631" s="21">
        <v>1658</v>
      </c>
      <c r="B1631" s="12" t="s">
        <v>9123</v>
      </c>
      <c r="C1631" s="289"/>
      <c r="D1631" s="9" t="s">
        <v>9057</v>
      </c>
      <c r="E1631" s="22" t="s">
        <v>8615</v>
      </c>
      <c r="F1631" s="9"/>
      <c r="G1631" s="285" t="s">
        <v>7967</v>
      </c>
      <c r="H1631" s="285" t="s">
        <v>5127</v>
      </c>
      <c r="I1631" s="18"/>
      <c r="J1631" s="285" t="s">
        <v>3136</v>
      </c>
      <c r="K1631" s="14">
        <v>43760</v>
      </c>
      <c r="L1631" s="285">
        <v>865</v>
      </c>
      <c r="M1631" s="15">
        <v>43654</v>
      </c>
      <c r="N1631" s="40">
        <v>1</v>
      </c>
      <c r="O1631" s="40">
        <v>38005</v>
      </c>
      <c r="P1631" s="40">
        <v>38005</v>
      </c>
      <c r="Q1631" s="17">
        <f t="shared" si="38"/>
        <v>0</v>
      </c>
      <c r="R1631" s="285" t="s">
        <v>5303</v>
      </c>
      <c r="S1631" s="14">
        <v>43654</v>
      </c>
      <c r="T1631" s="22" t="s">
        <v>1029</v>
      </c>
    </row>
    <row r="1632" spans="1:20" ht="81.75" customHeight="1" x14ac:dyDescent="0.2">
      <c r="A1632" s="21">
        <v>1659</v>
      </c>
      <c r="B1632" s="12" t="s">
        <v>9147</v>
      </c>
      <c r="C1632" s="289"/>
      <c r="D1632" s="9" t="s">
        <v>9058</v>
      </c>
      <c r="E1632" s="15">
        <v>43654</v>
      </c>
      <c r="F1632" s="9"/>
      <c r="G1632" s="285" t="s">
        <v>7981</v>
      </c>
      <c r="H1632" s="285" t="s">
        <v>5127</v>
      </c>
      <c r="I1632" s="289"/>
      <c r="J1632" s="285" t="s">
        <v>3136</v>
      </c>
      <c r="K1632" s="14">
        <v>43760</v>
      </c>
      <c r="L1632" s="285">
        <v>865</v>
      </c>
      <c r="M1632" s="15">
        <v>43654</v>
      </c>
      <c r="N1632" s="40">
        <v>3</v>
      </c>
      <c r="O1632" s="40">
        <v>69675</v>
      </c>
      <c r="P1632" s="40">
        <v>69675</v>
      </c>
      <c r="Q1632" s="17">
        <f t="shared" si="38"/>
        <v>0</v>
      </c>
      <c r="R1632" s="285" t="s">
        <v>5303</v>
      </c>
      <c r="S1632" s="14">
        <v>43654</v>
      </c>
      <c r="T1632" s="22" t="s">
        <v>1029</v>
      </c>
    </row>
    <row r="1633" spans="1:20" ht="39.75" customHeight="1" x14ac:dyDescent="0.2">
      <c r="A1633" s="21">
        <v>1660</v>
      </c>
      <c r="B1633" s="12" t="s">
        <v>9148</v>
      </c>
      <c r="C1633" s="289"/>
      <c r="D1633" s="9" t="s">
        <v>9059</v>
      </c>
      <c r="E1633" s="15">
        <v>43654</v>
      </c>
      <c r="F1633" s="9"/>
      <c r="G1633" s="285" t="s">
        <v>7981</v>
      </c>
      <c r="H1633" s="285" t="s">
        <v>5127</v>
      </c>
      <c r="I1633" s="289"/>
      <c r="J1633" s="285" t="s">
        <v>3136</v>
      </c>
      <c r="K1633" s="14">
        <v>43760</v>
      </c>
      <c r="L1633" s="285">
        <v>865</v>
      </c>
      <c r="M1633" s="15">
        <v>43654</v>
      </c>
      <c r="N1633" s="40">
        <f>16-1</f>
        <v>15</v>
      </c>
      <c r="O1633" s="40">
        <f>248960.16-15560.01</f>
        <v>233400.15</v>
      </c>
      <c r="P1633" s="40">
        <f>248960.16-15560.01</f>
        <v>233400.15</v>
      </c>
      <c r="Q1633" s="17">
        <f t="shared" si="38"/>
        <v>0</v>
      </c>
      <c r="R1633" s="285" t="s">
        <v>5303</v>
      </c>
      <c r="S1633" s="14">
        <v>43654</v>
      </c>
      <c r="T1633" s="22" t="s">
        <v>1029</v>
      </c>
    </row>
    <row r="1634" spans="1:20" ht="40.5" customHeight="1" x14ac:dyDescent="0.2">
      <c r="A1634" s="21">
        <v>1661</v>
      </c>
      <c r="B1634" s="12" t="s">
        <v>9124</v>
      </c>
      <c r="C1634" s="289"/>
      <c r="D1634" s="9" t="s">
        <v>9060</v>
      </c>
      <c r="E1634" s="15">
        <v>43654</v>
      </c>
      <c r="F1634" s="9"/>
      <c r="G1634" s="285" t="s">
        <v>7967</v>
      </c>
      <c r="H1634" s="285" t="s">
        <v>5127</v>
      </c>
      <c r="I1634" s="18"/>
      <c r="J1634" s="285" t="s">
        <v>3136</v>
      </c>
      <c r="K1634" s="14">
        <v>43760</v>
      </c>
      <c r="L1634" s="285">
        <v>865</v>
      </c>
      <c r="M1634" s="15">
        <v>43654</v>
      </c>
      <c r="N1634" s="40">
        <v>1</v>
      </c>
      <c r="O1634" s="40">
        <v>12804</v>
      </c>
      <c r="P1634" s="40">
        <v>12804</v>
      </c>
      <c r="Q1634" s="17">
        <f t="shared" si="38"/>
        <v>0</v>
      </c>
      <c r="R1634" s="285" t="s">
        <v>5303</v>
      </c>
      <c r="S1634" s="14">
        <v>43654</v>
      </c>
      <c r="T1634" s="22" t="s">
        <v>1029</v>
      </c>
    </row>
    <row r="1635" spans="1:20" ht="40.5" customHeight="1" x14ac:dyDescent="0.2">
      <c r="A1635" s="21">
        <v>1662</v>
      </c>
      <c r="B1635" s="12" t="s">
        <v>9149</v>
      </c>
      <c r="C1635" s="289"/>
      <c r="D1635" s="9" t="s">
        <v>9061</v>
      </c>
      <c r="E1635" s="15">
        <v>43654</v>
      </c>
      <c r="F1635" s="9"/>
      <c r="G1635" s="285" t="s">
        <v>7981</v>
      </c>
      <c r="H1635" s="285" t="s">
        <v>5127</v>
      </c>
      <c r="I1635" s="289"/>
      <c r="J1635" s="285" t="s">
        <v>3136</v>
      </c>
      <c r="K1635" s="14">
        <v>43760</v>
      </c>
      <c r="L1635" s="285">
        <v>865</v>
      </c>
      <c r="M1635" s="15">
        <v>43654</v>
      </c>
      <c r="N1635" s="40">
        <v>1</v>
      </c>
      <c r="O1635" s="40">
        <v>11685</v>
      </c>
      <c r="P1635" s="40">
        <v>11685</v>
      </c>
      <c r="Q1635" s="17">
        <f t="shared" si="38"/>
        <v>0</v>
      </c>
      <c r="R1635" s="285" t="s">
        <v>5303</v>
      </c>
      <c r="S1635" s="14">
        <v>43654</v>
      </c>
      <c r="T1635" s="22" t="s">
        <v>1029</v>
      </c>
    </row>
    <row r="1636" spans="1:20" ht="51" customHeight="1" x14ac:dyDescent="0.2">
      <c r="A1636" s="21">
        <v>1663</v>
      </c>
      <c r="B1636" s="12" t="s">
        <v>9125</v>
      </c>
      <c r="C1636" s="289"/>
      <c r="D1636" s="9" t="s">
        <v>9062</v>
      </c>
      <c r="E1636" s="15">
        <v>43654</v>
      </c>
      <c r="F1636" s="9"/>
      <c r="G1636" s="285" t="s">
        <v>7967</v>
      </c>
      <c r="H1636" s="285" t="s">
        <v>5127</v>
      </c>
      <c r="I1636" s="18"/>
      <c r="J1636" s="285" t="s">
        <v>3136</v>
      </c>
      <c r="K1636" s="14">
        <v>43760</v>
      </c>
      <c r="L1636" s="285">
        <v>865</v>
      </c>
      <c r="M1636" s="15">
        <v>43654</v>
      </c>
      <c r="N1636" s="40">
        <v>1</v>
      </c>
      <c r="O1636" s="40">
        <v>51862</v>
      </c>
      <c r="P1636" s="40">
        <v>51862</v>
      </c>
      <c r="Q1636" s="17">
        <f t="shared" si="38"/>
        <v>0</v>
      </c>
      <c r="R1636" s="285" t="s">
        <v>5303</v>
      </c>
      <c r="S1636" s="14">
        <v>43654</v>
      </c>
      <c r="T1636" s="22" t="s">
        <v>1029</v>
      </c>
    </row>
    <row r="1637" spans="1:20" ht="51" customHeight="1" x14ac:dyDescent="0.2">
      <c r="A1637" s="21">
        <v>1664</v>
      </c>
      <c r="B1637" s="12" t="s">
        <v>9126</v>
      </c>
      <c r="C1637" s="289"/>
      <c r="D1637" s="9" t="s">
        <v>9063</v>
      </c>
      <c r="E1637" s="15">
        <v>43654</v>
      </c>
      <c r="F1637" s="9"/>
      <c r="G1637" s="285" t="s">
        <v>7967</v>
      </c>
      <c r="H1637" s="285" t="s">
        <v>5127</v>
      </c>
      <c r="I1637" s="18"/>
      <c r="J1637" s="285" t="s">
        <v>3136</v>
      </c>
      <c r="K1637" s="14">
        <v>43760</v>
      </c>
      <c r="L1637" s="285">
        <v>865</v>
      </c>
      <c r="M1637" s="15">
        <v>43654</v>
      </c>
      <c r="N1637" s="40">
        <v>1</v>
      </c>
      <c r="O1637" s="40">
        <v>16888</v>
      </c>
      <c r="P1637" s="40">
        <v>16888</v>
      </c>
      <c r="Q1637" s="17">
        <f t="shared" si="38"/>
        <v>0</v>
      </c>
      <c r="R1637" s="285" t="s">
        <v>5303</v>
      </c>
      <c r="S1637" s="14">
        <v>43654</v>
      </c>
      <c r="T1637" s="22" t="s">
        <v>1029</v>
      </c>
    </row>
    <row r="1638" spans="1:20" ht="225" customHeight="1" x14ac:dyDescent="0.2">
      <c r="A1638" s="21">
        <v>1665</v>
      </c>
      <c r="B1638" s="12" t="s">
        <v>9150</v>
      </c>
      <c r="C1638" s="289"/>
      <c r="D1638" s="9" t="s">
        <v>9064</v>
      </c>
      <c r="E1638" s="15">
        <v>43654</v>
      </c>
      <c r="F1638" s="9"/>
      <c r="G1638" s="285" t="s">
        <v>7981</v>
      </c>
      <c r="H1638" s="285" t="s">
        <v>5127</v>
      </c>
      <c r="I1638" s="289"/>
      <c r="J1638" s="285" t="s">
        <v>3136</v>
      </c>
      <c r="K1638" s="14">
        <v>43760</v>
      </c>
      <c r="L1638" s="285">
        <v>865</v>
      </c>
      <c r="M1638" s="15">
        <v>43654</v>
      </c>
      <c r="N1638" s="40">
        <v>1</v>
      </c>
      <c r="O1638" s="40">
        <v>6650</v>
      </c>
      <c r="P1638" s="40">
        <v>6650</v>
      </c>
      <c r="Q1638" s="17">
        <f t="shared" si="38"/>
        <v>0</v>
      </c>
      <c r="R1638" s="285" t="s">
        <v>5303</v>
      </c>
      <c r="S1638" s="14">
        <v>43654</v>
      </c>
      <c r="T1638" s="22" t="s">
        <v>1029</v>
      </c>
    </row>
    <row r="1639" spans="1:20" ht="230.25" customHeight="1" x14ac:dyDescent="0.2">
      <c r="A1639" s="21">
        <v>1666</v>
      </c>
      <c r="B1639" s="12" t="s">
        <v>9151</v>
      </c>
      <c r="C1639" s="289"/>
      <c r="D1639" s="9" t="s">
        <v>9065</v>
      </c>
      <c r="E1639" s="15">
        <v>43654</v>
      </c>
      <c r="F1639" s="9"/>
      <c r="G1639" s="285" t="s">
        <v>7981</v>
      </c>
      <c r="H1639" s="285" t="s">
        <v>5127</v>
      </c>
      <c r="I1639" s="289"/>
      <c r="J1639" s="285" t="s">
        <v>3136</v>
      </c>
      <c r="K1639" s="14">
        <v>43760</v>
      </c>
      <c r="L1639" s="285">
        <v>865</v>
      </c>
      <c r="M1639" s="15">
        <v>43654</v>
      </c>
      <c r="N1639" s="40">
        <v>1</v>
      </c>
      <c r="O1639" s="40">
        <v>26900</v>
      </c>
      <c r="P1639" s="40">
        <v>26900</v>
      </c>
      <c r="Q1639" s="17">
        <f t="shared" si="38"/>
        <v>0</v>
      </c>
      <c r="R1639" s="285" t="s">
        <v>5303</v>
      </c>
      <c r="S1639" s="14">
        <v>43654</v>
      </c>
      <c r="T1639" s="22" t="s">
        <v>1029</v>
      </c>
    </row>
    <row r="1640" spans="1:20" ht="167.25" customHeight="1" x14ac:dyDescent="0.2">
      <c r="A1640" s="21">
        <v>1667</v>
      </c>
      <c r="B1640" s="12" t="s">
        <v>9152</v>
      </c>
      <c r="C1640" s="289"/>
      <c r="D1640" s="9" t="s">
        <v>9066</v>
      </c>
      <c r="E1640" s="15">
        <v>43654</v>
      </c>
      <c r="F1640" s="9"/>
      <c r="G1640" s="285" t="s">
        <v>7981</v>
      </c>
      <c r="H1640" s="285" t="s">
        <v>5127</v>
      </c>
      <c r="I1640" s="289"/>
      <c r="J1640" s="285" t="s">
        <v>3136</v>
      </c>
      <c r="K1640" s="14">
        <v>43760</v>
      </c>
      <c r="L1640" s="285">
        <v>865</v>
      </c>
      <c r="M1640" s="15">
        <v>43654</v>
      </c>
      <c r="N1640" s="40">
        <v>1</v>
      </c>
      <c r="O1640" s="40">
        <v>29000</v>
      </c>
      <c r="P1640" s="40">
        <v>29000</v>
      </c>
      <c r="Q1640" s="17">
        <f t="shared" si="38"/>
        <v>0</v>
      </c>
      <c r="R1640" s="285" t="s">
        <v>5303</v>
      </c>
      <c r="S1640" s="14">
        <v>43654</v>
      </c>
      <c r="T1640" s="22" t="s">
        <v>1029</v>
      </c>
    </row>
    <row r="1641" spans="1:20" ht="228.75" customHeight="1" x14ac:dyDescent="0.2">
      <c r="A1641" s="21">
        <v>1668</v>
      </c>
      <c r="B1641" s="12" t="s">
        <v>9127</v>
      </c>
      <c r="C1641" s="289"/>
      <c r="D1641" s="9" t="s">
        <v>9067</v>
      </c>
      <c r="E1641" s="22"/>
      <c r="F1641" s="9"/>
      <c r="G1641" s="285" t="s">
        <v>7967</v>
      </c>
      <c r="H1641" s="285" t="s">
        <v>5127</v>
      </c>
      <c r="I1641" s="18"/>
      <c r="J1641" s="285" t="s">
        <v>3136</v>
      </c>
      <c r="K1641" s="14">
        <v>43760</v>
      </c>
      <c r="L1641" s="285">
        <v>865</v>
      </c>
      <c r="M1641" s="15">
        <v>43654</v>
      </c>
      <c r="N1641" s="40">
        <v>2</v>
      </c>
      <c r="O1641" s="40">
        <v>9405</v>
      </c>
      <c r="P1641" s="40">
        <v>9405</v>
      </c>
      <c r="Q1641" s="17">
        <f t="shared" si="38"/>
        <v>0</v>
      </c>
      <c r="R1641" s="285" t="s">
        <v>5303</v>
      </c>
      <c r="S1641" s="14">
        <v>43654</v>
      </c>
      <c r="T1641" s="22" t="s">
        <v>1029</v>
      </c>
    </row>
    <row r="1642" spans="1:20" ht="50.25" customHeight="1" x14ac:dyDescent="0.2">
      <c r="A1642" s="21">
        <v>1669</v>
      </c>
      <c r="B1642" s="12" t="s">
        <v>9153</v>
      </c>
      <c r="C1642" s="289"/>
      <c r="D1642" s="9" t="s">
        <v>9068</v>
      </c>
      <c r="E1642" s="15">
        <v>43654</v>
      </c>
      <c r="F1642" s="9"/>
      <c r="G1642" s="285" t="s">
        <v>7981</v>
      </c>
      <c r="H1642" s="285" t="s">
        <v>5127</v>
      </c>
      <c r="I1642" s="289"/>
      <c r="J1642" s="285" t="s">
        <v>3136</v>
      </c>
      <c r="K1642" s="14">
        <v>43760</v>
      </c>
      <c r="L1642" s="285">
        <v>865</v>
      </c>
      <c r="M1642" s="15">
        <v>43654</v>
      </c>
      <c r="N1642" s="40">
        <v>1</v>
      </c>
      <c r="O1642" s="40">
        <v>27450</v>
      </c>
      <c r="P1642" s="40">
        <v>27450</v>
      </c>
      <c r="Q1642" s="17">
        <f t="shared" si="38"/>
        <v>0</v>
      </c>
      <c r="R1642" s="285" t="s">
        <v>5303</v>
      </c>
      <c r="S1642" s="14">
        <v>43654</v>
      </c>
      <c r="T1642" s="22" t="s">
        <v>1029</v>
      </c>
    </row>
    <row r="1643" spans="1:20" ht="50.25" customHeight="1" x14ac:dyDescent="0.2">
      <c r="A1643" s="21">
        <v>1670</v>
      </c>
      <c r="B1643" s="12" t="s">
        <v>9128</v>
      </c>
      <c r="C1643" s="289"/>
      <c r="D1643" s="9" t="s">
        <v>9069</v>
      </c>
      <c r="E1643" s="22"/>
      <c r="F1643" s="9"/>
      <c r="G1643" s="285" t="s">
        <v>7967</v>
      </c>
      <c r="H1643" s="285" t="s">
        <v>5127</v>
      </c>
      <c r="I1643" s="18"/>
      <c r="J1643" s="285" t="s">
        <v>3136</v>
      </c>
      <c r="K1643" s="14">
        <v>43760</v>
      </c>
      <c r="L1643" s="285">
        <v>865</v>
      </c>
      <c r="M1643" s="15">
        <v>43654</v>
      </c>
      <c r="N1643" s="40">
        <v>5</v>
      </c>
      <c r="O1643" s="40">
        <v>41565</v>
      </c>
      <c r="P1643" s="40">
        <v>41565</v>
      </c>
      <c r="Q1643" s="17">
        <f t="shared" si="38"/>
        <v>0</v>
      </c>
      <c r="R1643" s="285" t="s">
        <v>5303</v>
      </c>
      <c r="S1643" s="14">
        <v>43654</v>
      </c>
      <c r="T1643" s="22" t="s">
        <v>1029</v>
      </c>
    </row>
    <row r="1644" spans="1:20" ht="54" customHeight="1" x14ac:dyDescent="0.2">
      <c r="A1644" s="21">
        <v>1671</v>
      </c>
      <c r="B1644" s="12" t="s">
        <v>9129</v>
      </c>
      <c r="C1644" s="289"/>
      <c r="D1644" s="9" t="s">
        <v>9070</v>
      </c>
      <c r="E1644" s="22"/>
      <c r="F1644" s="9"/>
      <c r="G1644" s="285" t="s">
        <v>7979</v>
      </c>
      <c r="H1644" s="285" t="s">
        <v>5127</v>
      </c>
      <c r="I1644" s="18"/>
      <c r="J1644" s="285" t="s">
        <v>3136</v>
      </c>
      <c r="K1644" s="14">
        <v>43760</v>
      </c>
      <c r="L1644" s="285">
        <v>865</v>
      </c>
      <c r="M1644" s="15">
        <v>43654</v>
      </c>
      <c r="N1644" s="40">
        <v>2</v>
      </c>
      <c r="O1644" s="40">
        <v>26598</v>
      </c>
      <c r="P1644" s="40">
        <v>26598</v>
      </c>
      <c r="Q1644" s="17">
        <f t="shared" si="38"/>
        <v>0</v>
      </c>
      <c r="R1644" s="285" t="s">
        <v>5303</v>
      </c>
      <c r="S1644" s="14">
        <v>43654</v>
      </c>
      <c r="T1644" s="22" t="s">
        <v>1029</v>
      </c>
    </row>
    <row r="1645" spans="1:20" ht="54" customHeight="1" x14ac:dyDescent="0.2">
      <c r="A1645" s="21">
        <v>1672</v>
      </c>
      <c r="B1645" s="12" t="s">
        <v>9130</v>
      </c>
      <c r="C1645" s="289"/>
      <c r="D1645" s="9" t="s">
        <v>9071</v>
      </c>
      <c r="E1645" s="22"/>
      <c r="F1645" s="9"/>
      <c r="G1645" s="285" t="s">
        <v>7967</v>
      </c>
      <c r="H1645" s="285" t="s">
        <v>5127</v>
      </c>
      <c r="I1645" s="18"/>
      <c r="J1645" s="285" t="s">
        <v>3136</v>
      </c>
      <c r="K1645" s="14">
        <v>43760</v>
      </c>
      <c r="L1645" s="285">
        <v>865</v>
      </c>
      <c r="M1645" s="15">
        <v>43654</v>
      </c>
      <c r="N1645" s="40">
        <v>1</v>
      </c>
      <c r="O1645" s="40">
        <v>27812</v>
      </c>
      <c r="P1645" s="40">
        <v>27812</v>
      </c>
      <c r="Q1645" s="17">
        <f t="shared" si="38"/>
        <v>0</v>
      </c>
      <c r="R1645" s="285" t="s">
        <v>5303</v>
      </c>
      <c r="S1645" s="14">
        <v>43654</v>
      </c>
      <c r="T1645" s="22" t="s">
        <v>1029</v>
      </c>
    </row>
    <row r="1646" spans="1:20" ht="55.5" customHeight="1" x14ac:dyDescent="0.2">
      <c r="A1646" s="21">
        <v>1673</v>
      </c>
      <c r="B1646" s="12" t="s">
        <v>9154</v>
      </c>
      <c r="C1646" s="289"/>
      <c r="D1646" s="9" t="s">
        <v>9072</v>
      </c>
      <c r="E1646" s="15">
        <v>43654</v>
      </c>
      <c r="F1646" s="9"/>
      <c r="G1646" s="285" t="s">
        <v>7981</v>
      </c>
      <c r="H1646" s="285" t="s">
        <v>5127</v>
      </c>
      <c r="I1646" s="289"/>
      <c r="J1646" s="285" t="s">
        <v>3136</v>
      </c>
      <c r="K1646" s="14">
        <v>43760</v>
      </c>
      <c r="L1646" s="285">
        <v>865</v>
      </c>
      <c r="M1646" s="15">
        <v>43654</v>
      </c>
      <c r="N1646" s="40">
        <v>1</v>
      </c>
      <c r="O1646" s="40">
        <v>4092</v>
      </c>
      <c r="P1646" s="40">
        <v>4092</v>
      </c>
      <c r="Q1646" s="17">
        <f t="shared" si="38"/>
        <v>0</v>
      </c>
      <c r="R1646" s="285" t="s">
        <v>5303</v>
      </c>
      <c r="S1646" s="14">
        <v>43654</v>
      </c>
      <c r="T1646" s="22" t="s">
        <v>1029</v>
      </c>
    </row>
    <row r="1647" spans="1:20" ht="55.5" customHeight="1" x14ac:dyDescent="0.2">
      <c r="A1647" s="21">
        <v>1674</v>
      </c>
      <c r="B1647" s="12" t="s">
        <v>9155</v>
      </c>
      <c r="C1647" s="289"/>
      <c r="D1647" s="9" t="s">
        <v>9073</v>
      </c>
      <c r="E1647" s="15">
        <v>43654</v>
      </c>
      <c r="F1647" s="9"/>
      <c r="G1647" s="285" t="s">
        <v>7981</v>
      </c>
      <c r="H1647" s="285" t="s">
        <v>5127</v>
      </c>
      <c r="I1647" s="289"/>
      <c r="J1647" s="285" t="s">
        <v>3136</v>
      </c>
      <c r="K1647" s="14">
        <v>43760</v>
      </c>
      <c r="L1647" s="285">
        <v>865</v>
      </c>
      <c r="M1647" s="15">
        <v>43654</v>
      </c>
      <c r="N1647" s="40">
        <v>2</v>
      </c>
      <c r="O1647" s="40">
        <v>73580</v>
      </c>
      <c r="P1647" s="40">
        <v>73580</v>
      </c>
      <c r="Q1647" s="17">
        <f t="shared" si="38"/>
        <v>0</v>
      </c>
      <c r="R1647" s="285" t="s">
        <v>5303</v>
      </c>
      <c r="S1647" s="14">
        <v>43654</v>
      </c>
      <c r="T1647" s="22" t="s">
        <v>1029</v>
      </c>
    </row>
    <row r="1648" spans="1:20" ht="54.75" customHeight="1" x14ac:dyDescent="0.2">
      <c r="A1648" s="21">
        <v>1675</v>
      </c>
      <c r="B1648" s="12" t="s">
        <v>9131</v>
      </c>
      <c r="C1648" s="289"/>
      <c r="D1648" s="9" t="s">
        <v>9074</v>
      </c>
      <c r="E1648" s="22"/>
      <c r="F1648" s="9"/>
      <c r="G1648" s="285" t="s">
        <v>7967</v>
      </c>
      <c r="H1648" s="285" t="s">
        <v>5127</v>
      </c>
      <c r="I1648" s="18"/>
      <c r="J1648" s="285" t="s">
        <v>3136</v>
      </c>
      <c r="K1648" s="14">
        <v>43760</v>
      </c>
      <c r="L1648" s="285">
        <v>865</v>
      </c>
      <c r="M1648" s="15">
        <v>43654</v>
      </c>
      <c r="N1648" s="40">
        <v>1</v>
      </c>
      <c r="O1648" s="40">
        <v>6125</v>
      </c>
      <c r="P1648" s="40">
        <v>6125</v>
      </c>
      <c r="Q1648" s="17">
        <f t="shared" si="38"/>
        <v>0</v>
      </c>
      <c r="R1648" s="285" t="s">
        <v>5303</v>
      </c>
      <c r="S1648" s="14">
        <v>43654</v>
      </c>
      <c r="T1648" s="22" t="s">
        <v>1029</v>
      </c>
    </row>
    <row r="1649" spans="1:20" ht="54.75" customHeight="1" x14ac:dyDescent="0.2">
      <c r="A1649" s="21">
        <v>1676</v>
      </c>
      <c r="B1649" s="12" t="s">
        <v>9156</v>
      </c>
      <c r="C1649" s="289"/>
      <c r="D1649" s="9" t="s">
        <v>9075</v>
      </c>
      <c r="E1649" s="15">
        <v>43654</v>
      </c>
      <c r="F1649" s="9"/>
      <c r="G1649" s="285" t="s">
        <v>7981</v>
      </c>
      <c r="H1649" s="285" t="s">
        <v>5127</v>
      </c>
      <c r="I1649" s="289"/>
      <c r="J1649" s="285" t="s">
        <v>3136</v>
      </c>
      <c r="K1649" s="14">
        <v>43760</v>
      </c>
      <c r="L1649" s="285">
        <v>865</v>
      </c>
      <c r="M1649" s="15">
        <v>43654</v>
      </c>
      <c r="N1649" s="40">
        <v>3</v>
      </c>
      <c r="O1649" s="40">
        <v>13812</v>
      </c>
      <c r="P1649" s="40">
        <v>13812</v>
      </c>
      <c r="Q1649" s="17">
        <f t="shared" si="38"/>
        <v>0</v>
      </c>
      <c r="R1649" s="285" t="s">
        <v>5303</v>
      </c>
      <c r="S1649" s="14">
        <v>43654</v>
      </c>
      <c r="T1649" s="22" t="s">
        <v>1029</v>
      </c>
    </row>
    <row r="1650" spans="1:20" ht="54" customHeight="1" x14ac:dyDescent="0.2">
      <c r="A1650" s="21">
        <v>1677</v>
      </c>
      <c r="B1650" s="12" t="s">
        <v>9132</v>
      </c>
      <c r="C1650" s="289"/>
      <c r="D1650" s="9" t="s">
        <v>9076</v>
      </c>
      <c r="E1650" s="22"/>
      <c r="F1650" s="9"/>
      <c r="G1650" s="285" t="s">
        <v>7967</v>
      </c>
      <c r="H1650" s="285" t="s">
        <v>5127</v>
      </c>
      <c r="I1650" s="18"/>
      <c r="J1650" s="285" t="s">
        <v>3136</v>
      </c>
      <c r="K1650" s="14">
        <v>43760</v>
      </c>
      <c r="L1650" s="285">
        <v>865</v>
      </c>
      <c r="M1650" s="15">
        <v>43654</v>
      </c>
      <c r="N1650" s="40">
        <v>1</v>
      </c>
      <c r="O1650" s="40">
        <v>31660</v>
      </c>
      <c r="P1650" s="40">
        <v>31660</v>
      </c>
      <c r="Q1650" s="17">
        <f t="shared" si="38"/>
        <v>0</v>
      </c>
      <c r="R1650" s="285" t="s">
        <v>5303</v>
      </c>
      <c r="S1650" s="14">
        <v>43654</v>
      </c>
      <c r="T1650" s="22" t="s">
        <v>1029</v>
      </c>
    </row>
    <row r="1651" spans="1:20" ht="54" customHeight="1" x14ac:dyDescent="0.2">
      <c r="A1651" s="21">
        <v>1678</v>
      </c>
      <c r="B1651" s="12" t="s">
        <v>9157</v>
      </c>
      <c r="C1651" s="289"/>
      <c r="D1651" s="9" t="s">
        <v>9818</v>
      </c>
      <c r="E1651" s="15">
        <v>43654</v>
      </c>
      <c r="F1651" s="9"/>
      <c r="G1651" s="285" t="s">
        <v>7981</v>
      </c>
      <c r="H1651" s="285" t="s">
        <v>5127</v>
      </c>
      <c r="I1651" s="289"/>
      <c r="J1651" s="285" t="s">
        <v>3136</v>
      </c>
      <c r="K1651" s="14">
        <v>43760</v>
      </c>
      <c r="L1651" s="285">
        <v>865</v>
      </c>
      <c r="M1651" s="15">
        <v>43654</v>
      </c>
      <c r="N1651" s="40">
        <v>1</v>
      </c>
      <c r="O1651" s="40">
        <v>50</v>
      </c>
      <c r="P1651" s="40">
        <v>50</v>
      </c>
      <c r="Q1651" s="17">
        <f t="shared" si="38"/>
        <v>0</v>
      </c>
      <c r="R1651" s="285" t="s">
        <v>5303</v>
      </c>
      <c r="S1651" s="14">
        <v>43654</v>
      </c>
      <c r="T1651" s="22" t="s">
        <v>1029</v>
      </c>
    </row>
    <row r="1652" spans="1:20" ht="52.5" customHeight="1" x14ac:dyDescent="0.2">
      <c r="A1652" s="21">
        <v>1679</v>
      </c>
      <c r="B1652" s="12" t="s">
        <v>9158</v>
      </c>
      <c r="C1652" s="289"/>
      <c r="D1652" s="9" t="s">
        <v>9077</v>
      </c>
      <c r="E1652" s="15">
        <v>43654</v>
      </c>
      <c r="F1652" s="9"/>
      <c r="G1652" s="285" t="s">
        <v>7981</v>
      </c>
      <c r="H1652" s="285" t="s">
        <v>5127</v>
      </c>
      <c r="I1652" s="289"/>
      <c r="J1652" s="285" t="s">
        <v>3136</v>
      </c>
      <c r="K1652" s="14">
        <v>43760</v>
      </c>
      <c r="L1652" s="285">
        <v>865</v>
      </c>
      <c r="M1652" s="15">
        <v>43654</v>
      </c>
      <c r="N1652" s="40">
        <v>1</v>
      </c>
      <c r="O1652" s="40">
        <v>6900</v>
      </c>
      <c r="P1652" s="40">
        <v>6900</v>
      </c>
      <c r="Q1652" s="17">
        <f t="shared" si="38"/>
        <v>0</v>
      </c>
      <c r="R1652" s="285" t="s">
        <v>5303</v>
      </c>
      <c r="S1652" s="14">
        <v>43654</v>
      </c>
      <c r="T1652" s="22" t="s">
        <v>1029</v>
      </c>
    </row>
    <row r="1653" spans="1:20" ht="52.5" customHeight="1" x14ac:dyDescent="0.2">
      <c r="A1653" s="21">
        <v>1680</v>
      </c>
      <c r="B1653" s="12" t="s">
        <v>9081</v>
      </c>
      <c r="C1653" s="289"/>
      <c r="D1653" s="9" t="s">
        <v>9084</v>
      </c>
      <c r="E1653" s="22" t="s">
        <v>8615</v>
      </c>
      <c r="F1653" s="9" t="s">
        <v>9082</v>
      </c>
      <c r="G1653" s="285" t="s">
        <v>8293</v>
      </c>
      <c r="H1653" s="285" t="s">
        <v>5127</v>
      </c>
      <c r="I1653" s="289"/>
      <c r="J1653" s="285" t="s">
        <v>3136</v>
      </c>
      <c r="K1653" s="14">
        <v>43724</v>
      </c>
      <c r="L1653" s="285">
        <v>758</v>
      </c>
      <c r="M1653" s="15">
        <v>43643</v>
      </c>
      <c r="N1653" s="40">
        <v>1</v>
      </c>
      <c r="O1653" s="40">
        <v>18000</v>
      </c>
      <c r="P1653" s="40">
        <v>18000</v>
      </c>
      <c r="Q1653" s="17">
        <f t="shared" si="38"/>
        <v>0</v>
      </c>
      <c r="R1653" s="285" t="s">
        <v>574</v>
      </c>
      <c r="S1653" s="14" t="s">
        <v>9032</v>
      </c>
      <c r="T1653" s="22" t="s">
        <v>9083</v>
      </c>
    </row>
    <row r="1654" spans="1:20" ht="63.75" customHeight="1" x14ac:dyDescent="0.2">
      <c r="A1654" s="21">
        <v>1681</v>
      </c>
      <c r="B1654" s="12" t="s">
        <v>9135</v>
      </c>
      <c r="C1654" s="289"/>
      <c r="D1654" s="9" t="s">
        <v>5870</v>
      </c>
      <c r="E1654" s="22" t="s">
        <v>8615</v>
      </c>
      <c r="F1654" s="9"/>
      <c r="G1654" s="285" t="s">
        <v>6266</v>
      </c>
      <c r="H1654" s="285" t="s">
        <v>5127</v>
      </c>
      <c r="I1654" s="289"/>
      <c r="J1654" s="285" t="s">
        <v>3136</v>
      </c>
      <c r="K1654" s="14">
        <v>43760</v>
      </c>
      <c r="L1654" s="285">
        <v>866</v>
      </c>
      <c r="M1654" s="15">
        <v>43650</v>
      </c>
      <c r="N1654" s="40">
        <v>1</v>
      </c>
      <c r="O1654" s="40">
        <v>28421.279999999999</v>
      </c>
      <c r="P1654" s="40">
        <v>28421.279999999999</v>
      </c>
      <c r="Q1654" s="17">
        <f t="shared" si="38"/>
        <v>0</v>
      </c>
      <c r="R1654" s="285" t="s">
        <v>5303</v>
      </c>
      <c r="S1654" s="285" t="s">
        <v>9095</v>
      </c>
      <c r="T1654" s="14" t="s">
        <v>9094</v>
      </c>
    </row>
    <row r="1655" spans="1:20" ht="48.75" customHeight="1" x14ac:dyDescent="0.2">
      <c r="A1655" s="21">
        <v>1682</v>
      </c>
      <c r="B1655" s="12" t="s">
        <v>9136</v>
      </c>
      <c r="C1655" s="289"/>
      <c r="D1655" s="9" t="s">
        <v>9092</v>
      </c>
      <c r="E1655" s="22" t="s">
        <v>8615</v>
      </c>
      <c r="F1655" s="9"/>
      <c r="G1655" s="285" t="s">
        <v>6266</v>
      </c>
      <c r="H1655" s="285" t="s">
        <v>5127</v>
      </c>
      <c r="I1655" s="289"/>
      <c r="J1655" s="285" t="s">
        <v>3136</v>
      </c>
      <c r="K1655" s="14">
        <v>43760</v>
      </c>
      <c r="L1655" s="285">
        <v>866</v>
      </c>
      <c r="M1655" s="15">
        <v>43650</v>
      </c>
      <c r="N1655" s="40">
        <v>1</v>
      </c>
      <c r="O1655" s="40">
        <v>558.9</v>
      </c>
      <c r="P1655" s="40">
        <v>558.9</v>
      </c>
      <c r="Q1655" s="17">
        <f t="shared" si="38"/>
        <v>0</v>
      </c>
      <c r="R1655" s="285" t="s">
        <v>5303</v>
      </c>
      <c r="S1655" s="285" t="s">
        <v>9095</v>
      </c>
      <c r="T1655" s="14" t="s">
        <v>9094</v>
      </c>
    </row>
    <row r="1656" spans="1:20" ht="51" customHeight="1" x14ac:dyDescent="0.2">
      <c r="A1656" s="21">
        <v>1683</v>
      </c>
      <c r="B1656" s="12" t="s">
        <v>9137</v>
      </c>
      <c r="C1656" s="289"/>
      <c r="D1656" s="9" t="s">
        <v>9093</v>
      </c>
      <c r="E1656" s="22" t="s">
        <v>8615</v>
      </c>
      <c r="F1656" s="9"/>
      <c r="G1656" s="285" t="s">
        <v>6266</v>
      </c>
      <c r="H1656" s="285" t="s">
        <v>5127</v>
      </c>
      <c r="I1656" s="289"/>
      <c r="J1656" s="285" t="s">
        <v>3136</v>
      </c>
      <c r="K1656" s="14">
        <v>43760</v>
      </c>
      <c r="L1656" s="285">
        <v>866</v>
      </c>
      <c r="M1656" s="15">
        <v>43650</v>
      </c>
      <c r="N1656" s="40">
        <v>1</v>
      </c>
      <c r="O1656" s="40">
        <v>469.8</v>
      </c>
      <c r="P1656" s="40">
        <v>469.8</v>
      </c>
      <c r="Q1656" s="17">
        <f t="shared" si="38"/>
        <v>0</v>
      </c>
      <c r="R1656" s="285" t="s">
        <v>5303</v>
      </c>
      <c r="S1656" s="285" t="s">
        <v>9095</v>
      </c>
      <c r="T1656" s="14" t="s">
        <v>9094</v>
      </c>
    </row>
    <row r="1657" spans="1:20" ht="54.75" customHeight="1" x14ac:dyDescent="0.2">
      <c r="A1657" s="21">
        <v>1684</v>
      </c>
      <c r="B1657" s="12" t="s">
        <v>9138</v>
      </c>
      <c r="C1657" s="289"/>
      <c r="D1657" s="9" t="s">
        <v>2140</v>
      </c>
      <c r="E1657" s="22" t="s">
        <v>8615</v>
      </c>
      <c r="F1657" s="9"/>
      <c r="G1657" s="285" t="s">
        <v>6266</v>
      </c>
      <c r="H1657" s="285" t="s">
        <v>5127</v>
      </c>
      <c r="I1657" s="289"/>
      <c r="J1657" s="285" t="s">
        <v>3136</v>
      </c>
      <c r="K1657" s="14">
        <v>43760</v>
      </c>
      <c r="L1657" s="285">
        <v>866</v>
      </c>
      <c r="M1657" s="15">
        <v>43650</v>
      </c>
      <c r="N1657" s="40">
        <v>1</v>
      </c>
      <c r="O1657" s="40">
        <v>5621.4</v>
      </c>
      <c r="P1657" s="40">
        <v>5621.4</v>
      </c>
      <c r="Q1657" s="17">
        <f t="shared" si="38"/>
        <v>0</v>
      </c>
      <c r="R1657" s="285" t="s">
        <v>5303</v>
      </c>
      <c r="S1657" s="285" t="s">
        <v>9095</v>
      </c>
      <c r="T1657" s="14" t="s">
        <v>9094</v>
      </c>
    </row>
    <row r="1658" spans="1:20" ht="38.25" customHeight="1" x14ac:dyDescent="0.2">
      <c r="A1658" s="21">
        <v>1685</v>
      </c>
      <c r="B1658" s="12" t="s">
        <v>9139</v>
      </c>
      <c r="C1658" s="289"/>
      <c r="D1658" s="9" t="s">
        <v>3935</v>
      </c>
      <c r="E1658" s="22" t="s">
        <v>8615</v>
      </c>
      <c r="F1658" s="9"/>
      <c r="G1658" s="285" t="s">
        <v>6266</v>
      </c>
      <c r="H1658" s="285" t="s">
        <v>5127</v>
      </c>
      <c r="I1658" s="289"/>
      <c r="J1658" s="285" t="s">
        <v>3136</v>
      </c>
      <c r="K1658" s="14">
        <v>43760</v>
      </c>
      <c r="L1658" s="285">
        <v>866</v>
      </c>
      <c r="M1658" s="15">
        <v>43650</v>
      </c>
      <c r="N1658" s="40">
        <v>1</v>
      </c>
      <c r="O1658" s="40">
        <v>2907.9</v>
      </c>
      <c r="P1658" s="40">
        <v>2907.9</v>
      </c>
      <c r="Q1658" s="17">
        <f t="shared" si="38"/>
        <v>0</v>
      </c>
      <c r="R1658" s="285" t="s">
        <v>5303</v>
      </c>
      <c r="S1658" s="285" t="s">
        <v>9095</v>
      </c>
      <c r="T1658" s="14" t="s">
        <v>9094</v>
      </c>
    </row>
    <row r="1659" spans="1:20" ht="57.75" customHeight="1" x14ac:dyDescent="0.2">
      <c r="A1659" s="21">
        <v>1686</v>
      </c>
      <c r="B1659" s="12" t="s">
        <v>9140</v>
      </c>
      <c r="C1659" s="289"/>
      <c r="D1659" s="9" t="s">
        <v>1709</v>
      </c>
      <c r="E1659" s="22" t="s">
        <v>8615</v>
      </c>
      <c r="F1659" s="9"/>
      <c r="G1659" s="285" t="s">
        <v>6266</v>
      </c>
      <c r="H1659" s="285" t="s">
        <v>5127</v>
      </c>
      <c r="I1659" s="289"/>
      <c r="J1659" s="285" t="s">
        <v>3136</v>
      </c>
      <c r="K1659" s="14">
        <v>43760</v>
      </c>
      <c r="L1659" s="285">
        <v>866</v>
      </c>
      <c r="M1659" s="15">
        <v>43650</v>
      </c>
      <c r="N1659" s="40">
        <v>1</v>
      </c>
      <c r="O1659" s="40">
        <v>400.95</v>
      </c>
      <c r="P1659" s="40">
        <v>400.95</v>
      </c>
      <c r="Q1659" s="17">
        <f t="shared" si="38"/>
        <v>0</v>
      </c>
      <c r="R1659" s="285" t="s">
        <v>5303</v>
      </c>
      <c r="S1659" s="285" t="s">
        <v>9095</v>
      </c>
      <c r="T1659" s="14" t="s">
        <v>9094</v>
      </c>
    </row>
    <row r="1660" spans="1:20" ht="42" customHeight="1" x14ac:dyDescent="0.2">
      <c r="A1660" s="21">
        <v>1687</v>
      </c>
      <c r="B1660" s="12" t="s">
        <v>9096</v>
      </c>
      <c r="C1660" s="289"/>
      <c r="D1660" s="9" t="s">
        <v>9097</v>
      </c>
      <c r="E1660" s="22" t="s">
        <v>8615</v>
      </c>
      <c r="F1660" s="9"/>
      <c r="G1660" s="285" t="s">
        <v>3699</v>
      </c>
      <c r="H1660" s="285" t="s">
        <v>5127</v>
      </c>
      <c r="I1660" s="289"/>
      <c r="J1660" s="285" t="s">
        <v>3136</v>
      </c>
      <c r="K1660" s="14">
        <v>43753</v>
      </c>
      <c r="L1660" s="285">
        <v>847</v>
      </c>
      <c r="M1660" s="15">
        <v>43693</v>
      </c>
      <c r="N1660" s="40">
        <v>1</v>
      </c>
      <c r="O1660" s="40">
        <v>47084.39</v>
      </c>
      <c r="P1660" s="40">
        <v>47084.39</v>
      </c>
      <c r="Q1660" s="17">
        <f t="shared" si="38"/>
        <v>0</v>
      </c>
      <c r="R1660" s="285" t="s">
        <v>5303</v>
      </c>
      <c r="S1660" s="285" t="s">
        <v>9098</v>
      </c>
      <c r="T1660" s="14" t="s">
        <v>9099</v>
      </c>
    </row>
    <row r="1661" spans="1:20" ht="44.25" customHeight="1" x14ac:dyDescent="0.2">
      <c r="A1661" s="21">
        <v>1688</v>
      </c>
      <c r="B1661" s="12" t="s">
        <v>9100</v>
      </c>
      <c r="C1661" s="289"/>
      <c r="D1661" s="9" t="s">
        <v>9101</v>
      </c>
      <c r="E1661" s="22" t="s">
        <v>8615</v>
      </c>
      <c r="F1661" s="9"/>
      <c r="G1661" s="285" t="s">
        <v>515</v>
      </c>
      <c r="H1661" s="285" t="s">
        <v>5127</v>
      </c>
      <c r="I1661" s="289"/>
      <c r="J1661" s="285" t="s">
        <v>3136</v>
      </c>
      <c r="K1661" s="14">
        <v>43753</v>
      </c>
      <c r="L1661" s="285">
        <v>847</v>
      </c>
      <c r="M1661" s="15">
        <v>43693</v>
      </c>
      <c r="N1661" s="40">
        <v>1</v>
      </c>
      <c r="O1661" s="40">
        <v>33838.69</v>
      </c>
      <c r="P1661" s="40">
        <v>33838.69</v>
      </c>
      <c r="Q1661" s="17">
        <f t="shared" si="38"/>
        <v>0</v>
      </c>
      <c r="R1661" s="285" t="s">
        <v>5303</v>
      </c>
      <c r="S1661" s="285" t="s">
        <v>9098</v>
      </c>
      <c r="T1661" s="14" t="s">
        <v>9099</v>
      </c>
    </row>
    <row r="1662" spans="1:20" ht="44.25" customHeight="1" x14ac:dyDescent="0.2">
      <c r="A1662" s="21">
        <v>1689</v>
      </c>
      <c r="B1662" s="12" t="s">
        <v>9100</v>
      </c>
      <c r="C1662" s="289"/>
      <c r="D1662" s="9" t="s">
        <v>9101</v>
      </c>
      <c r="E1662" s="22" t="s">
        <v>8615</v>
      </c>
      <c r="F1662" s="9"/>
      <c r="G1662" s="285" t="s">
        <v>7917</v>
      </c>
      <c r="H1662" s="285" t="s">
        <v>5127</v>
      </c>
      <c r="I1662" s="289"/>
      <c r="J1662" s="285" t="s">
        <v>3136</v>
      </c>
      <c r="K1662" s="14">
        <v>43753</v>
      </c>
      <c r="L1662" s="285">
        <v>847</v>
      </c>
      <c r="M1662" s="15">
        <v>43693</v>
      </c>
      <c r="N1662" s="40">
        <v>1</v>
      </c>
      <c r="O1662" s="40">
        <v>33838.69</v>
      </c>
      <c r="P1662" s="40">
        <v>33838.69</v>
      </c>
      <c r="Q1662" s="17">
        <f t="shared" si="38"/>
        <v>0</v>
      </c>
      <c r="R1662" s="285" t="s">
        <v>5303</v>
      </c>
      <c r="S1662" s="285" t="s">
        <v>9098</v>
      </c>
      <c r="T1662" s="14" t="s">
        <v>9099</v>
      </c>
    </row>
    <row r="1663" spans="1:20" ht="67.5" customHeight="1" x14ac:dyDescent="0.2">
      <c r="A1663" s="21">
        <v>1690</v>
      </c>
      <c r="B1663" s="12" t="s">
        <v>9100</v>
      </c>
      <c r="C1663" s="289"/>
      <c r="D1663" s="9" t="s">
        <v>9101</v>
      </c>
      <c r="E1663" s="22" t="s">
        <v>8615</v>
      </c>
      <c r="F1663" s="9"/>
      <c r="G1663" s="285" t="s">
        <v>7982</v>
      </c>
      <c r="H1663" s="285" t="s">
        <v>5127</v>
      </c>
      <c r="I1663" s="289"/>
      <c r="J1663" s="285" t="s">
        <v>3136</v>
      </c>
      <c r="K1663" s="14">
        <v>43753</v>
      </c>
      <c r="L1663" s="285">
        <v>847</v>
      </c>
      <c r="M1663" s="15">
        <v>43693</v>
      </c>
      <c r="N1663" s="40">
        <v>1</v>
      </c>
      <c r="O1663" s="40">
        <v>33838.69</v>
      </c>
      <c r="P1663" s="40">
        <v>33838.69</v>
      </c>
      <c r="Q1663" s="17">
        <f t="shared" si="38"/>
        <v>0</v>
      </c>
      <c r="R1663" s="285" t="s">
        <v>5303</v>
      </c>
      <c r="S1663" s="285" t="s">
        <v>9098</v>
      </c>
      <c r="T1663" s="14" t="s">
        <v>9099</v>
      </c>
    </row>
    <row r="1664" spans="1:20" ht="67.5" customHeight="1" x14ac:dyDescent="0.2">
      <c r="A1664" s="21">
        <v>1691</v>
      </c>
      <c r="B1664" s="12" t="s">
        <v>9100</v>
      </c>
      <c r="C1664" s="289"/>
      <c r="D1664" s="9" t="s">
        <v>9101</v>
      </c>
      <c r="E1664" s="22" t="s">
        <v>8615</v>
      </c>
      <c r="F1664" s="9"/>
      <c r="G1664" s="285" t="s">
        <v>7981</v>
      </c>
      <c r="H1664" s="285" t="s">
        <v>5127</v>
      </c>
      <c r="I1664" s="289"/>
      <c r="J1664" s="285" t="s">
        <v>3136</v>
      </c>
      <c r="K1664" s="14">
        <v>43753</v>
      </c>
      <c r="L1664" s="285">
        <v>847</v>
      </c>
      <c r="M1664" s="15">
        <v>43693</v>
      </c>
      <c r="N1664" s="40">
        <v>1</v>
      </c>
      <c r="O1664" s="40">
        <v>33838.69</v>
      </c>
      <c r="P1664" s="40">
        <v>33838.69</v>
      </c>
      <c r="Q1664" s="17">
        <f t="shared" si="38"/>
        <v>0</v>
      </c>
      <c r="R1664" s="285" t="s">
        <v>5303</v>
      </c>
      <c r="S1664" s="285" t="s">
        <v>9098</v>
      </c>
      <c r="T1664" s="14" t="s">
        <v>9099</v>
      </c>
    </row>
    <row r="1665" spans="1:20" ht="60" customHeight="1" x14ac:dyDescent="0.2">
      <c r="A1665" s="21">
        <v>1692</v>
      </c>
      <c r="B1665" s="12" t="s">
        <v>9103</v>
      </c>
      <c r="C1665" s="289"/>
      <c r="D1665" s="9" t="s">
        <v>9106</v>
      </c>
      <c r="E1665" s="22" t="s">
        <v>8615</v>
      </c>
      <c r="F1665" s="9" t="s">
        <v>9104</v>
      </c>
      <c r="G1665" s="285" t="s">
        <v>7846</v>
      </c>
      <c r="H1665" s="285" t="s">
        <v>5127</v>
      </c>
      <c r="I1665" s="289"/>
      <c r="J1665" s="285" t="s">
        <v>3136</v>
      </c>
      <c r="K1665" s="14">
        <v>43753</v>
      </c>
      <c r="L1665" s="285">
        <v>852</v>
      </c>
      <c r="M1665" s="15">
        <v>43648</v>
      </c>
      <c r="N1665" s="40">
        <v>1</v>
      </c>
      <c r="O1665" s="40">
        <v>16000</v>
      </c>
      <c r="P1665" s="40">
        <v>16000</v>
      </c>
      <c r="Q1665" s="17">
        <f t="shared" si="38"/>
        <v>0</v>
      </c>
      <c r="R1665" s="285" t="s">
        <v>3418</v>
      </c>
      <c r="S1665" s="14">
        <v>43648</v>
      </c>
      <c r="T1665" s="14" t="s">
        <v>9105</v>
      </c>
    </row>
    <row r="1666" spans="1:20" ht="33.75" customHeight="1" x14ac:dyDescent="0.2">
      <c r="A1666" s="21">
        <v>1693</v>
      </c>
      <c r="B1666" s="12" t="s">
        <v>9117</v>
      </c>
      <c r="C1666" s="289"/>
      <c r="D1666" s="9" t="s">
        <v>9118</v>
      </c>
      <c r="E1666" s="22" t="s">
        <v>8615</v>
      </c>
      <c r="F1666" s="9" t="s">
        <v>9119</v>
      </c>
      <c r="G1666" s="285" t="s">
        <v>7917</v>
      </c>
      <c r="H1666" s="285" t="s">
        <v>5127</v>
      </c>
      <c r="I1666" s="289"/>
      <c r="J1666" s="285" t="s">
        <v>3136</v>
      </c>
      <c r="K1666" s="14">
        <v>43760</v>
      </c>
      <c r="L1666" s="285">
        <v>868</v>
      </c>
      <c r="M1666" s="15">
        <v>43739</v>
      </c>
      <c r="N1666" s="40">
        <v>1</v>
      </c>
      <c r="O1666" s="40">
        <v>99900</v>
      </c>
      <c r="P1666" s="40">
        <v>99900</v>
      </c>
      <c r="Q1666" s="17">
        <f t="shared" si="38"/>
        <v>0</v>
      </c>
      <c r="R1666" s="285" t="s">
        <v>5110</v>
      </c>
      <c r="S1666" s="14">
        <v>43675</v>
      </c>
      <c r="T1666" s="14" t="s">
        <v>9120</v>
      </c>
    </row>
    <row r="1667" spans="1:20" ht="77.25" customHeight="1" x14ac:dyDescent="0.2">
      <c r="A1667" s="21">
        <v>1694</v>
      </c>
      <c r="B1667" s="12" t="s">
        <v>9177</v>
      </c>
      <c r="C1667" s="289"/>
      <c r="D1667" s="9" t="s">
        <v>9160</v>
      </c>
      <c r="E1667" s="22" t="s">
        <v>8615</v>
      </c>
      <c r="F1667" s="9" t="s">
        <v>6082</v>
      </c>
      <c r="G1667" s="285" t="s">
        <v>3699</v>
      </c>
      <c r="H1667" s="285" t="s">
        <v>5127</v>
      </c>
      <c r="I1667" s="289"/>
      <c r="J1667" s="285" t="s">
        <v>3136</v>
      </c>
      <c r="K1667" s="14">
        <v>43780</v>
      </c>
      <c r="L1667" s="285">
        <v>937</v>
      </c>
      <c r="M1667" s="15">
        <v>43761</v>
      </c>
      <c r="N1667" s="40">
        <v>1</v>
      </c>
      <c r="O1667" s="40">
        <v>42195.65</v>
      </c>
      <c r="P1667" s="40">
        <v>42195.65</v>
      </c>
      <c r="Q1667" s="17">
        <f t="shared" si="38"/>
        <v>0</v>
      </c>
      <c r="R1667" s="285" t="s">
        <v>5303</v>
      </c>
      <c r="S1667" s="14">
        <v>43761</v>
      </c>
      <c r="T1667" s="14">
        <v>873</v>
      </c>
    </row>
    <row r="1668" spans="1:20" ht="46.5" customHeight="1" x14ac:dyDescent="0.2">
      <c r="A1668" s="21">
        <v>1695</v>
      </c>
      <c r="B1668" s="12" t="s">
        <v>9161</v>
      </c>
      <c r="C1668" s="289"/>
      <c r="D1668" s="9" t="s">
        <v>9162</v>
      </c>
      <c r="E1668" s="22" t="s">
        <v>8615</v>
      </c>
      <c r="F1668" s="9" t="s">
        <v>9163</v>
      </c>
      <c r="G1668" s="285" t="s">
        <v>4296</v>
      </c>
      <c r="H1668" s="285" t="s">
        <v>3793</v>
      </c>
      <c r="I1668" s="18"/>
      <c r="J1668" s="285" t="s">
        <v>3136</v>
      </c>
      <c r="K1668" s="14">
        <v>43770</v>
      </c>
      <c r="L1668" s="285">
        <v>896</v>
      </c>
      <c r="M1668" s="15">
        <v>43746</v>
      </c>
      <c r="N1668" s="40">
        <v>1</v>
      </c>
      <c r="O1668" s="40">
        <v>26516.67</v>
      </c>
      <c r="P1668" s="40">
        <v>26516.67</v>
      </c>
      <c r="Q1668" s="17">
        <f t="shared" si="38"/>
        <v>0</v>
      </c>
      <c r="R1668" s="285" t="s">
        <v>3418</v>
      </c>
      <c r="S1668" s="14">
        <v>43726</v>
      </c>
      <c r="T1668" s="14" t="s">
        <v>9164</v>
      </c>
    </row>
    <row r="1669" spans="1:20" ht="42" customHeight="1" x14ac:dyDescent="0.2">
      <c r="A1669" s="21">
        <v>1696</v>
      </c>
      <c r="B1669" s="12" t="s">
        <v>9173</v>
      </c>
      <c r="C1669" s="289"/>
      <c r="D1669" s="9" t="s">
        <v>9174</v>
      </c>
      <c r="E1669" s="22" t="s">
        <v>8615</v>
      </c>
      <c r="F1669" s="9" t="s">
        <v>9175</v>
      </c>
      <c r="G1669" s="285" t="s">
        <v>4877</v>
      </c>
      <c r="H1669" s="285" t="s">
        <v>3793</v>
      </c>
      <c r="I1669" s="18"/>
      <c r="J1669" s="285" t="s">
        <v>3136</v>
      </c>
      <c r="K1669" s="14">
        <v>43780</v>
      </c>
      <c r="L1669" s="285">
        <v>930</v>
      </c>
      <c r="M1669" s="15">
        <v>43766</v>
      </c>
      <c r="N1669" s="40">
        <v>1</v>
      </c>
      <c r="O1669" s="40">
        <v>99000</v>
      </c>
      <c r="P1669" s="40">
        <v>21450</v>
      </c>
      <c r="Q1669" s="17">
        <f t="shared" si="38"/>
        <v>77550</v>
      </c>
      <c r="R1669" s="285" t="s">
        <v>9176</v>
      </c>
      <c r="S1669" s="14">
        <v>43717</v>
      </c>
      <c r="T1669" s="14">
        <v>356</v>
      </c>
    </row>
    <row r="1670" spans="1:20" ht="43.5" customHeight="1" x14ac:dyDescent="0.2">
      <c r="A1670" s="21">
        <v>1697</v>
      </c>
      <c r="B1670" s="12" t="s">
        <v>9178</v>
      </c>
      <c r="C1670" s="289"/>
      <c r="D1670" s="9" t="s">
        <v>9179</v>
      </c>
      <c r="E1670" s="22" t="s">
        <v>8615</v>
      </c>
      <c r="F1670" s="9" t="s">
        <v>9180</v>
      </c>
      <c r="G1670" s="285" t="s">
        <v>7917</v>
      </c>
      <c r="H1670" s="285" t="s">
        <v>5127</v>
      </c>
      <c r="I1670" s="289"/>
      <c r="J1670" s="285" t="s">
        <v>3136</v>
      </c>
      <c r="K1670" s="14">
        <v>43781</v>
      </c>
      <c r="L1670" s="285">
        <v>940</v>
      </c>
      <c r="M1670" s="15">
        <v>43770</v>
      </c>
      <c r="N1670" s="62">
        <v>2</v>
      </c>
      <c r="O1670" s="62">
        <v>52998</v>
      </c>
      <c r="P1670" s="62">
        <v>52998</v>
      </c>
      <c r="Q1670" s="17">
        <f t="shared" si="38"/>
        <v>0</v>
      </c>
      <c r="R1670" s="285" t="s">
        <v>3418</v>
      </c>
      <c r="S1670" s="14">
        <v>43763</v>
      </c>
      <c r="T1670" s="14" t="s">
        <v>9181</v>
      </c>
    </row>
    <row r="1671" spans="1:20" ht="81.75" customHeight="1" x14ac:dyDescent="0.2">
      <c r="A1671" s="21">
        <v>1698</v>
      </c>
      <c r="B1671" s="12" t="s">
        <v>9182</v>
      </c>
      <c r="C1671" s="289"/>
      <c r="D1671" s="9" t="s">
        <v>9183</v>
      </c>
      <c r="E1671" s="22" t="s">
        <v>8615</v>
      </c>
      <c r="F1671" s="9" t="s">
        <v>9184</v>
      </c>
      <c r="G1671" s="285" t="s">
        <v>4296</v>
      </c>
      <c r="H1671" s="285" t="s">
        <v>3793</v>
      </c>
      <c r="I1671" s="18"/>
      <c r="J1671" s="285" t="s">
        <v>3136</v>
      </c>
      <c r="K1671" s="14">
        <v>43781</v>
      </c>
      <c r="L1671" s="285">
        <v>941</v>
      </c>
      <c r="M1671" s="15">
        <v>43759</v>
      </c>
      <c r="N1671" s="62">
        <v>1</v>
      </c>
      <c r="O1671" s="62">
        <v>70000</v>
      </c>
      <c r="P1671" s="179">
        <v>70000</v>
      </c>
      <c r="Q1671" s="17">
        <f t="shared" si="38"/>
        <v>0</v>
      </c>
      <c r="R1671" s="285" t="s">
        <v>5363</v>
      </c>
      <c r="S1671" s="14">
        <v>43537</v>
      </c>
      <c r="T1671" s="14" t="s">
        <v>9004</v>
      </c>
    </row>
    <row r="1672" spans="1:20" ht="76.5" customHeight="1" x14ac:dyDescent="0.2">
      <c r="A1672" s="21">
        <v>1699</v>
      </c>
      <c r="B1672" s="12" t="s">
        <v>9185</v>
      </c>
      <c r="C1672" s="289"/>
      <c r="D1672" s="9" t="s">
        <v>9186</v>
      </c>
      <c r="E1672" s="22" t="s">
        <v>8615</v>
      </c>
      <c r="F1672" s="9" t="s">
        <v>9187</v>
      </c>
      <c r="G1672" s="285" t="s">
        <v>4296</v>
      </c>
      <c r="H1672" s="285" t="s">
        <v>3793</v>
      </c>
      <c r="I1672" s="18"/>
      <c r="J1672" s="285" t="s">
        <v>3136</v>
      </c>
      <c r="K1672" s="14">
        <v>43783</v>
      </c>
      <c r="L1672" s="285">
        <v>950</v>
      </c>
      <c r="M1672" s="15">
        <v>43767</v>
      </c>
      <c r="N1672" s="62">
        <v>2</v>
      </c>
      <c r="O1672" s="62">
        <v>65725.75</v>
      </c>
      <c r="P1672" s="62">
        <v>65725.75</v>
      </c>
      <c r="Q1672" s="17">
        <f t="shared" si="38"/>
        <v>0</v>
      </c>
      <c r="R1672" s="285" t="s">
        <v>5110</v>
      </c>
      <c r="S1672" s="14">
        <v>43656</v>
      </c>
      <c r="T1672" s="14" t="s">
        <v>9188</v>
      </c>
    </row>
    <row r="1673" spans="1:20" ht="84" customHeight="1" x14ac:dyDescent="0.2">
      <c r="A1673" s="21">
        <v>1700</v>
      </c>
      <c r="B1673" s="12" t="s">
        <v>9191</v>
      </c>
      <c r="C1673" s="289"/>
      <c r="D1673" s="9" t="s">
        <v>9189</v>
      </c>
      <c r="E1673" s="22" t="s">
        <v>8615</v>
      </c>
      <c r="F1673" s="9" t="s">
        <v>9192</v>
      </c>
      <c r="G1673" s="285" t="s">
        <v>7981</v>
      </c>
      <c r="H1673" s="285" t="s">
        <v>5127</v>
      </c>
      <c r="I1673" s="18"/>
      <c r="J1673" s="285" t="s">
        <v>3136</v>
      </c>
      <c r="K1673" s="14">
        <v>43802</v>
      </c>
      <c r="L1673" s="285">
        <v>997</v>
      </c>
      <c r="M1673" s="15">
        <v>43661</v>
      </c>
      <c r="N1673" s="62">
        <v>3</v>
      </c>
      <c r="O1673" s="62">
        <v>33133.5</v>
      </c>
      <c r="P1673" s="62">
        <v>33133.5</v>
      </c>
      <c r="Q1673" s="17">
        <f t="shared" si="38"/>
        <v>0</v>
      </c>
      <c r="R1673" s="285" t="s">
        <v>5303</v>
      </c>
      <c r="S1673" s="14">
        <v>43661</v>
      </c>
      <c r="T1673" s="14" t="s">
        <v>9190</v>
      </c>
    </row>
    <row r="1674" spans="1:20" ht="75.75" customHeight="1" x14ac:dyDescent="0.2">
      <c r="A1674" s="21">
        <v>1701</v>
      </c>
      <c r="B1674" s="12" t="s">
        <v>9199</v>
      </c>
      <c r="C1674" s="289"/>
      <c r="D1674" s="9" t="s">
        <v>9200</v>
      </c>
      <c r="E1674" s="22" t="s">
        <v>8615</v>
      </c>
      <c r="F1674" s="9" t="s">
        <v>3338</v>
      </c>
      <c r="G1674" s="285" t="s">
        <v>7982</v>
      </c>
      <c r="H1674" s="285" t="s">
        <v>5127</v>
      </c>
      <c r="I1674" s="289"/>
      <c r="J1674" s="285" t="s">
        <v>3136</v>
      </c>
      <c r="K1674" s="14">
        <v>43804</v>
      </c>
      <c r="L1674" s="285">
        <v>1000</v>
      </c>
      <c r="M1674" s="15">
        <v>43787</v>
      </c>
      <c r="N1674" s="62">
        <v>2</v>
      </c>
      <c r="O1674" s="62">
        <v>49998</v>
      </c>
      <c r="P1674" s="62">
        <v>49998</v>
      </c>
      <c r="Q1674" s="17">
        <f t="shared" si="38"/>
        <v>0</v>
      </c>
      <c r="R1674" s="285" t="s">
        <v>3418</v>
      </c>
      <c r="S1674" s="14">
        <v>43785</v>
      </c>
      <c r="T1674" s="14" t="s">
        <v>9201</v>
      </c>
    </row>
    <row r="1675" spans="1:20" ht="75.75" customHeight="1" x14ac:dyDescent="0.2">
      <c r="A1675" s="21">
        <v>1702</v>
      </c>
      <c r="B1675" s="12" t="s">
        <v>9204</v>
      </c>
      <c r="C1675" s="289"/>
      <c r="D1675" s="9" t="s">
        <v>9205</v>
      </c>
      <c r="E1675" s="22" t="s">
        <v>8615</v>
      </c>
      <c r="F1675" s="9" t="s">
        <v>10302</v>
      </c>
      <c r="G1675" s="285" t="s">
        <v>792</v>
      </c>
      <c r="H1675" s="285" t="s">
        <v>5127</v>
      </c>
      <c r="I1675" s="289"/>
      <c r="J1675" s="285" t="s">
        <v>3136</v>
      </c>
      <c r="K1675" s="14">
        <v>43811</v>
      </c>
      <c r="L1675" s="285">
        <v>1018</v>
      </c>
      <c r="M1675" s="15">
        <v>43802</v>
      </c>
      <c r="N1675" s="62">
        <v>3</v>
      </c>
      <c r="O1675" s="62">
        <v>47997</v>
      </c>
      <c r="P1675" s="62">
        <v>47997</v>
      </c>
      <c r="Q1675" s="17">
        <f t="shared" si="38"/>
        <v>0</v>
      </c>
      <c r="R1675" s="285" t="s">
        <v>3418</v>
      </c>
      <c r="S1675" s="14" t="s">
        <v>9206</v>
      </c>
      <c r="T1675" s="14" t="s">
        <v>9207</v>
      </c>
    </row>
    <row r="1676" spans="1:20" ht="75.75" customHeight="1" x14ac:dyDescent="0.2">
      <c r="A1676" s="21">
        <v>1703</v>
      </c>
      <c r="B1676" s="12" t="s">
        <v>9220</v>
      </c>
      <c r="C1676" s="289"/>
      <c r="D1676" s="9" t="s">
        <v>9229</v>
      </c>
      <c r="E1676" s="22" t="s">
        <v>8615</v>
      </c>
      <c r="F1676" s="9" t="s">
        <v>9230</v>
      </c>
      <c r="G1676" s="285" t="s">
        <v>4296</v>
      </c>
      <c r="H1676" s="285" t="s">
        <v>3793</v>
      </c>
      <c r="I1676" s="18"/>
      <c r="J1676" s="285" t="s">
        <v>3136</v>
      </c>
      <c r="K1676" s="14">
        <v>43815</v>
      </c>
      <c r="L1676" s="285">
        <v>1030</v>
      </c>
      <c r="M1676" s="15">
        <v>43788</v>
      </c>
      <c r="N1676" s="62">
        <v>1</v>
      </c>
      <c r="O1676" s="62">
        <v>10865</v>
      </c>
      <c r="P1676" s="62">
        <v>10865</v>
      </c>
      <c r="Q1676" s="17">
        <f t="shared" si="38"/>
        <v>0</v>
      </c>
      <c r="R1676" s="285" t="s">
        <v>9040</v>
      </c>
      <c r="S1676" s="14">
        <v>43784</v>
      </c>
      <c r="T1676" s="14">
        <v>563</v>
      </c>
    </row>
    <row r="1677" spans="1:20" ht="75.75" customHeight="1" x14ac:dyDescent="0.2">
      <c r="A1677" s="21">
        <v>1704</v>
      </c>
      <c r="B1677" s="12" t="s">
        <v>9228</v>
      </c>
      <c r="C1677" s="289"/>
      <c r="D1677" s="9" t="s">
        <v>9221</v>
      </c>
      <c r="E1677" s="22" t="s">
        <v>8615</v>
      </c>
      <c r="F1677" s="9" t="s">
        <v>9222</v>
      </c>
      <c r="G1677" s="285" t="s">
        <v>515</v>
      </c>
      <c r="H1677" s="285" t="s">
        <v>5127</v>
      </c>
      <c r="I1677" s="289"/>
      <c r="J1677" s="285" t="s">
        <v>3136</v>
      </c>
      <c r="K1677" s="14">
        <v>43815</v>
      </c>
      <c r="L1677" s="285">
        <v>1029</v>
      </c>
      <c r="M1677" s="15">
        <v>43797</v>
      </c>
      <c r="N1677" s="62">
        <v>1</v>
      </c>
      <c r="O1677" s="62">
        <v>17395</v>
      </c>
      <c r="P1677" s="62">
        <v>17395</v>
      </c>
      <c r="Q1677" s="17">
        <f t="shared" si="38"/>
        <v>0</v>
      </c>
      <c r="R1677" s="285" t="s">
        <v>5110</v>
      </c>
      <c r="S1677" s="14">
        <v>43763</v>
      </c>
      <c r="T1677" s="14" t="s">
        <v>9223</v>
      </c>
    </row>
    <row r="1678" spans="1:20" ht="75" customHeight="1" x14ac:dyDescent="0.2">
      <c r="A1678" s="21">
        <v>1705</v>
      </c>
      <c r="B1678" s="12" t="s">
        <v>9276</v>
      </c>
      <c r="C1678" s="289"/>
      <c r="D1678" s="9" t="s">
        <v>9277</v>
      </c>
      <c r="E1678" s="22" t="s">
        <v>8615</v>
      </c>
      <c r="F1678" s="9"/>
      <c r="G1678" s="285" t="s">
        <v>101</v>
      </c>
      <c r="H1678" s="285" t="s">
        <v>5127</v>
      </c>
      <c r="I1678" s="289"/>
      <c r="J1678" s="285" t="s">
        <v>3136</v>
      </c>
      <c r="K1678" s="14">
        <v>43826</v>
      </c>
      <c r="L1678" s="285">
        <v>1077</v>
      </c>
      <c r="M1678" s="15">
        <v>43801</v>
      </c>
      <c r="N1678" s="62">
        <v>1</v>
      </c>
      <c r="O1678" s="40">
        <v>494000</v>
      </c>
      <c r="P1678" s="40">
        <v>148200.12</v>
      </c>
      <c r="Q1678" s="17">
        <f t="shared" si="38"/>
        <v>345799.88</v>
      </c>
      <c r="R1678" s="285" t="s">
        <v>9278</v>
      </c>
      <c r="S1678" s="14" t="s">
        <v>9279</v>
      </c>
      <c r="T1678" s="14" t="s">
        <v>9280</v>
      </c>
    </row>
    <row r="1679" spans="1:20" ht="75" customHeight="1" x14ac:dyDescent="0.2">
      <c r="A1679" s="21">
        <v>1706</v>
      </c>
      <c r="B1679" s="12" t="s">
        <v>9284</v>
      </c>
      <c r="C1679" s="289"/>
      <c r="D1679" s="9" t="s">
        <v>9286</v>
      </c>
      <c r="E1679" s="22" t="s">
        <v>8615</v>
      </c>
      <c r="F1679" s="13" t="s">
        <v>9287</v>
      </c>
      <c r="G1679" s="285" t="s">
        <v>7464</v>
      </c>
      <c r="H1679" s="285" t="s">
        <v>5127</v>
      </c>
      <c r="I1679" s="289"/>
      <c r="J1679" s="285" t="s">
        <v>3136</v>
      </c>
      <c r="K1679" s="14">
        <v>43826</v>
      </c>
      <c r="L1679" s="285">
        <v>1079</v>
      </c>
      <c r="M1679" s="15">
        <v>43815</v>
      </c>
      <c r="N1679" s="62">
        <v>1</v>
      </c>
      <c r="O1679" s="40">
        <v>20650</v>
      </c>
      <c r="P1679" s="40">
        <v>20650</v>
      </c>
      <c r="Q1679" s="17">
        <f t="shared" si="38"/>
        <v>0</v>
      </c>
      <c r="R1679" s="285" t="s">
        <v>8148</v>
      </c>
      <c r="S1679" s="14">
        <v>43770</v>
      </c>
      <c r="T1679" s="14" t="s">
        <v>9288</v>
      </c>
    </row>
    <row r="1680" spans="1:20" ht="48.75" customHeight="1" x14ac:dyDescent="0.2">
      <c r="A1680" s="21">
        <v>1707</v>
      </c>
      <c r="B1680" s="12" t="s">
        <v>9285</v>
      </c>
      <c r="C1680" s="289"/>
      <c r="D1680" s="9" t="s">
        <v>9289</v>
      </c>
      <c r="E1680" s="22" t="s">
        <v>8615</v>
      </c>
      <c r="F1680" s="9" t="s">
        <v>9290</v>
      </c>
      <c r="G1680" s="285" t="s">
        <v>6266</v>
      </c>
      <c r="H1680" s="285" t="s">
        <v>5127</v>
      </c>
      <c r="I1680" s="289"/>
      <c r="J1680" s="285" t="s">
        <v>3136</v>
      </c>
      <c r="K1680" s="14">
        <v>43826</v>
      </c>
      <c r="L1680" s="285">
        <v>1076</v>
      </c>
      <c r="M1680" s="15">
        <v>43819</v>
      </c>
      <c r="N1680" s="62">
        <v>1</v>
      </c>
      <c r="O1680" s="62">
        <v>21490</v>
      </c>
      <c r="P1680" s="62">
        <v>21490</v>
      </c>
      <c r="Q1680" s="17">
        <f t="shared" si="38"/>
        <v>0</v>
      </c>
      <c r="R1680" s="285" t="s">
        <v>9291</v>
      </c>
      <c r="S1680" s="14">
        <v>43817</v>
      </c>
      <c r="T1680" s="14" t="s">
        <v>9292</v>
      </c>
    </row>
    <row r="1681" spans="1:20" ht="78" customHeight="1" x14ac:dyDescent="0.2">
      <c r="A1681" s="21">
        <v>1708</v>
      </c>
      <c r="B1681" s="12" t="s">
        <v>9293</v>
      </c>
      <c r="C1681" s="289"/>
      <c r="D1681" s="9" t="s">
        <v>9294</v>
      </c>
      <c r="E1681" s="22" t="s">
        <v>8615</v>
      </c>
      <c r="F1681" s="9" t="s">
        <v>9295</v>
      </c>
      <c r="G1681" s="285" t="s">
        <v>7983</v>
      </c>
      <c r="H1681" s="285" t="s">
        <v>5127</v>
      </c>
      <c r="I1681" s="18"/>
      <c r="J1681" s="285" t="s">
        <v>3136</v>
      </c>
      <c r="K1681" s="14">
        <v>43826</v>
      </c>
      <c r="L1681" s="285">
        <v>1078</v>
      </c>
      <c r="M1681" s="15">
        <v>43818</v>
      </c>
      <c r="N1681" s="62">
        <v>1</v>
      </c>
      <c r="O1681" s="40">
        <v>23361</v>
      </c>
      <c r="P1681" s="40">
        <v>23361</v>
      </c>
      <c r="Q1681" s="17">
        <f t="shared" si="38"/>
        <v>0</v>
      </c>
      <c r="R1681" s="285" t="s">
        <v>7155</v>
      </c>
      <c r="S1681" s="14">
        <v>43815</v>
      </c>
      <c r="T1681" s="14" t="s">
        <v>9296</v>
      </c>
    </row>
    <row r="1682" spans="1:20" ht="128.25" customHeight="1" x14ac:dyDescent="0.2">
      <c r="A1682" s="21">
        <v>1709</v>
      </c>
      <c r="B1682" s="12" t="s">
        <v>10674</v>
      </c>
      <c r="C1682" s="289"/>
      <c r="D1682" s="9" t="s">
        <v>9297</v>
      </c>
      <c r="E1682" s="22" t="s">
        <v>8615</v>
      </c>
      <c r="F1682" s="9" t="s">
        <v>10316</v>
      </c>
      <c r="G1682" s="285"/>
      <c r="H1682" s="285" t="s">
        <v>2042</v>
      </c>
      <c r="I1682" s="289" t="s">
        <v>2207</v>
      </c>
      <c r="J1682" s="285" t="s">
        <v>3136</v>
      </c>
      <c r="K1682" s="14" t="s">
        <v>11750</v>
      </c>
      <c r="L1682" s="285" t="s">
        <v>11751</v>
      </c>
      <c r="M1682" s="15">
        <v>43820</v>
      </c>
      <c r="N1682" s="62">
        <v>20</v>
      </c>
      <c r="O1682" s="40">
        <f>398850.2-7040-7040-160-7040-7040</f>
        <v>370530.2</v>
      </c>
      <c r="P1682" s="40">
        <v>0</v>
      </c>
      <c r="Q1682" s="40">
        <f t="shared" si="38"/>
        <v>370530.2</v>
      </c>
      <c r="R1682" s="285" t="s">
        <v>3012</v>
      </c>
      <c r="S1682" s="14">
        <v>43801</v>
      </c>
      <c r="T1682" s="14" t="s">
        <v>9298</v>
      </c>
    </row>
    <row r="1683" spans="1:20" ht="82.5" customHeight="1" x14ac:dyDescent="0.2">
      <c r="A1683" s="21">
        <v>1710</v>
      </c>
      <c r="B1683" s="12" t="s">
        <v>9303</v>
      </c>
      <c r="C1683" s="289"/>
      <c r="D1683" s="9" t="s">
        <v>10319</v>
      </c>
      <c r="E1683" s="22" t="s">
        <v>8615</v>
      </c>
      <c r="F1683" s="9" t="s">
        <v>9306</v>
      </c>
      <c r="G1683" s="285"/>
      <c r="H1683" s="285" t="s">
        <v>2042</v>
      </c>
      <c r="I1683" s="289" t="s">
        <v>2207</v>
      </c>
      <c r="J1683" s="285" t="s">
        <v>3136</v>
      </c>
      <c r="K1683" s="14" t="s">
        <v>10953</v>
      </c>
      <c r="L1683" s="285" t="s">
        <v>10954</v>
      </c>
      <c r="M1683" s="15">
        <v>43769</v>
      </c>
      <c r="N1683" s="62">
        <v>1</v>
      </c>
      <c r="O1683" s="62">
        <v>105872.86</v>
      </c>
      <c r="P1683" s="62">
        <v>0</v>
      </c>
      <c r="Q1683" s="17">
        <f t="shared" si="38"/>
        <v>105872.86</v>
      </c>
      <c r="R1683" s="285" t="s">
        <v>9304</v>
      </c>
      <c r="S1683" s="14">
        <v>43626</v>
      </c>
      <c r="T1683" s="14" t="s">
        <v>9305</v>
      </c>
    </row>
    <row r="1684" spans="1:20" ht="97.5" customHeight="1" x14ac:dyDescent="0.2">
      <c r="A1684" s="21">
        <v>1711</v>
      </c>
      <c r="B1684" s="12" t="s">
        <v>9308</v>
      </c>
      <c r="C1684" s="289"/>
      <c r="D1684" s="9" t="s">
        <v>9314</v>
      </c>
      <c r="E1684" s="22"/>
      <c r="F1684" s="9" t="s">
        <v>9315</v>
      </c>
      <c r="G1684" s="285" t="s">
        <v>7983</v>
      </c>
      <c r="H1684" s="285" t="s">
        <v>5127</v>
      </c>
      <c r="I1684" s="18"/>
      <c r="J1684" s="285" t="s">
        <v>3136</v>
      </c>
      <c r="K1684" s="14">
        <v>43830</v>
      </c>
      <c r="L1684" s="285">
        <v>1101</v>
      </c>
      <c r="M1684" s="15">
        <v>43826</v>
      </c>
      <c r="N1684" s="62">
        <v>1</v>
      </c>
      <c r="O1684" s="62">
        <v>25300</v>
      </c>
      <c r="P1684" s="62">
        <v>25300</v>
      </c>
      <c r="Q1684" s="34">
        <f t="shared" si="38"/>
        <v>0</v>
      </c>
      <c r="R1684" s="285" t="s">
        <v>7155</v>
      </c>
      <c r="S1684" s="14">
        <v>43826</v>
      </c>
      <c r="T1684" s="14" t="s">
        <v>9316</v>
      </c>
    </row>
    <row r="1685" spans="1:20" ht="87" customHeight="1" x14ac:dyDescent="0.2">
      <c r="A1685" s="21">
        <v>1712</v>
      </c>
      <c r="B1685" s="12" t="s">
        <v>9309</v>
      </c>
      <c r="C1685" s="289"/>
      <c r="D1685" s="9" t="s">
        <v>9317</v>
      </c>
      <c r="E1685" s="22"/>
      <c r="F1685" s="9" t="s">
        <v>9318</v>
      </c>
      <c r="G1685" s="285" t="s">
        <v>7983</v>
      </c>
      <c r="H1685" s="285" t="s">
        <v>5127</v>
      </c>
      <c r="I1685" s="18"/>
      <c r="J1685" s="285" t="s">
        <v>3136</v>
      </c>
      <c r="K1685" s="14">
        <v>43830</v>
      </c>
      <c r="L1685" s="285">
        <v>1101</v>
      </c>
      <c r="M1685" s="15">
        <v>43826</v>
      </c>
      <c r="N1685" s="62">
        <v>1</v>
      </c>
      <c r="O1685" s="62">
        <v>18400</v>
      </c>
      <c r="P1685" s="62">
        <v>18400</v>
      </c>
      <c r="Q1685" s="34">
        <f t="shared" si="38"/>
        <v>0</v>
      </c>
      <c r="R1685" s="285" t="s">
        <v>7155</v>
      </c>
      <c r="S1685" s="14">
        <v>43826</v>
      </c>
      <c r="T1685" s="14" t="s">
        <v>9316</v>
      </c>
    </row>
    <row r="1686" spans="1:20" ht="78" customHeight="1" x14ac:dyDescent="0.2">
      <c r="A1686" s="21">
        <v>1713</v>
      </c>
      <c r="B1686" s="12" t="s">
        <v>9310</v>
      </c>
      <c r="C1686" s="289"/>
      <c r="D1686" s="9" t="s">
        <v>9322</v>
      </c>
      <c r="E1686" s="22"/>
      <c r="F1686" s="9" t="s">
        <v>9323</v>
      </c>
      <c r="G1686" s="285" t="s">
        <v>7983</v>
      </c>
      <c r="H1686" s="285" t="s">
        <v>5127</v>
      </c>
      <c r="I1686" s="18"/>
      <c r="J1686" s="285" t="s">
        <v>3136</v>
      </c>
      <c r="K1686" s="14">
        <v>43830</v>
      </c>
      <c r="L1686" s="285">
        <v>1101</v>
      </c>
      <c r="M1686" s="15">
        <v>43826</v>
      </c>
      <c r="N1686" s="62">
        <v>1</v>
      </c>
      <c r="O1686" s="62">
        <v>15966</v>
      </c>
      <c r="P1686" s="62">
        <v>15966</v>
      </c>
      <c r="Q1686" s="17">
        <f t="shared" ref="Q1686:Q1746" si="39">O1686-P1686</f>
        <v>0</v>
      </c>
      <c r="R1686" s="285" t="s">
        <v>7155</v>
      </c>
      <c r="S1686" s="14">
        <v>43826</v>
      </c>
      <c r="T1686" s="14" t="s">
        <v>9316</v>
      </c>
    </row>
    <row r="1687" spans="1:20" ht="75.75" customHeight="1" x14ac:dyDescent="0.2">
      <c r="A1687" s="21">
        <v>1714</v>
      </c>
      <c r="B1687" s="12" t="s">
        <v>9311</v>
      </c>
      <c r="C1687" s="289"/>
      <c r="D1687" s="9" t="s">
        <v>2879</v>
      </c>
      <c r="E1687" s="22"/>
      <c r="F1687" s="9" t="s">
        <v>9324</v>
      </c>
      <c r="G1687" s="285" t="s">
        <v>7983</v>
      </c>
      <c r="H1687" s="285" t="s">
        <v>5127</v>
      </c>
      <c r="I1687" s="18"/>
      <c r="J1687" s="285" t="s">
        <v>3136</v>
      </c>
      <c r="K1687" s="14">
        <v>43830</v>
      </c>
      <c r="L1687" s="285">
        <v>1101</v>
      </c>
      <c r="M1687" s="15">
        <v>43826</v>
      </c>
      <c r="N1687" s="62">
        <v>1</v>
      </c>
      <c r="O1687" s="62">
        <v>36385</v>
      </c>
      <c r="P1687" s="62">
        <v>36385</v>
      </c>
      <c r="Q1687" s="17">
        <f t="shared" si="39"/>
        <v>0</v>
      </c>
      <c r="R1687" s="285" t="s">
        <v>7155</v>
      </c>
      <c r="S1687" s="14">
        <v>43801</v>
      </c>
      <c r="T1687" s="14" t="s">
        <v>9325</v>
      </c>
    </row>
    <row r="1688" spans="1:20" ht="69.75" customHeight="1" x14ac:dyDescent="0.2">
      <c r="A1688" s="21">
        <v>1715</v>
      </c>
      <c r="B1688" s="12" t="s">
        <v>9312</v>
      </c>
      <c r="C1688" s="289"/>
      <c r="D1688" s="9" t="s">
        <v>2879</v>
      </c>
      <c r="E1688" s="22"/>
      <c r="F1688" s="9" t="s">
        <v>11428</v>
      </c>
      <c r="G1688" s="285" t="s">
        <v>7983</v>
      </c>
      <c r="H1688" s="285" t="s">
        <v>5127</v>
      </c>
      <c r="I1688" s="18"/>
      <c r="J1688" s="285" t="s">
        <v>3136</v>
      </c>
      <c r="K1688" s="14">
        <v>43830</v>
      </c>
      <c r="L1688" s="285">
        <v>1101</v>
      </c>
      <c r="M1688" s="15">
        <v>43826</v>
      </c>
      <c r="N1688" s="62">
        <v>1</v>
      </c>
      <c r="O1688" s="62">
        <v>36385</v>
      </c>
      <c r="P1688" s="62">
        <v>36385</v>
      </c>
      <c r="Q1688" s="17">
        <f t="shared" si="39"/>
        <v>0</v>
      </c>
      <c r="R1688" s="285" t="s">
        <v>7155</v>
      </c>
      <c r="S1688" s="14">
        <v>43801</v>
      </c>
      <c r="T1688" s="14" t="s">
        <v>9325</v>
      </c>
    </row>
    <row r="1689" spans="1:20" ht="69.75" customHeight="1" x14ac:dyDescent="0.2">
      <c r="A1689" s="21">
        <v>1716</v>
      </c>
      <c r="B1689" s="12" t="s">
        <v>9313</v>
      </c>
      <c r="C1689" s="289"/>
      <c r="D1689" s="9" t="s">
        <v>2879</v>
      </c>
      <c r="E1689" s="22"/>
      <c r="F1689" s="9" t="s">
        <v>11429</v>
      </c>
      <c r="G1689" s="285" t="s">
        <v>7983</v>
      </c>
      <c r="H1689" s="285" t="s">
        <v>5127</v>
      </c>
      <c r="I1689" s="18"/>
      <c r="J1689" s="285" t="s">
        <v>3136</v>
      </c>
      <c r="K1689" s="14">
        <v>43830</v>
      </c>
      <c r="L1689" s="285">
        <v>1101</v>
      </c>
      <c r="M1689" s="15">
        <v>43826</v>
      </c>
      <c r="N1689" s="62">
        <v>1</v>
      </c>
      <c r="O1689" s="62">
        <v>36385</v>
      </c>
      <c r="P1689" s="62">
        <v>36385</v>
      </c>
      <c r="Q1689" s="17">
        <f t="shared" si="39"/>
        <v>0</v>
      </c>
      <c r="R1689" s="285" t="s">
        <v>7155</v>
      </c>
      <c r="S1689" s="14">
        <v>43801</v>
      </c>
      <c r="T1689" s="14" t="s">
        <v>9325</v>
      </c>
    </row>
    <row r="1690" spans="1:20" ht="69.75" customHeight="1" x14ac:dyDescent="0.2">
      <c r="A1690" s="21">
        <v>1717</v>
      </c>
      <c r="B1690" s="12" t="s">
        <v>9352</v>
      </c>
      <c r="C1690" s="289"/>
      <c r="D1690" s="9" t="s">
        <v>9353</v>
      </c>
      <c r="E1690" s="22" t="s">
        <v>8615</v>
      </c>
      <c r="F1690" s="9" t="s">
        <v>9354</v>
      </c>
      <c r="G1690" s="285" t="s">
        <v>3090</v>
      </c>
      <c r="H1690" s="285" t="s">
        <v>5127</v>
      </c>
      <c r="I1690" s="289"/>
      <c r="J1690" s="285" t="s">
        <v>3136</v>
      </c>
      <c r="K1690" s="14">
        <v>43864</v>
      </c>
      <c r="L1690" s="285">
        <v>104</v>
      </c>
      <c r="M1690" s="15">
        <v>43839</v>
      </c>
      <c r="N1690" s="62">
        <v>1</v>
      </c>
      <c r="O1690" s="62">
        <v>20999</v>
      </c>
      <c r="P1690" s="62">
        <v>20999</v>
      </c>
      <c r="Q1690" s="17">
        <f t="shared" si="39"/>
        <v>0</v>
      </c>
      <c r="R1690" s="285" t="s">
        <v>3418</v>
      </c>
      <c r="S1690" s="14">
        <v>43823</v>
      </c>
      <c r="T1690" s="14" t="s">
        <v>9355</v>
      </c>
    </row>
    <row r="1691" spans="1:20" ht="69.75" customHeight="1" x14ac:dyDescent="0.2">
      <c r="A1691" s="21">
        <v>1718</v>
      </c>
      <c r="B1691" s="12" t="s">
        <v>9356</v>
      </c>
      <c r="C1691" s="289"/>
      <c r="D1691" s="9" t="s">
        <v>9374</v>
      </c>
      <c r="E1691" s="22" t="s">
        <v>8615</v>
      </c>
      <c r="F1691" s="9" t="s">
        <v>9375</v>
      </c>
      <c r="G1691" s="285" t="s">
        <v>4296</v>
      </c>
      <c r="H1691" s="285" t="s">
        <v>3793</v>
      </c>
      <c r="I1691" s="18"/>
      <c r="J1691" s="285" t="s">
        <v>3136</v>
      </c>
      <c r="K1691" s="14">
        <v>43867</v>
      </c>
      <c r="L1691" s="285">
        <v>109</v>
      </c>
      <c r="M1691" s="15">
        <v>43852</v>
      </c>
      <c r="N1691" s="62">
        <v>1</v>
      </c>
      <c r="O1691" s="62">
        <v>181600</v>
      </c>
      <c r="P1691" s="179">
        <v>181600</v>
      </c>
      <c r="Q1691" s="17">
        <f t="shared" si="39"/>
        <v>0</v>
      </c>
      <c r="R1691" s="285" t="s">
        <v>5110</v>
      </c>
      <c r="S1691" s="14">
        <v>43563</v>
      </c>
      <c r="T1691" s="230">
        <v>3190648643</v>
      </c>
    </row>
    <row r="1692" spans="1:20" ht="74.25" customHeight="1" x14ac:dyDescent="0.2">
      <c r="A1692" s="21">
        <v>1719</v>
      </c>
      <c r="B1692" s="12" t="s">
        <v>9377</v>
      </c>
      <c r="C1692" s="289"/>
      <c r="D1692" s="9" t="s">
        <v>9379</v>
      </c>
      <c r="E1692" s="22" t="s">
        <v>9378</v>
      </c>
      <c r="F1692" s="9" t="s">
        <v>9396</v>
      </c>
      <c r="G1692" s="285" t="s">
        <v>7980</v>
      </c>
      <c r="H1692" s="285" t="s">
        <v>5127</v>
      </c>
      <c r="I1692" s="289"/>
      <c r="J1692" s="285" t="s">
        <v>3136</v>
      </c>
      <c r="K1692" s="14">
        <v>43886</v>
      </c>
      <c r="L1692" s="285">
        <v>139</v>
      </c>
      <c r="M1692" s="15">
        <v>43851</v>
      </c>
      <c r="N1692" s="62">
        <v>1</v>
      </c>
      <c r="O1692" s="62">
        <v>23700</v>
      </c>
      <c r="P1692" s="62">
        <v>23700</v>
      </c>
      <c r="Q1692" s="17">
        <f t="shared" si="39"/>
        <v>0</v>
      </c>
      <c r="R1692" s="285" t="s">
        <v>5345</v>
      </c>
      <c r="S1692" s="14">
        <v>43851</v>
      </c>
      <c r="T1692" s="230">
        <v>31</v>
      </c>
    </row>
    <row r="1693" spans="1:20" ht="74.25" customHeight="1" x14ac:dyDescent="0.2">
      <c r="A1693" s="21">
        <v>1720</v>
      </c>
      <c r="B1693" s="12" t="s">
        <v>9380</v>
      </c>
      <c r="C1693" s="289"/>
      <c r="D1693" s="9" t="s">
        <v>9381</v>
      </c>
      <c r="E1693" s="22" t="s">
        <v>9378</v>
      </c>
      <c r="F1693" s="9" t="s">
        <v>6737</v>
      </c>
      <c r="G1693" s="285" t="s">
        <v>8293</v>
      </c>
      <c r="H1693" s="285" t="s">
        <v>5127</v>
      </c>
      <c r="I1693" s="289"/>
      <c r="J1693" s="285" t="s">
        <v>3136</v>
      </c>
      <c r="K1693" s="14">
        <v>43886</v>
      </c>
      <c r="L1693" s="285">
        <v>140</v>
      </c>
      <c r="M1693" s="15">
        <v>43861</v>
      </c>
      <c r="N1693" s="62">
        <v>1</v>
      </c>
      <c r="O1693" s="62">
        <v>18247</v>
      </c>
      <c r="P1693" s="62">
        <v>18247</v>
      </c>
      <c r="Q1693" s="17">
        <f t="shared" si="39"/>
        <v>0</v>
      </c>
      <c r="R1693" s="285" t="s">
        <v>9382</v>
      </c>
      <c r="S1693" s="14">
        <v>43854</v>
      </c>
      <c r="T1693" s="230" t="s">
        <v>9383</v>
      </c>
    </row>
    <row r="1694" spans="1:20" ht="74.25" customHeight="1" x14ac:dyDescent="0.2">
      <c r="A1694" s="21">
        <v>1721</v>
      </c>
      <c r="B1694" s="12" t="s">
        <v>9385</v>
      </c>
      <c r="C1694" s="289"/>
      <c r="D1694" s="9" t="s">
        <v>9387</v>
      </c>
      <c r="E1694" s="22" t="s">
        <v>9378</v>
      </c>
      <c r="F1694" s="9" t="s">
        <v>9393</v>
      </c>
      <c r="G1694" s="285" t="s">
        <v>7982</v>
      </c>
      <c r="H1694" s="285" t="s">
        <v>5127</v>
      </c>
      <c r="I1694" s="289"/>
      <c r="J1694" s="285" t="s">
        <v>3136</v>
      </c>
      <c r="K1694" s="14">
        <v>43886</v>
      </c>
      <c r="L1694" s="285">
        <v>144</v>
      </c>
      <c r="M1694" s="15">
        <v>43875</v>
      </c>
      <c r="N1694" s="62">
        <v>1</v>
      </c>
      <c r="O1694" s="40">
        <v>20499</v>
      </c>
      <c r="P1694" s="40">
        <v>20499</v>
      </c>
      <c r="Q1694" s="17">
        <f t="shared" si="39"/>
        <v>0</v>
      </c>
      <c r="R1694" s="285" t="s">
        <v>3418</v>
      </c>
      <c r="S1694" s="14">
        <v>43870</v>
      </c>
      <c r="T1694" s="230" t="s">
        <v>9388</v>
      </c>
    </row>
    <row r="1695" spans="1:20" ht="74.25" customHeight="1" x14ac:dyDescent="0.2">
      <c r="A1695" s="21">
        <v>1722</v>
      </c>
      <c r="B1695" s="12" t="s">
        <v>9386</v>
      </c>
      <c r="C1695" s="289"/>
      <c r="D1695" s="9" t="s">
        <v>9389</v>
      </c>
      <c r="E1695" s="22" t="s">
        <v>9378</v>
      </c>
      <c r="F1695" s="9" t="s">
        <v>9394</v>
      </c>
      <c r="G1695" s="285" t="s">
        <v>7982</v>
      </c>
      <c r="H1695" s="285" t="s">
        <v>5127</v>
      </c>
      <c r="I1695" s="289"/>
      <c r="J1695" s="285" t="s">
        <v>3136</v>
      </c>
      <c r="K1695" s="14">
        <v>43886</v>
      </c>
      <c r="L1695" s="285">
        <v>144</v>
      </c>
      <c r="M1695" s="15">
        <v>43875</v>
      </c>
      <c r="N1695" s="40">
        <v>1</v>
      </c>
      <c r="O1695" s="62">
        <v>19999</v>
      </c>
      <c r="P1695" s="62">
        <v>19999</v>
      </c>
      <c r="Q1695" s="17">
        <f t="shared" si="39"/>
        <v>0</v>
      </c>
      <c r="R1695" s="285" t="s">
        <v>3418</v>
      </c>
      <c r="S1695" s="14">
        <v>43870</v>
      </c>
      <c r="T1695" s="230" t="s">
        <v>9388</v>
      </c>
    </row>
    <row r="1696" spans="1:20" ht="74.25" customHeight="1" x14ac:dyDescent="0.2">
      <c r="A1696" s="21">
        <v>1723</v>
      </c>
      <c r="B1696" s="12" t="s">
        <v>9390</v>
      </c>
      <c r="C1696" s="289"/>
      <c r="D1696" s="9" t="s">
        <v>9391</v>
      </c>
      <c r="E1696" s="22" t="s">
        <v>9378</v>
      </c>
      <c r="F1696" s="9" t="s">
        <v>9395</v>
      </c>
      <c r="G1696" s="285" t="s">
        <v>792</v>
      </c>
      <c r="H1696" s="285" t="s">
        <v>5127</v>
      </c>
      <c r="I1696" s="289"/>
      <c r="J1696" s="285" t="s">
        <v>3136</v>
      </c>
      <c r="K1696" s="14">
        <v>43888</v>
      </c>
      <c r="L1696" s="285">
        <v>148</v>
      </c>
      <c r="M1696" s="15">
        <v>43875</v>
      </c>
      <c r="N1696" s="40">
        <v>1</v>
      </c>
      <c r="O1696" s="62">
        <v>21799</v>
      </c>
      <c r="P1696" s="62">
        <v>21799</v>
      </c>
      <c r="Q1696" s="17">
        <f t="shared" si="39"/>
        <v>0</v>
      </c>
      <c r="R1696" s="285" t="s">
        <v>3418</v>
      </c>
      <c r="S1696" s="14">
        <v>43864</v>
      </c>
      <c r="T1696" s="230" t="s">
        <v>9392</v>
      </c>
    </row>
    <row r="1697" spans="1:20" ht="74.25" customHeight="1" x14ac:dyDescent="0.2">
      <c r="A1697" s="21">
        <v>1724</v>
      </c>
      <c r="B1697" s="12" t="s">
        <v>9441</v>
      </c>
      <c r="C1697" s="289"/>
      <c r="D1697" s="9" t="s">
        <v>9400</v>
      </c>
      <c r="E1697" s="22" t="s">
        <v>9378</v>
      </c>
      <c r="F1697" s="9" t="s">
        <v>3338</v>
      </c>
      <c r="G1697" s="285" t="s">
        <v>7981</v>
      </c>
      <c r="H1697" s="285" t="s">
        <v>5127</v>
      </c>
      <c r="I1697" s="18"/>
      <c r="J1697" s="285" t="s">
        <v>3136</v>
      </c>
      <c r="K1697" s="14">
        <v>43901</v>
      </c>
      <c r="L1697" s="285">
        <v>177</v>
      </c>
      <c r="M1697" s="15">
        <v>43888</v>
      </c>
      <c r="N1697" s="40">
        <v>1</v>
      </c>
      <c r="O1697" s="62">
        <v>512</v>
      </c>
      <c r="P1697" s="62">
        <v>512</v>
      </c>
      <c r="Q1697" s="17">
        <f t="shared" si="39"/>
        <v>0</v>
      </c>
      <c r="R1697" s="285" t="s">
        <v>5364</v>
      </c>
      <c r="S1697" s="14">
        <v>43824</v>
      </c>
      <c r="T1697" s="230">
        <v>1846</v>
      </c>
    </row>
    <row r="1698" spans="1:20" ht="74.25" customHeight="1" x14ac:dyDescent="0.2">
      <c r="A1698" s="21">
        <v>1725</v>
      </c>
      <c r="B1698" s="12" t="s">
        <v>9442</v>
      </c>
      <c r="C1698" s="289"/>
      <c r="D1698" s="9" t="s">
        <v>9397</v>
      </c>
      <c r="E1698" s="22" t="s">
        <v>9378</v>
      </c>
      <c r="F1698" s="9" t="s">
        <v>3338</v>
      </c>
      <c r="G1698" s="285" t="s">
        <v>7981</v>
      </c>
      <c r="H1698" s="285" t="s">
        <v>5127</v>
      </c>
      <c r="I1698" s="18"/>
      <c r="J1698" s="285" t="s">
        <v>3136</v>
      </c>
      <c r="K1698" s="14">
        <v>43901</v>
      </c>
      <c r="L1698" s="285">
        <v>177</v>
      </c>
      <c r="M1698" s="15">
        <v>43888</v>
      </c>
      <c r="N1698" s="40">
        <v>1</v>
      </c>
      <c r="O1698" s="62">
        <v>1127.23</v>
      </c>
      <c r="P1698" s="62">
        <v>1127.23</v>
      </c>
      <c r="Q1698" s="17">
        <f t="shared" si="39"/>
        <v>0</v>
      </c>
      <c r="R1698" s="285" t="s">
        <v>5364</v>
      </c>
      <c r="S1698" s="14">
        <v>43824</v>
      </c>
      <c r="T1698" s="230">
        <v>1846</v>
      </c>
    </row>
    <row r="1699" spans="1:20" ht="80.25" customHeight="1" x14ac:dyDescent="0.2">
      <c r="A1699" s="21">
        <v>1726</v>
      </c>
      <c r="B1699" s="12" t="s">
        <v>9443</v>
      </c>
      <c r="C1699" s="289"/>
      <c r="D1699" s="9" t="s">
        <v>9402</v>
      </c>
      <c r="E1699" s="22" t="s">
        <v>9378</v>
      </c>
      <c r="F1699" s="9" t="s">
        <v>3338</v>
      </c>
      <c r="G1699" s="285" t="s">
        <v>7981</v>
      </c>
      <c r="H1699" s="285" t="s">
        <v>5127</v>
      </c>
      <c r="I1699" s="18"/>
      <c r="J1699" s="285" t="s">
        <v>3136</v>
      </c>
      <c r="K1699" s="14">
        <v>43901</v>
      </c>
      <c r="L1699" s="285">
        <v>177</v>
      </c>
      <c r="M1699" s="15">
        <v>43888</v>
      </c>
      <c r="N1699" s="40">
        <v>1</v>
      </c>
      <c r="O1699" s="62">
        <v>1127.27</v>
      </c>
      <c r="P1699" s="62">
        <v>1127.27</v>
      </c>
      <c r="Q1699" s="17">
        <f t="shared" si="39"/>
        <v>0</v>
      </c>
      <c r="R1699" s="285" t="s">
        <v>5364</v>
      </c>
      <c r="S1699" s="14">
        <v>43824</v>
      </c>
      <c r="T1699" s="230">
        <v>1846</v>
      </c>
    </row>
    <row r="1700" spans="1:20" ht="80.25" customHeight="1" x14ac:dyDescent="0.2">
      <c r="A1700" s="21">
        <v>1727</v>
      </c>
      <c r="B1700" s="12" t="s">
        <v>9444</v>
      </c>
      <c r="C1700" s="289"/>
      <c r="D1700" s="9" t="s">
        <v>9398</v>
      </c>
      <c r="E1700" s="22" t="s">
        <v>9378</v>
      </c>
      <c r="F1700" s="9" t="s">
        <v>3338</v>
      </c>
      <c r="G1700" s="285" t="s">
        <v>7981</v>
      </c>
      <c r="H1700" s="285" t="s">
        <v>5127</v>
      </c>
      <c r="I1700" s="18"/>
      <c r="J1700" s="285" t="s">
        <v>3136</v>
      </c>
      <c r="K1700" s="14">
        <v>43901</v>
      </c>
      <c r="L1700" s="285">
        <v>177</v>
      </c>
      <c r="M1700" s="15">
        <v>43888</v>
      </c>
      <c r="N1700" s="40">
        <v>1</v>
      </c>
      <c r="O1700" s="62">
        <v>22745.77</v>
      </c>
      <c r="P1700" s="62">
        <v>22745.77</v>
      </c>
      <c r="Q1700" s="17">
        <f t="shared" si="39"/>
        <v>0</v>
      </c>
      <c r="R1700" s="285" t="s">
        <v>5364</v>
      </c>
      <c r="S1700" s="14">
        <v>43824</v>
      </c>
      <c r="T1700" s="230">
        <v>1846</v>
      </c>
    </row>
    <row r="1701" spans="1:20" ht="80.25" customHeight="1" x14ac:dyDescent="0.2">
      <c r="A1701" s="21">
        <v>1728</v>
      </c>
      <c r="B1701" s="12" t="s">
        <v>9445</v>
      </c>
      <c r="C1701" s="289"/>
      <c r="D1701" s="9" t="s">
        <v>9399</v>
      </c>
      <c r="E1701" s="22" t="s">
        <v>9378</v>
      </c>
      <c r="F1701" s="9" t="s">
        <v>3338</v>
      </c>
      <c r="G1701" s="285" t="s">
        <v>7981</v>
      </c>
      <c r="H1701" s="285" t="s">
        <v>5127</v>
      </c>
      <c r="I1701" s="18"/>
      <c r="J1701" s="285" t="s">
        <v>3136</v>
      </c>
      <c r="K1701" s="14">
        <v>43901</v>
      </c>
      <c r="L1701" s="285">
        <v>177</v>
      </c>
      <c r="M1701" s="15">
        <v>43888</v>
      </c>
      <c r="N1701" s="40">
        <v>1</v>
      </c>
      <c r="O1701" s="62">
        <v>338.67</v>
      </c>
      <c r="P1701" s="62">
        <v>338.67</v>
      </c>
      <c r="Q1701" s="17">
        <f t="shared" si="39"/>
        <v>0</v>
      </c>
      <c r="R1701" s="285" t="s">
        <v>5364</v>
      </c>
      <c r="S1701" s="14">
        <v>43824</v>
      </c>
      <c r="T1701" s="230">
        <v>1846</v>
      </c>
    </row>
    <row r="1702" spans="1:20" ht="80.25" customHeight="1" x14ac:dyDescent="0.2">
      <c r="A1702" s="21">
        <v>1729</v>
      </c>
      <c r="B1702" s="12" t="s">
        <v>9446</v>
      </c>
      <c r="C1702" s="289"/>
      <c r="D1702" s="9" t="s">
        <v>9449</v>
      </c>
      <c r="E1702" s="22" t="s">
        <v>9378</v>
      </c>
      <c r="F1702" s="9" t="s">
        <v>9448</v>
      </c>
      <c r="G1702" s="285" t="s">
        <v>515</v>
      </c>
      <c r="H1702" s="285" t="s">
        <v>5127</v>
      </c>
      <c r="I1702" s="289"/>
      <c r="J1702" s="285" t="s">
        <v>3136</v>
      </c>
      <c r="K1702" s="14">
        <v>43901</v>
      </c>
      <c r="L1702" s="285">
        <v>179</v>
      </c>
      <c r="M1702" s="15">
        <v>43882</v>
      </c>
      <c r="N1702" s="40">
        <v>1</v>
      </c>
      <c r="O1702" s="40">
        <v>17999</v>
      </c>
      <c r="P1702" s="40">
        <v>17999</v>
      </c>
      <c r="Q1702" s="17">
        <f t="shared" si="39"/>
        <v>0</v>
      </c>
      <c r="R1702" s="285" t="s">
        <v>3418</v>
      </c>
      <c r="S1702" s="14">
        <v>43866</v>
      </c>
      <c r="T1702" s="230" t="s">
        <v>9450</v>
      </c>
    </row>
    <row r="1703" spans="1:20" ht="80.25" customHeight="1" x14ac:dyDescent="0.2">
      <c r="A1703" s="21">
        <v>1730</v>
      </c>
      <c r="B1703" s="12" t="s">
        <v>9447</v>
      </c>
      <c r="C1703" s="289"/>
      <c r="D1703" s="9" t="s">
        <v>9451</v>
      </c>
      <c r="E1703" s="22" t="s">
        <v>9378</v>
      </c>
      <c r="F1703" s="9" t="s">
        <v>6301</v>
      </c>
      <c r="G1703" s="285" t="s">
        <v>515</v>
      </c>
      <c r="H1703" s="285" t="s">
        <v>5127</v>
      </c>
      <c r="I1703" s="289"/>
      <c r="J1703" s="285" t="s">
        <v>3136</v>
      </c>
      <c r="K1703" s="14">
        <v>43901</v>
      </c>
      <c r="L1703" s="285">
        <v>179</v>
      </c>
      <c r="M1703" s="15">
        <v>43882</v>
      </c>
      <c r="N1703" s="40">
        <v>1</v>
      </c>
      <c r="O1703" s="40">
        <v>19999</v>
      </c>
      <c r="P1703" s="40">
        <v>19999</v>
      </c>
      <c r="Q1703" s="17">
        <f t="shared" si="39"/>
        <v>0</v>
      </c>
      <c r="R1703" s="285" t="s">
        <v>3418</v>
      </c>
      <c r="S1703" s="14">
        <v>43866</v>
      </c>
      <c r="T1703" s="230" t="s">
        <v>9450</v>
      </c>
    </row>
    <row r="1704" spans="1:20" ht="78.75" customHeight="1" x14ac:dyDescent="0.2">
      <c r="A1704" s="21">
        <v>1731</v>
      </c>
      <c r="B1704" s="12" t="s">
        <v>9452</v>
      </c>
      <c r="C1704" s="289"/>
      <c r="D1704" s="9" t="s">
        <v>9453</v>
      </c>
      <c r="E1704" s="22" t="s">
        <v>9378</v>
      </c>
      <c r="F1704" s="9" t="s">
        <v>9464</v>
      </c>
      <c r="G1704" s="285" t="s">
        <v>4296</v>
      </c>
      <c r="H1704" s="285" t="s">
        <v>3793</v>
      </c>
      <c r="I1704" s="18"/>
      <c r="J1704" s="285" t="s">
        <v>3136</v>
      </c>
      <c r="K1704" s="14">
        <v>43907</v>
      </c>
      <c r="L1704" s="285">
        <v>217</v>
      </c>
      <c r="M1704" s="15">
        <v>43858</v>
      </c>
      <c r="N1704" s="40">
        <v>1</v>
      </c>
      <c r="O1704" s="40">
        <v>116795.42</v>
      </c>
      <c r="P1704" s="178">
        <v>110306.88</v>
      </c>
      <c r="Q1704" s="17">
        <f t="shared" si="39"/>
        <v>6488.5399999999936</v>
      </c>
      <c r="R1704" s="285" t="s">
        <v>5110</v>
      </c>
      <c r="S1704" s="14">
        <v>43789</v>
      </c>
      <c r="T1704" s="230">
        <v>131947</v>
      </c>
    </row>
    <row r="1705" spans="1:20" ht="78.75" customHeight="1" x14ac:dyDescent="0.2">
      <c r="A1705" s="21">
        <v>1732</v>
      </c>
      <c r="B1705" s="12" t="s">
        <v>9454</v>
      </c>
      <c r="C1705" s="289"/>
      <c r="D1705" s="9" t="s">
        <v>9455</v>
      </c>
      <c r="E1705" s="22" t="s">
        <v>9378</v>
      </c>
      <c r="F1705" s="9" t="s">
        <v>9456</v>
      </c>
      <c r="G1705" s="285" t="s">
        <v>7464</v>
      </c>
      <c r="H1705" s="285" t="s">
        <v>5127</v>
      </c>
      <c r="I1705" s="289"/>
      <c r="J1705" s="285" t="s">
        <v>3136</v>
      </c>
      <c r="K1705" s="14">
        <v>43907</v>
      </c>
      <c r="L1705" s="285">
        <v>219</v>
      </c>
      <c r="M1705" s="15">
        <v>43886</v>
      </c>
      <c r="N1705" s="40">
        <v>1</v>
      </c>
      <c r="O1705" s="40">
        <v>17378</v>
      </c>
      <c r="P1705" s="40">
        <v>17378</v>
      </c>
      <c r="Q1705" s="17">
        <f t="shared" si="39"/>
        <v>0</v>
      </c>
      <c r="R1705" s="285" t="s">
        <v>3418</v>
      </c>
      <c r="S1705" s="14">
        <v>43886</v>
      </c>
      <c r="T1705" s="230" t="s">
        <v>9457</v>
      </c>
    </row>
    <row r="1706" spans="1:20" ht="78.75" customHeight="1" x14ac:dyDescent="0.2">
      <c r="A1706" s="21">
        <v>1733</v>
      </c>
      <c r="B1706" s="12" t="s">
        <v>9465</v>
      </c>
      <c r="C1706" s="289"/>
      <c r="D1706" s="9" t="s">
        <v>9466</v>
      </c>
      <c r="E1706" s="22" t="s">
        <v>9378</v>
      </c>
      <c r="F1706" s="9" t="s">
        <v>9467</v>
      </c>
      <c r="G1706" s="285" t="s">
        <v>4296</v>
      </c>
      <c r="H1706" s="285" t="s">
        <v>3793</v>
      </c>
      <c r="I1706" s="18"/>
      <c r="J1706" s="285" t="s">
        <v>3136</v>
      </c>
      <c r="K1706" s="14">
        <v>43922</v>
      </c>
      <c r="L1706" s="285">
        <v>296</v>
      </c>
      <c r="M1706" s="15">
        <v>43913</v>
      </c>
      <c r="N1706" s="40">
        <v>1</v>
      </c>
      <c r="O1706" s="40">
        <v>105500</v>
      </c>
      <c r="P1706" s="178">
        <v>96708.479999999996</v>
      </c>
      <c r="Q1706" s="17">
        <f t="shared" si="39"/>
        <v>8791.5200000000041</v>
      </c>
      <c r="R1706" s="285" t="s">
        <v>5110</v>
      </c>
      <c r="S1706" s="14">
        <v>43886</v>
      </c>
      <c r="T1706" s="229">
        <v>43886</v>
      </c>
    </row>
    <row r="1707" spans="1:20" ht="78.75" customHeight="1" x14ac:dyDescent="0.2">
      <c r="A1707" s="21">
        <v>1734</v>
      </c>
      <c r="B1707" s="12" t="s">
        <v>9468</v>
      </c>
      <c r="C1707" s="289"/>
      <c r="D1707" s="9" t="s">
        <v>9469</v>
      </c>
      <c r="E1707" s="22" t="s">
        <v>9378</v>
      </c>
      <c r="F1707" s="9" t="s">
        <v>9470</v>
      </c>
      <c r="G1707" s="285" t="s">
        <v>4296</v>
      </c>
      <c r="H1707" s="285" t="s">
        <v>3793</v>
      </c>
      <c r="I1707" s="18"/>
      <c r="J1707" s="285" t="s">
        <v>3136</v>
      </c>
      <c r="K1707" s="14">
        <v>43922</v>
      </c>
      <c r="L1707" s="285">
        <v>296</v>
      </c>
      <c r="M1707" s="15">
        <v>43913</v>
      </c>
      <c r="N1707" s="40">
        <v>1</v>
      </c>
      <c r="O1707" s="40">
        <v>44083</v>
      </c>
      <c r="P1707" s="178">
        <v>40409.49</v>
      </c>
      <c r="Q1707" s="17">
        <f t="shared" si="39"/>
        <v>3673.510000000002</v>
      </c>
      <c r="R1707" s="285" t="s">
        <v>5110</v>
      </c>
      <c r="S1707" s="14">
        <v>43861</v>
      </c>
      <c r="T1707" s="229" t="s">
        <v>9471</v>
      </c>
    </row>
    <row r="1708" spans="1:20" ht="75" customHeight="1" x14ac:dyDescent="0.2">
      <c r="A1708" s="21">
        <v>1735</v>
      </c>
      <c r="B1708" s="12" t="s">
        <v>9529</v>
      </c>
      <c r="C1708" s="289"/>
      <c r="D1708" s="9" t="s">
        <v>9504</v>
      </c>
      <c r="E1708" s="22" t="s">
        <v>9378</v>
      </c>
      <c r="F1708" s="9"/>
      <c r="G1708" s="285" t="s">
        <v>7981</v>
      </c>
      <c r="H1708" s="285" t="s">
        <v>5127</v>
      </c>
      <c r="I1708" s="289"/>
      <c r="J1708" s="285" t="s">
        <v>3136</v>
      </c>
      <c r="K1708" s="14">
        <v>43964</v>
      </c>
      <c r="L1708" s="285">
        <v>396</v>
      </c>
      <c r="M1708" s="15">
        <v>43937</v>
      </c>
      <c r="N1708" s="40">
        <v>5</v>
      </c>
      <c r="O1708" s="40">
        <v>58085</v>
      </c>
      <c r="P1708" s="40">
        <v>58085</v>
      </c>
      <c r="Q1708" s="17">
        <f t="shared" si="39"/>
        <v>0</v>
      </c>
      <c r="R1708" s="285" t="s">
        <v>5364</v>
      </c>
      <c r="S1708" s="14">
        <v>43817</v>
      </c>
      <c r="T1708" s="229">
        <v>1778</v>
      </c>
    </row>
    <row r="1709" spans="1:20" ht="75" customHeight="1" x14ac:dyDescent="0.2">
      <c r="A1709" s="21">
        <v>1736</v>
      </c>
      <c r="B1709" s="12" t="s">
        <v>9505</v>
      </c>
      <c r="C1709" s="289"/>
      <c r="D1709" s="9" t="s">
        <v>9506</v>
      </c>
      <c r="E1709" s="22" t="s">
        <v>9378</v>
      </c>
      <c r="F1709" s="9" t="s">
        <v>9507</v>
      </c>
      <c r="G1709" s="285" t="s">
        <v>7980</v>
      </c>
      <c r="H1709" s="285" t="s">
        <v>5127</v>
      </c>
      <c r="I1709" s="289"/>
      <c r="J1709" s="285" t="s">
        <v>3136</v>
      </c>
      <c r="K1709" s="14">
        <v>43937</v>
      </c>
      <c r="L1709" s="285">
        <v>322</v>
      </c>
      <c r="M1709" s="15">
        <v>43934</v>
      </c>
      <c r="N1709" s="40">
        <v>1</v>
      </c>
      <c r="O1709" s="40">
        <v>14999</v>
      </c>
      <c r="P1709" s="40">
        <v>14999</v>
      </c>
      <c r="Q1709" s="17">
        <f t="shared" si="39"/>
        <v>0</v>
      </c>
      <c r="R1709" s="285" t="s">
        <v>3418</v>
      </c>
      <c r="S1709" s="14">
        <v>43908</v>
      </c>
      <c r="T1709" s="229" t="s">
        <v>9508</v>
      </c>
    </row>
    <row r="1710" spans="1:20" ht="75" customHeight="1" x14ac:dyDescent="0.2">
      <c r="A1710" s="21">
        <v>1737</v>
      </c>
      <c r="B1710" s="12" t="s">
        <v>9509</v>
      </c>
      <c r="C1710" s="289" t="s">
        <v>6147</v>
      </c>
      <c r="D1710" s="9" t="s">
        <v>9510</v>
      </c>
      <c r="E1710" s="22" t="s">
        <v>9378</v>
      </c>
      <c r="F1710" s="9" t="s">
        <v>9511</v>
      </c>
      <c r="G1710" s="285" t="s">
        <v>2074</v>
      </c>
      <c r="H1710" s="285" t="s">
        <v>5127</v>
      </c>
      <c r="I1710" s="289"/>
      <c r="J1710" s="285" t="s">
        <v>3136</v>
      </c>
      <c r="K1710" s="14">
        <v>43964</v>
      </c>
      <c r="L1710" s="285">
        <v>397</v>
      </c>
      <c r="M1710" s="15">
        <v>43864</v>
      </c>
      <c r="N1710" s="40">
        <v>1</v>
      </c>
      <c r="O1710" s="40">
        <v>43944</v>
      </c>
      <c r="P1710" s="40">
        <v>43944</v>
      </c>
      <c r="Q1710" s="17">
        <f t="shared" si="39"/>
        <v>0</v>
      </c>
      <c r="R1710" s="285" t="s">
        <v>4689</v>
      </c>
      <c r="S1710" s="14">
        <v>43824</v>
      </c>
      <c r="T1710" s="229" t="s">
        <v>9512</v>
      </c>
    </row>
    <row r="1711" spans="1:20" ht="75" customHeight="1" x14ac:dyDescent="0.2">
      <c r="A1711" s="21">
        <v>1738</v>
      </c>
      <c r="B1711" s="12" t="s">
        <v>9513</v>
      </c>
      <c r="C1711" s="289"/>
      <c r="D1711" s="9" t="s">
        <v>9520</v>
      </c>
      <c r="E1711" s="22" t="s">
        <v>9378</v>
      </c>
      <c r="F1711" s="9" t="s">
        <v>9521</v>
      </c>
      <c r="G1711" s="285" t="s">
        <v>4296</v>
      </c>
      <c r="H1711" s="285" t="s">
        <v>3793</v>
      </c>
      <c r="I1711" s="18"/>
      <c r="J1711" s="285" t="s">
        <v>3136</v>
      </c>
      <c r="K1711" s="14">
        <v>43965</v>
      </c>
      <c r="L1711" s="285">
        <v>399</v>
      </c>
      <c r="M1711" s="15">
        <v>43949</v>
      </c>
      <c r="N1711" s="40">
        <v>1</v>
      </c>
      <c r="O1711" s="40">
        <v>49250</v>
      </c>
      <c r="P1711" s="178">
        <v>13133.44</v>
      </c>
      <c r="Q1711" s="17">
        <f t="shared" si="39"/>
        <v>36116.559999999998</v>
      </c>
      <c r="R1711" s="285" t="s">
        <v>5110</v>
      </c>
      <c r="S1711" s="14">
        <v>43895</v>
      </c>
      <c r="T1711" s="229" t="s">
        <v>9522</v>
      </c>
    </row>
    <row r="1712" spans="1:20" ht="75" customHeight="1" x14ac:dyDescent="0.2">
      <c r="A1712" s="21">
        <v>1739</v>
      </c>
      <c r="B1712" s="12" t="s">
        <v>9514</v>
      </c>
      <c r="C1712" s="289"/>
      <c r="D1712" s="9" t="s">
        <v>9523</v>
      </c>
      <c r="E1712" s="22" t="s">
        <v>9378</v>
      </c>
      <c r="F1712" s="9" t="s">
        <v>9524</v>
      </c>
      <c r="G1712" s="285" t="s">
        <v>4296</v>
      </c>
      <c r="H1712" s="285" t="s">
        <v>3793</v>
      </c>
      <c r="I1712" s="18"/>
      <c r="J1712" s="285" t="s">
        <v>3136</v>
      </c>
      <c r="K1712" s="14">
        <v>43965</v>
      </c>
      <c r="L1712" s="285">
        <v>399</v>
      </c>
      <c r="M1712" s="15">
        <v>43916</v>
      </c>
      <c r="N1712" s="40">
        <v>1</v>
      </c>
      <c r="O1712" s="40">
        <v>26100</v>
      </c>
      <c r="P1712" s="40">
        <v>26100</v>
      </c>
      <c r="Q1712" s="17">
        <f t="shared" si="39"/>
        <v>0</v>
      </c>
      <c r="R1712" s="285" t="s">
        <v>5110</v>
      </c>
      <c r="S1712" s="14">
        <v>43908</v>
      </c>
      <c r="T1712" s="275" t="s">
        <v>9525</v>
      </c>
    </row>
    <row r="1713" spans="1:20" ht="105" customHeight="1" x14ac:dyDescent="0.2">
      <c r="A1713" s="21">
        <v>1740</v>
      </c>
      <c r="B1713" s="12" t="s">
        <v>9515</v>
      </c>
      <c r="C1713" s="289"/>
      <c r="D1713" s="9" t="s">
        <v>9527</v>
      </c>
      <c r="E1713" s="22" t="s">
        <v>9378</v>
      </c>
      <c r="F1713" s="9" t="s">
        <v>9526</v>
      </c>
      <c r="G1713" s="285" t="s">
        <v>4296</v>
      </c>
      <c r="H1713" s="285" t="s">
        <v>3793</v>
      </c>
      <c r="I1713" s="18"/>
      <c r="J1713" s="285" t="s">
        <v>3136</v>
      </c>
      <c r="K1713" s="14">
        <v>43965</v>
      </c>
      <c r="L1713" s="285">
        <v>399</v>
      </c>
      <c r="M1713" s="15">
        <v>43949</v>
      </c>
      <c r="N1713" s="40">
        <v>1</v>
      </c>
      <c r="O1713" s="40">
        <v>43266.67</v>
      </c>
      <c r="P1713" s="178">
        <v>16482.560000000001</v>
      </c>
      <c r="Q1713" s="17">
        <f t="shared" si="39"/>
        <v>26784.109999999997</v>
      </c>
      <c r="R1713" s="285" t="s">
        <v>5110</v>
      </c>
      <c r="S1713" s="14">
        <v>43903</v>
      </c>
      <c r="T1713" s="229" t="s">
        <v>9528</v>
      </c>
    </row>
    <row r="1714" spans="1:20" ht="52.5" customHeight="1" x14ac:dyDescent="0.2">
      <c r="A1714" s="21">
        <v>1741</v>
      </c>
      <c r="B1714" s="12" t="s">
        <v>9530</v>
      </c>
      <c r="C1714" s="289"/>
      <c r="D1714" s="9" t="s">
        <v>9531</v>
      </c>
      <c r="E1714" s="22" t="s">
        <v>9378</v>
      </c>
      <c r="F1714" s="9"/>
      <c r="G1714" s="285"/>
      <c r="H1714" s="285" t="s">
        <v>2042</v>
      </c>
      <c r="I1714" s="289" t="s">
        <v>2207</v>
      </c>
      <c r="J1714" s="285" t="s">
        <v>3136</v>
      </c>
      <c r="K1714" s="14">
        <v>43976</v>
      </c>
      <c r="L1714" s="285">
        <v>435</v>
      </c>
      <c r="M1714" s="15">
        <v>43957</v>
      </c>
      <c r="N1714" s="40">
        <v>28</v>
      </c>
      <c r="O1714" s="40">
        <v>49000</v>
      </c>
      <c r="P1714" s="40">
        <v>0</v>
      </c>
      <c r="Q1714" s="17">
        <f t="shared" si="39"/>
        <v>49000</v>
      </c>
      <c r="R1714" s="285" t="s">
        <v>5110</v>
      </c>
      <c r="S1714" s="14">
        <v>43937</v>
      </c>
      <c r="T1714" s="229" t="s">
        <v>9555</v>
      </c>
    </row>
    <row r="1715" spans="1:20" ht="52.5" customHeight="1" x14ac:dyDescent="0.2">
      <c r="A1715" s="21">
        <v>1742</v>
      </c>
      <c r="B1715" s="12" t="s">
        <v>9516</v>
      </c>
      <c r="C1715" s="289"/>
      <c r="D1715" s="9" t="s">
        <v>9532</v>
      </c>
      <c r="E1715" s="22" t="s">
        <v>9378</v>
      </c>
      <c r="F1715" s="9" t="s">
        <v>9534</v>
      </c>
      <c r="G1715" s="285" t="s">
        <v>7982</v>
      </c>
      <c r="H1715" s="285" t="s">
        <v>5127</v>
      </c>
      <c r="I1715" s="289"/>
      <c r="J1715" s="285" t="s">
        <v>3136</v>
      </c>
      <c r="K1715" s="14">
        <v>43971</v>
      </c>
      <c r="L1715" s="285">
        <v>413</v>
      </c>
      <c r="M1715" s="15">
        <v>43892</v>
      </c>
      <c r="N1715" s="40">
        <v>1</v>
      </c>
      <c r="O1715" s="40">
        <v>19000</v>
      </c>
      <c r="P1715" s="40">
        <v>19000</v>
      </c>
      <c r="Q1715" s="17">
        <f t="shared" si="39"/>
        <v>0</v>
      </c>
      <c r="R1715" s="285" t="s">
        <v>9278</v>
      </c>
      <c r="S1715" s="14" t="s">
        <v>9536</v>
      </c>
      <c r="T1715" s="230" t="s">
        <v>9537</v>
      </c>
    </row>
    <row r="1716" spans="1:20" ht="52.5" customHeight="1" x14ac:dyDescent="0.2">
      <c r="A1716" s="21">
        <v>1743</v>
      </c>
      <c r="B1716" s="12" t="s">
        <v>9517</v>
      </c>
      <c r="C1716" s="289"/>
      <c r="D1716" s="9" t="s">
        <v>9533</v>
      </c>
      <c r="E1716" s="22" t="s">
        <v>9378</v>
      </c>
      <c r="F1716" s="9" t="s">
        <v>9534</v>
      </c>
      <c r="G1716" s="285" t="s">
        <v>7982</v>
      </c>
      <c r="H1716" s="285" t="s">
        <v>5127</v>
      </c>
      <c r="I1716" s="289"/>
      <c r="J1716" s="285" t="s">
        <v>3136</v>
      </c>
      <c r="K1716" s="14">
        <v>43971</v>
      </c>
      <c r="L1716" s="285">
        <v>413</v>
      </c>
      <c r="M1716" s="15">
        <v>43892</v>
      </c>
      <c r="N1716" s="40">
        <v>1</v>
      </c>
      <c r="O1716" s="40">
        <v>12500</v>
      </c>
      <c r="P1716" s="40">
        <v>12500</v>
      </c>
      <c r="Q1716" s="17">
        <f t="shared" si="39"/>
        <v>0</v>
      </c>
      <c r="R1716" s="285" t="s">
        <v>9278</v>
      </c>
      <c r="S1716" s="14" t="s">
        <v>9536</v>
      </c>
      <c r="T1716" s="230" t="s">
        <v>9538</v>
      </c>
    </row>
    <row r="1717" spans="1:20" ht="52.5" customHeight="1" x14ac:dyDescent="0.2">
      <c r="A1717" s="21">
        <v>1744</v>
      </c>
      <c r="B1717" s="12" t="s">
        <v>9518</v>
      </c>
      <c r="C1717" s="289"/>
      <c r="D1717" s="9" t="s">
        <v>7986</v>
      </c>
      <c r="E1717" s="22" t="s">
        <v>9378</v>
      </c>
      <c r="F1717" s="9" t="s">
        <v>9535</v>
      </c>
      <c r="G1717" s="285" t="s">
        <v>7982</v>
      </c>
      <c r="H1717" s="285" t="s">
        <v>5127</v>
      </c>
      <c r="I1717" s="289"/>
      <c r="J1717" s="285" t="s">
        <v>3136</v>
      </c>
      <c r="K1717" s="14">
        <v>43971</v>
      </c>
      <c r="L1717" s="285">
        <v>413</v>
      </c>
      <c r="M1717" s="15">
        <v>43892</v>
      </c>
      <c r="N1717" s="40">
        <v>1</v>
      </c>
      <c r="O1717" s="40">
        <v>67465</v>
      </c>
      <c r="P1717" s="40">
        <v>67465</v>
      </c>
      <c r="Q1717" s="17">
        <f t="shared" si="39"/>
        <v>0</v>
      </c>
      <c r="R1717" s="37" t="s">
        <v>9278</v>
      </c>
      <c r="S1717" s="14" t="s">
        <v>9536</v>
      </c>
      <c r="T1717" s="230" t="s">
        <v>9539</v>
      </c>
    </row>
    <row r="1718" spans="1:20" ht="105" customHeight="1" x14ac:dyDescent="0.2">
      <c r="A1718" s="21">
        <v>1745</v>
      </c>
      <c r="B1718" s="12" t="s">
        <v>9519</v>
      </c>
      <c r="C1718" s="289"/>
      <c r="D1718" s="9" t="s">
        <v>9542</v>
      </c>
      <c r="E1718" s="22" t="s">
        <v>9378</v>
      </c>
      <c r="F1718" s="9" t="s">
        <v>9543</v>
      </c>
      <c r="G1718" s="285" t="s">
        <v>7982</v>
      </c>
      <c r="H1718" s="285" t="s">
        <v>5127</v>
      </c>
      <c r="I1718" s="289"/>
      <c r="J1718" s="285" t="s">
        <v>3136</v>
      </c>
      <c r="K1718" s="14">
        <v>43971</v>
      </c>
      <c r="L1718" s="285">
        <v>413</v>
      </c>
      <c r="M1718" s="15">
        <v>43892</v>
      </c>
      <c r="N1718" s="40">
        <v>1</v>
      </c>
      <c r="O1718" s="40">
        <v>59708</v>
      </c>
      <c r="P1718" s="40">
        <v>59708</v>
      </c>
      <c r="Q1718" s="17">
        <f t="shared" si="39"/>
        <v>0</v>
      </c>
      <c r="R1718" s="285" t="s">
        <v>9278</v>
      </c>
      <c r="S1718" s="14" t="s">
        <v>9536</v>
      </c>
      <c r="T1718" s="230" t="s">
        <v>9544</v>
      </c>
    </row>
    <row r="1719" spans="1:20" ht="62.25" customHeight="1" x14ac:dyDescent="0.2">
      <c r="A1719" s="21">
        <v>1746</v>
      </c>
      <c r="B1719" s="12" t="s">
        <v>9540</v>
      </c>
      <c r="C1719" s="289"/>
      <c r="D1719" s="9" t="s">
        <v>9545</v>
      </c>
      <c r="E1719" s="22" t="s">
        <v>9378</v>
      </c>
      <c r="F1719" s="9" t="s">
        <v>9546</v>
      </c>
      <c r="G1719" s="285" t="s">
        <v>7982</v>
      </c>
      <c r="H1719" s="285" t="s">
        <v>5127</v>
      </c>
      <c r="I1719" s="289"/>
      <c r="J1719" s="285" t="s">
        <v>3136</v>
      </c>
      <c r="K1719" s="14">
        <v>43971</v>
      </c>
      <c r="L1719" s="285">
        <v>413</v>
      </c>
      <c r="M1719" s="15">
        <v>43892</v>
      </c>
      <c r="N1719" s="40">
        <v>6</v>
      </c>
      <c r="O1719" s="40">
        <v>7800</v>
      </c>
      <c r="P1719" s="40">
        <v>7800</v>
      </c>
      <c r="Q1719" s="17">
        <f t="shared" si="39"/>
        <v>0</v>
      </c>
      <c r="R1719" s="37" t="s">
        <v>9278</v>
      </c>
      <c r="S1719" s="14" t="s">
        <v>9536</v>
      </c>
      <c r="T1719" s="230" t="s">
        <v>9547</v>
      </c>
    </row>
    <row r="1720" spans="1:20" ht="62.25" customHeight="1" x14ac:dyDescent="0.2">
      <c r="A1720" s="21">
        <v>1747</v>
      </c>
      <c r="B1720" s="12" t="s">
        <v>9541</v>
      </c>
      <c r="C1720" s="289"/>
      <c r="D1720" s="9" t="s">
        <v>9548</v>
      </c>
      <c r="E1720" s="22" t="s">
        <v>9378</v>
      </c>
      <c r="F1720" s="9" t="s">
        <v>9546</v>
      </c>
      <c r="G1720" s="285" t="s">
        <v>7982</v>
      </c>
      <c r="H1720" s="285" t="s">
        <v>5127</v>
      </c>
      <c r="I1720" s="289"/>
      <c r="J1720" s="285" t="s">
        <v>3136</v>
      </c>
      <c r="K1720" s="14">
        <v>43971</v>
      </c>
      <c r="L1720" s="285">
        <v>413</v>
      </c>
      <c r="M1720" s="15">
        <v>43892</v>
      </c>
      <c r="N1720" s="40">
        <v>13</v>
      </c>
      <c r="O1720" s="40">
        <v>33800</v>
      </c>
      <c r="P1720" s="40">
        <v>33800</v>
      </c>
      <c r="Q1720" s="17">
        <f t="shared" si="39"/>
        <v>0</v>
      </c>
      <c r="R1720" s="285" t="s">
        <v>9278</v>
      </c>
      <c r="S1720" s="14" t="s">
        <v>9536</v>
      </c>
      <c r="T1720" s="230" t="s">
        <v>9547</v>
      </c>
    </row>
    <row r="1721" spans="1:20" ht="62.25" customHeight="1" x14ac:dyDescent="0.2">
      <c r="A1721" s="21">
        <v>1748</v>
      </c>
      <c r="B1721" s="12" t="s">
        <v>9549</v>
      </c>
      <c r="C1721" s="289"/>
      <c r="D1721" s="9" t="s">
        <v>9552</v>
      </c>
      <c r="E1721" s="22" t="s">
        <v>9378</v>
      </c>
      <c r="F1721" s="9" t="s">
        <v>9543</v>
      </c>
      <c r="G1721" s="285" t="s">
        <v>7982</v>
      </c>
      <c r="H1721" s="285" t="s">
        <v>5127</v>
      </c>
      <c r="I1721" s="289"/>
      <c r="J1721" s="285" t="s">
        <v>3136</v>
      </c>
      <c r="K1721" s="14">
        <v>43971</v>
      </c>
      <c r="L1721" s="285">
        <v>413</v>
      </c>
      <c r="M1721" s="15">
        <v>43892</v>
      </c>
      <c r="N1721" s="40">
        <v>6</v>
      </c>
      <c r="O1721" s="40">
        <v>11880</v>
      </c>
      <c r="P1721" s="40">
        <v>11880</v>
      </c>
      <c r="Q1721" s="17">
        <f t="shared" si="39"/>
        <v>0</v>
      </c>
      <c r="R1721" s="285" t="s">
        <v>9278</v>
      </c>
      <c r="S1721" s="14" t="s">
        <v>9536</v>
      </c>
      <c r="T1721" s="230" t="s">
        <v>9550</v>
      </c>
    </row>
    <row r="1722" spans="1:20" ht="62.25" customHeight="1" x14ac:dyDescent="0.2">
      <c r="A1722" s="21">
        <v>1749</v>
      </c>
      <c r="B1722" s="12" t="s">
        <v>9551</v>
      </c>
      <c r="C1722" s="289"/>
      <c r="D1722" s="9" t="s">
        <v>9553</v>
      </c>
      <c r="E1722" s="22" t="s">
        <v>9378</v>
      </c>
      <c r="F1722" s="9" t="s">
        <v>9543</v>
      </c>
      <c r="G1722" s="285" t="s">
        <v>7982</v>
      </c>
      <c r="H1722" s="285" t="s">
        <v>5127</v>
      </c>
      <c r="I1722" s="289"/>
      <c r="J1722" s="285" t="s">
        <v>3136</v>
      </c>
      <c r="K1722" s="14">
        <v>43971</v>
      </c>
      <c r="L1722" s="285">
        <v>413</v>
      </c>
      <c r="M1722" s="15">
        <v>43892</v>
      </c>
      <c r="N1722" s="40">
        <v>2</v>
      </c>
      <c r="O1722" s="40">
        <v>2420</v>
      </c>
      <c r="P1722" s="40">
        <v>2420</v>
      </c>
      <c r="Q1722" s="17">
        <f t="shared" si="39"/>
        <v>0</v>
      </c>
      <c r="R1722" s="285" t="s">
        <v>9278</v>
      </c>
      <c r="S1722" s="14" t="s">
        <v>9536</v>
      </c>
      <c r="T1722" s="230" t="s">
        <v>9550</v>
      </c>
    </row>
    <row r="1723" spans="1:20" ht="62.25" customHeight="1" x14ac:dyDescent="0.2">
      <c r="A1723" s="21">
        <v>1750</v>
      </c>
      <c r="B1723" s="12" t="s">
        <v>9635</v>
      </c>
      <c r="C1723" s="289"/>
      <c r="D1723" s="9" t="s">
        <v>9556</v>
      </c>
      <c r="E1723" s="22" t="s">
        <v>9378</v>
      </c>
      <c r="F1723" s="9" t="s">
        <v>9557</v>
      </c>
      <c r="G1723" s="285" t="s">
        <v>2074</v>
      </c>
      <c r="H1723" s="285" t="s">
        <v>5127</v>
      </c>
      <c r="I1723" s="289"/>
      <c r="J1723" s="285" t="s">
        <v>3136</v>
      </c>
      <c r="K1723" s="14">
        <v>43993</v>
      </c>
      <c r="L1723" s="285">
        <v>513</v>
      </c>
      <c r="M1723" s="15">
        <v>43913</v>
      </c>
      <c r="N1723" s="40">
        <v>1</v>
      </c>
      <c r="O1723" s="40">
        <v>26594.12</v>
      </c>
      <c r="P1723" s="40">
        <v>26594.12</v>
      </c>
      <c r="Q1723" s="17">
        <f t="shared" si="39"/>
        <v>0</v>
      </c>
      <c r="R1723" s="285" t="s">
        <v>9278</v>
      </c>
      <c r="S1723" s="14" t="s">
        <v>9558</v>
      </c>
      <c r="T1723" s="230" t="s">
        <v>9559</v>
      </c>
    </row>
    <row r="1724" spans="1:20" ht="62.25" customHeight="1" x14ac:dyDescent="0.2">
      <c r="A1724" s="21">
        <v>1751</v>
      </c>
      <c r="B1724" s="12" t="s">
        <v>9636</v>
      </c>
      <c r="C1724" s="289"/>
      <c r="D1724" s="9" t="s">
        <v>9560</v>
      </c>
      <c r="E1724" s="22" t="s">
        <v>9378</v>
      </c>
      <c r="F1724" s="9"/>
      <c r="G1724" s="285" t="s">
        <v>2074</v>
      </c>
      <c r="H1724" s="285" t="s">
        <v>5127</v>
      </c>
      <c r="I1724" s="289"/>
      <c r="J1724" s="285" t="s">
        <v>3136</v>
      </c>
      <c r="K1724" s="14">
        <v>43993</v>
      </c>
      <c r="L1724" s="285">
        <v>513</v>
      </c>
      <c r="M1724" s="15">
        <v>43913</v>
      </c>
      <c r="N1724" s="40">
        <v>1</v>
      </c>
      <c r="O1724" s="40">
        <v>22858.79</v>
      </c>
      <c r="P1724" s="40">
        <v>22858.79</v>
      </c>
      <c r="Q1724" s="17">
        <f t="shared" si="39"/>
        <v>0</v>
      </c>
      <c r="R1724" s="285" t="s">
        <v>9278</v>
      </c>
      <c r="S1724" s="14" t="s">
        <v>9558</v>
      </c>
      <c r="T1724" s="230" t="s">
        <v>9559</v>
      </c>
    </row>
    <row r="1725" spans="1:20" ht="53.25" customHeight="1" x14ac:dyDescent="0.2">
      <c r="A1725" s="21">
        <v>1752</v>
      </c>
      <c r="B1725" s="12" t="s">
        <v>9565</v>
      </c>
      <c r="C1725" s="289"/>
      <c r="D1725" s="9" t="s">
        <v>3950</v>
      </c>
      <c r="E1725" s="22" t="s">
        <v>9378</v>
      </c>
      <c r="F1725" s="9" t="s">
        <v>9569</v>
      </c>
      <c r="G1725" s="285"/>
      <c r="H1725" s="285" t="s">
        <v>2042</v>
      </c>
      <c r="I1725" s="289" t="s">
        <v>2207</v>
      </c>
      <c r="J1725" s="285" t="s">
        <v>3136</v>
      </c>
      <c r="K1725" s="14">
        <v>43987</v>
      </c>
      <c r="L1725" s="285">
        <v>490</v>
      </c>
      <c r="M1725" s="15">
        <v>43981</v>
      </c>
      <c r="N1725" s="40">
        <v>1</v>
      </c>
      <c r="O1725" s="40">
        <v>127857.5</v>
      </c>
      <c r="P1725" s="40">
        <v>0</v>
      </c>
      <c r="Q1725" s="17">
        <f t="shared" si="39"/>
        <v>127857.5</v>
      </c>
      <c r="R1725" s="285" t="s">
        <v>9567</v>
      </c>
      <c r="S1725" s="14">
        <v>43942</v>
      </c>
      <c r="T1725" s="230" t="s">
        <v>9568</v>
      </c>
    </row>
    <row r="1726" spans="1:20" ht="53.25" customHeight="1" x14ac:dyDescent="0.2">
      <c r="A1726" s="21">
        <v>1753</v>
      </c>
      <c r="B1726" s="12" t="s">
        <v>9566</v>
      </c>
      <c r="C1726" s="289"/>
      <c r="D1726" s="9" t="s">
        <v>3950</v>
      </c>
      <c r="E1726" s="22" t="s">
        <v>9378</v>
      </c>
      <c r="F1726" s="9" t="s">
        <v>9570</v>
      </c>
      <c r="G1726" s="285"/>
      <c r="H1726" s="285" t="s">
        <v>2042</v>
      </c>
      <c r="I1726" s="289" t="s">
        <v>2207</v>
      </c>
      <c r="J1726" s="285" t="s">
        <v>3136</v>
      </c>
      <c r="K1726" s="14">
        <v>43987</v>
      </c>
      <c r="L1726" s="285">
        <v>490</v>
      </c>
      <c r="M1726" s="15">
        <v>43981</v>
      </c>
      <c r="N1726" s="40">
        <v>1</v>
      </c>
      <c r="O1726" s="40">
        <v>127857.5</v>
      </c>
      <c r="P1726" s="40">
        <v>0</v>
      </c>
      <c r="Q1726" s="17">
        <f t="shared" si="39"/>
        <v>127857.5</v>
      </c>
      <c r="R1726" s="285" t="s">
        <v>9567</v>
      </c>
      <c r="S1726" s="14">
        <v>43942</v>
      </c>
      <c r="T1726" s="230" t="s">
        <v>9568</v>
      </c>
    </row>
    <row r="1727" spans="1:20" ht="84.75" customHeight="1" x14ac:dyDescent="0.2">
      <c r="A1727" s="21">
        <v>1754</v>
      </c>
      <c r="B1727" s="12" t="s">
        <v>9571</v>
      </c>
      <c r="C1727" s="289"/>
      <c r="D1727" s="9" t="s">
        <v>9573</v>
      </c>
      <c r="E1727" s="22" t="s">
        <v>9612</v>
      </c>
      <c r="F1727" s="9"/>
      <c r="G1727" s="285" t="s">
        <v>2074</v>
      </c>
      <c r="H1727" s="285" t="s">
        <v>5127</v>
      </c>
      <c r="I1727" s="289"/>
      <c r="J1727" s="285" t="s">
        <v>3136</v>
      </c>
      <c r="K1727" s="14">
        <v>43991</v>
      </c>
      <c r="L1727" s="285">
        <v>507</v>
      </c>
      <c r="M1727" s="15">
        <v>43973</v>
      </c>
      <c r="N1727" s="40">
        <v>1</v>
      </c>
      <c r="O1727" s="40">
        <v>60737.5</v>
      </c>
      <c r="P1727" s="40">
        <v>60737.5</v>
      </c>
      <c r="Q1727" s="17">
        <f t="shared" si="39"/>
        <v>0</v>
      </c>
      <c r="R1727" s="285" t="s">
        <v>9574</v>
      </c>
      <c r="S1727" s="14">
        <v>43973</v>
      </c>
      <c r="T1727" s="230">
        <v>1</v>
      </c>
    </row>
    <row r="1728" spans="1:20" ht="74.25" customHeight="1" x14ac:dyDescent="0.2">
      <c r="A1728" s="21">
        <v>1755</v>
      </c>
      <c r="B1728" s="12" t="s">
        <v>9572</v>
      </c>
      <c r="C1728" s="289"/>
      <c r="D1728" s="9" t="s">
        <v>9575</v>
      </c>
      <c r="E1728" s="22" t="s">
        <v>9612</v>
      </c>
      <c r="F1728" s="9"/>
      <c r="G1728" s="285" t="s">
        <v>2074</v>
      </c>
      <c r="H1728" s="285" t="s">
        <v>5127</v>
      </c>
      <c r="I1728" s="289"/>
      <c r="J1728" s="285" t="s">
        <v>3136</v>
      </c>
      <c r="K1728" s="14">
        <v>43991</v>
      </c>
      <c r="L1728" s="285">
        <v>507</v>
      </c>
      <c r="M1728" s="15">
        <v>43973</v>
      </c>
      <c r="N1728" s="40">
        <v>1</v>
      </c>
      <c r="O1728" s="40">
        <v>1</v>
      </c>
      <c r="P1728" s="40">
        <v>1</v>
      </c>
      <c r="Q1728" s="17">
        <f t="shared" si="39"/>
        <v>0</v>
      </c>
      <c r="R1728" s="285" t="s">
        <v>9574</v>
      </c>
      <c r="S1728" s="14">
        <v>43973</v>
      </c>
      <c r="T1728" s="230">
        <v>1</v>
      </c>
    </row>
    <row r="1729" spans="1:20" ht="120.75" customHeight="1" x14ac:dyDescent="0.2">
      <c r="A1729" s="21">
        <v>1756</v>
      </c>
      <c r="B1729" s="12" t="s">
        <v>9576</v>
      </c>
      <c r="C1729" s="289"/>
      <c r="D1729" s="9" t="s">
        <v>9584</v>
      </c>
      <c r="E1729" s="22" t="s">
        <v>9585</v>
      </c>
      <c r="F1729" s="9"/>
      <c r="G1729" s="285" t="s">
        <v>7983</v>
      </c>
      <c r="H1729" s="285" t="s">
        <v>5127</v>
      </c>
      <c r="I1729" s="289"/>
      <c r="J1729" s="285" t="s">
        <v>3136</v>
      </c>
      <c r="K1729" s="14">
        <v>43992</v>
      </c>
      <c r="L1729" s="285">
        <v>510</v>
      </c>
      <c r="M1729" s="15">
        <v>43944</v>
      </c>
      <c r="N1729" s="40">
        <v>1</v>
      </c>
      <c r="O1729" s="40">
        <v>31540</v>
      </c>
      <c r="P1729" s="40">
        <v>31540</v>
      </c>
      <c r="Q1729" s="17">
        <f t="shared" si="39"/>
        <v>0</v>
      </c>
      <c r="R1729" s="285" t="s">
        <v>9278</v>
      </c>
      <c r="S1729" s="14">
        <v>43923</v>
      </c>
      <c r="T1729" s="230">
        <v>430</v>
      </c>
    </row>
    <row r="1730" spans="1:20" ht="99" customHeight="1" x14ac:dyDescent="0.2">
      <c r="A1730" s="21">
        <v>1757</v>
      </c>
      <c r="B1730" s="12" t="s">
        <v>9577</v>
      </c>
      <c r="C1730" s="289"/>
      <c r="D1730" s="9" t="s">
        <v>9586</v>
      </c>
      <c r="E1730" s="22" t="s">
        <v>9585</v>
      </c>
      <c r="F1730" s="9"/>
      <c r="G1730" s="285" t="s">
        <v>7983</v>
      </c>
      <c r="H1730" s="285" t="s">
        <v>5127</v>
      </c>
      <c r="I1730" s="289"/>
      <c r="J1730" s="285" t="s">
        <v>3136</v>
      </c>
      <c r="K1730" s="14">
        <v>43992</v>
      </c>
      <c r="L1730" s="285">
        <v>510</v>
      </c>
      <c r="M1730" s="15">
        <v>43944</v>
      </c>
      <c r="N1730" s="40">
        <v>1</v>
      </c>
      <c r="O1730" s="40">
        <v>19152</v>
      </c>
      <c r="P1730" s="40">
        <v>19152</v>
      </c>
      <c r="Q1730" s="17">
        <f t="shared" si="39"/>
        <v>0</v>
      </c>
      <c r="R1730" s="285" t="s">
        <v>9278</v>
      </c>
      <c r="S1730" s="14">
        <v>43923</v>
      </c>
      <c r="T1730" s="230">
        <v>430</v>
      </c>
    </row>
    <row r="1731" spans="1:20" ht="81" customHeight="1" x14ac:dyDescent="0.2">
      <c r="A1731" s="21">
        <v>1758</v>
      </c>
      <c r="B1731" s="12" t="s">
        <v>9578</v>
      </c>
      <c r="C1731" s="289"/>
      <c r="D1731" s="9" t="s">
        <v>9587</v>
      </c>
      <c r="E1731" s="22" t="s">
        <v>9585</v>
      </c>
      <c r="F1731" s="9" t="s">
        <v>9588</v>
      </c>
      <c r="G1731" s="285" t="s">
        <v>7983</v>
      </c>
      <c r="H1731" s="285" t="s">
        <v>5127</v>
      </c>
      <c r="I1731" s="289"/>
      <c r="J1731" s="285" t="s">
        <v>3136</v>
      </c>
      <c r="K1731" s="14">
        <v>43992</v>
      </c>
      <c r="L1731" s="285">
        <v>510</v>
      </c>
      <c r="M1731" s="15">
        <v>43944</v>
      </c>
      <c r="N1731" s="40">
        <v>1</v>
      </c>
      <c r="O1731" s="40">
        <v>1450</v>
      </c>
      <c r="P1731" s="40">
        <v>0</v>
      </c>
      <c r="Q1731" s="17">
        <f t="shared" si="39"/>
        <v>1450</v>
      </c>
      <c r="R1731" s="285" t="s">
        <v>9278</v>
      </c>
      <c r="S1731" s="14">
        <v>43923</v>
      </c>
      <c r="T1731" s="230">
        <v>430</v>
      </c>
    </row>
    <row r="1732" spans="1:20" ht="109.5" customHeight="1" x14ac:dyDescent="0.2">
      <c r="A1732" s="21">
        <v>1759</v>
      </c>
      <c r="B1732" s="12" t="s">
        <v>9579</v>
      </c>
      <c r="C1732" s="289"/>
      <c r="D1732" s="9" t="s">
        <v>9589</v>
      </c>
      <c r="E1732" s="22" t="s">
        <v>9585</v>
      </c>
      <c r="F1732" s="9" t="s">
        <v>9590</v>
      </c>
      <c r="G1732" s="285" t="s">
        <v>7983</v>
      </c>
      <c r="H1732" s="285" t="s">
        <v>5127</v>
      </c>
      <c r="I1732" s="289"/>
      <c r="J1732" s="285" t="s">
        <v>3136</v>
      </c>
      <c r="K1732" s="14">
        <v>43992</v>
      </c>
      <c r="L1732" s="285">
        <v>510</v>
      </c>
      <c r="M1732" s="15">
        <v>43944</v>
      </c>
      <c r="N1732" s="40">
        <v>1</v>
      </c>
      <c r="O1732" s="40">
        <v>6004</v>
      </c>
      <c r="P1732" s="40">
        <v>0</v>
      </c>
      <c r="Q1732" s="17">
        <f t="shared" si="39"/>
        <v>6004</v>
      </c>
      <c r="R1732" s="285" t="s">
        <v>9278</v>
      </c>
      <c r="S1732" s="14">
        <v>43923</v>
      </c>
      <c r="T1732" s="230">
        <v>430</v>
      </c>
    </row>
    <row r="1733" spans="1:20" ht="119.25" customHeight="1" x14ac:dyDescent="0.2">
      <c r="A1733" s="21">
        <v>1760</v>
      </c>
      <c r="B1733" s="12" t="s">
        <v>9580</v>
      </c>
      <c r="C1733" s="289"/>
      <c r="D1733" s="9" t="s">
        <v>9591</v>
      </c>
      <c r="E1733" s="22" t="s">
        <v>9585</v>
      </c>
      <c r="F1733" s="9" t="s">
        <v>2118</v>
      </c>
      <c r="G1733" s="285" t="s">
        <v>7983</v>
      </c>
      <c r="H1733" s="285" t="s">
        <v>5127</v>
      </c>
      <c r="I1733" s="289"/>
      <c r="J1733" s="285" t="s">
        <v>3136</v>
      </c>
      <c r="K1733" s="14">
        <v>43992</v>
      </c>
      <c r="L1733" s="285">
        <v>510</v>
      </c>
      <c r="M1733" s="15">
        <v>43944</v>
      </c>
      <c r="N1733" s="40">
        <v>1</v>
      </c>
      <c r="O1733" s="40">
        <v>342</v>
      </c>
      <c r="P1733" s="40">
        <v>0</v>
      </c>
      <c r="Q1733" s="17">
        <f t="shared" si="39"/>
        <v>342</v>
      </c>
      <c r="R1733" s="285" t="s">
        <v>9278</v>
      </c>
      <c r="S1733" s="14">
        <v>43923</v>
      </c>
      <c r="T1733" s="230">
        <v>430</v>
      </c>
    </row>
    <row r="1734" spans="1:20" ht="78.75" customHeight="1" x14ac:dyDescent="0.2">
      <c r="A1734" s="21">
        <v>1761</v>
      </c>
      <c r="B1734" s="12" t="s">
        <v>9581</v>
      </c>
      <c r="C1734" s="289"/>
      <c r="D1734" s="9" t="s">
        <v>9592</v>
      </c>
      <c r="E1734" s="22" t="s">
        <v>9585</v>
      </c>
      <c r="F1734" s="9" t="s">
        <v>2118</v>
      </c>
      <c r="G1734" s="285" t="s">
        <v>7983</v>
      </c>
      <c r="H1734" s="285" t="s">
        <v>5127</v>
      </c>
      <c r="I1734" s="289"/>
      <c r="J1734" s="285" t="s">
        <v>3136</v>
      </c>
      <c r="K1734" s="14">
        <v>43992</v>
      </c>
      <c r="L1734" s="285">
        <v>510</v>
      </c>
      <c r="M1734" s="15">
        <v>43944</v>
      </c>
      <c r="N1734" s="40">
        <v>1</v>
      </c>
      <c r="O1734" s="40">
        <v>243.2</v>
      </c>
      <c r="P1734" s="40">
        <v>0</v>
      </c>
      <c r="Q1734" s="17">
        <f t="shared" si="39"/>
        <v>243.2</v>
      </c>
      <c r="R1734" s="285" t="s">
        <v>9278</v>
      </c>
      <c r="S1734" s="14">
        <v>43923</v>
      </c>
      <c r="T1734" s="230">
        <v>430</v>
      </c>
    </row>
    <row r="1735" spans="1:20" ht="71.25" customHeight="1" x14ac:dyDescent="0.2">
      <c r="A1735" s="21">
        <v>1762</v>
      </c>
      <c r="B1735" s="12" t="s">
        <v>9582</v>
      </c>
      <c r="C1735" s="289"/>
      <c r="D1735" s="9" t="s">
        <v>9594</v>
      </c>
      <c r="E1735" s="22" t="s">
        <v>9585</v>
      </c>
      <c r="F1735" s="9"/>
      <c r="G1735" s="285" t="s">
        <v>7983</v>
      </c>
      <c r="H1735" s="285" t="s">
        <v>5127</v>
      </c>
      <c r="I1735" s="289"/>
      <c r="J1735" s="285" t="s">
        <v>3136</v>
      </c>
      <c r="K1735" s="14">
        <v>43992</v>
      </c>
      <c r="L1735" s="285">
        <v>510</v>
      </c>
      <c r="M1735" s="15">
        <v>43944</v>
      </c>
      <c r="N1735" s="40">
        <v>1</v>
      </c>
      <c r="O1735" s="40">
        <v>8270</v>
      </c>
      <c r="P1735" s="40">
        <v>0</v>
      </c>
      <c r="Q1735" s="17">
        <f t="shared" si="39"/>
        <v>8270</v>
      </c>
      <c r="R1735" s="285" t="s">
        <v>9278</v>
      </c>
      <c r="S1735" s="14">
        <v>43923</v>
      </c>
      <c r="T1735" s="230">
        <v>430</v>
      </c>
    </row>
    <row r="1736" spans="1:20" ht="71.25" customHeight="1" x14ac:dyDescent="0.2">
      <c r="A1736" s="21">
        <v>1763</v>
      </c>
      <c r="B1736" s="12" t="s">
        <v>9583</v>
      </c>
      <c r="C1736" s="289"/>
      <c r="D1736" s="9" t="s">
        <v>9595</v>
      </c>
      <c r="E1736" s="22" t="s">
        <v>9585</v>
      </c>
      <c r="F1736" s="9"/>
      <c r="G1736" s="285" t="s">
        <v>7983</v>
      </c>
      <c r="H1736" s="285" t="s">
        <v>5127</v>
      </c>
      <c r="I1736" s="289"/>
      <c r="J1736" s="285" t="s">
        <v>3136</v>
      </c>
      <c r="K1736" s="14">
        <v>43992</v>
      </c>
      <c r="L1736" s="285">
        <v>510</v>
      </c>
      <c r="M1736" s="15">
        <v>43944</v>
      </c>
      <c r="N1736" s="40">
        <v>1</v>
      </c>
      <c r="O1736" s="40">
        <v>3015</v>
      </c>
      <c r="P1736" s="40">
        <v>0</v>
      </c>
      <c r="Q1736" s="17">
        <f t="shared" si="39"/>
        <v>3015</v>
      </c>
      <c r="R1736" s="285" t="s">
        <v>9278</v>
      </c>
      <c r="S1736" s="14">
        <v>43923</v>
      </c>
      <c r="T1736" s="230">
        <v>430</v>
      </c>
    </row>
    <row r="1737" spans="1:20" ht="42.75" customHeight="1" x14ac:dyDescent="0.2">
      <c r="A1737" s="21">
        <v>1764</v>
      </c>
      <c r="B1737" s="12" t="s">
        <v>9593</v>
      </c>
      <c r="C1737" s="289"/>
      <c r="D1737" s="9" t="s">
        <v>9596</v>
      </c>
      <c r="E1737" s="22" t="s">
        <v>9585</v>
      </c>
      <c r="F1737" s="9"/>
      <c r="G1737" s="285" t="s">
        <v>7983</v>
      </c>
      <c r="H1737" s="285" t="s">
        <v>5127</v>
      </c>
      <c r="I1737" s="289"/>
      <c r="J1737" s="285" t="s">
        <v>3136</v>
      </c>
      <c r="K1737" s="14">
        <v>43992</v>
      </c>
      <c r="L1737" s="285">
        <v>510</v>
      </c>
      <c r="M1737" s="15">
        <v>43944</v>
      </c>
      <c r="N1737" s="40">
        <v>1</v>
      </c>
      <c r="O1737" s="40">
        <v>23582.799999999999</v>
      </c>
      <c r="P1737" s="40">
        <v>23582.799999999999</v>
      </c>
      <c r="Q1737" s="17">
        <f t="shared" si="39"/>
        <v>0</v>
      </c>
      <c r="R1737" s="285" t="s">
        <v>9278</v>
      </c>
      <c r="S1737" s="14">
        <v>43923</v>
      </c>
      <c r="T1737" s="230">
        <v>430</v>
      </c>
    </row>
    <row r="1738" spans="1:20" ht="79.5" customHeight="1" x14ac:dyDescent="0.2">
      <c r="A1738" s="21">
        <v>1765</v>
      </c>
      <c r="B1738" s="12" t="s">
        <v>9597</v>
      </c>
      <c r="C1738" s="289"/>
      <c r="D1738" s="9" t="s">
        <v>6334</v>
      </c>
      <c r="E1738" s="22" t="s">
        <v>9599</v>
      </c>
      <c r="F1738" s="9" t="s">
        <v>9600</v>
      </c>
      <c r="G1738" s="285" t="s">
        <v>7983</v>
      </c>
      <c r="H1738" s="285" t="s">
        <v>5127</v>
      </c>
      <c r="I1738" s="289"/>
      <c r="J1738" s="285" t="s">
        <v>3136</v>
      </c>
      <c r="K1738" s="14">
        <v>43992</v>
      </c>
      <c r="L1738" s="285">
        <v>511</v>
      </c>
      <c r="M1738" s="15">
        <v>43981</v>
      </c>
      <c r="N1738" s="40">
        <v>1</v>
      </c>
      <c r="O1738" s="40">
        <v>29423</v>
      </c>
      <c r="P1738" s="40">
        <v>29423</v>
      </c>
      <c r="Q1738" s="17">
        <f t="shared" si="39"/>
        <v>0</v>
      </c>
      <c r="R1738" s="285" t="s">
        <v>9567</v>
      </c>
      <c r="S1738" s="14">
        <v>43969</v>
      </c>
      <c r="T1738" s="230" t="s">
        <v>9601</v>
      </c>
    </row>
    <row r="1739" spans="1:20" ht="76.5" customHeight="1" x14ac:dyDescent="0.2">
      <c r="A1739" s="21">
        <v>1766</v>
      </c>
      <c r="B1739" s="12" t="s">
        <v>9598</v>
      </c>
      <c r="C1739" s="289"/>
      <c r="D1739" s="9" t="s">
        <v>9602</v>
      </c>
      <c r="E1739" s="22" t="s">
        <v>9603</v>
      </c>
      <c r="F1739" s="9" t="s">
        <v>9604</v>
      </c>
      <c r="G1739" s="285" t="s">
        <v>7983</v>
      </c>
      <c r="H1739" s="285" t="s">
        <v>5127</v>
      </c>
      <c r="I1739" s="289"/>
      <c r="J1739" s="285" t="s">
        <v>3136</v>
      </c>
      <c r="K1739" s="14">
        <v>43992</v>
      </c>
      <c r="L1739" s="285">
        <v>511</v>
      </c>
      <c r="M1739" s="15">
        <v>43983</v>
      </c>
      <c r="N1739" s="40">
        <v>2</v>
      </c>
      <c r="O1739" s="40">
        <v>152930</v>
      </c>
      <c r="P1739" s="40">
        <v>152930</v>
      </c>
      <c r="Q1739" s="17">
        <f t="shared" si="39"/>
        <v>0</v>
      </c>
      <c r="R1739" s="285" t="s">
        <v>9567</v>
      </c>
      <c r="S1739" s="14">
        <v>43983</v>
      </c>
      <c r="T1739" s="230" t="s">
        <v>9605</v>
      </c>
    </row>
    <row r="1740" spans="1:20" ht="76.5" customHeight="1" x14ac:dyDescent="0.2">
      <c r="A1740" s="21">
        <v>1767</v>
      </c>
      <c r="B1740" s="12" t="s">
        <v>9615</v>
      </c>
      <c r="C1740" s="289"/>
      <c r="D1740" s="9" t="s">
        <v>9616</v>
      </c>
      <c r="E1740" s="22" t="s">
        <v>9620</v>
      </c>
      <c r="F1740" s="9"/>
      <c r="G1740" s="285" t="s">
        <v>3699</v>
      </c>
      <c r="H1740" s="285" t="s">
        <v>5127</v>
      </c>
      <c r="I1740" s="289"/>
      <c r="J1740" s="285" t="s">
        <v>3136</v>
      </c>
      <c r="K1740" s="14">
        <v>43997</v>
      </c>
      <c r="L1740" s="285">
        <v>521</v>
      </c>
      <c r="M1740" s="15">
        <v>43963</v>
      </c>
      <c r="N1740" s="40">
        <v>1</v>
      </c>
      <c r="O1740" s="40">
        <v>38000</v>
      </c>
      <c r="P1740" s="40">
        <v>38000</v>
      </c>
      <c r="Q1740" s="17">
        <f t="shared" si="39"/>
        <v>0</v>
      </c>
      <c r="R1740" s="285" t="s">
        <v>9278</v>
      </c>
      <c r="S1740" s="14" t="s">
        <v>9617</v>
      </c>
      <c r="T1740" s="230" t="s">
        <v>9618</v>
      </c>
    </row>
    <row r="1741" spans="1:20" ht="61.5" customHeight="1" x14ac:dyDescent="0.2">
      <c r="A1741" s="21">
        <v>1768</v>
      </c>
      <c r="B1741" s="12" t="s">
        <v>9619</v>
      </c>
      <c r="C1741" s="289"/>
      <c r="D1741" s="9" t="s">
        <v>1684</v>
      </c>
      <c r="E1741" s="22" t="s">
        <v>9621</v>
      </c>
      <c r="F1741" s="9"/>
      <c r="G1741" s="285" t="s">
        <v>6266</v>
      </c>
      <c r="H1741" s="285" t="s">
        <v>5127</v>
      </c>
      <c r="I1741" s="289"/>
      <c r="J1741" s="285" t="s">
        <v>3136</v>
      </c>
      <c r="K1741" s="14">
        <v>43997</v>
      </c>
      <c r="L1741" s="285">
        <v>522</v>
      </c>
      <c r="M1741" s="15">
        <v>43964</v>
      </c>
      <c r="N1741" s="40">
        <v>1</v>
      </c>
      <c r="O1741" s="40">
        <v>11071.34</v>
      </c>
      <c r="P1741" s="40">
        <v>11071.34</v>
      </c>
      <c r="Q1741" s="17">
        <f t="shared" si="39"/>
        <v>0</v>
      </c>
      <c r="R1741" s="285" t="s">
        <v>9278</v>
      </c>
      <c r="S1741" s="14" t="s">
        <v>9622</v>
      </c>
      <c r="T1741" s="230" t="s">
        <v>9623</v>
      </c>
    </row>
    <row r="1742" spans="1:20" ht="61.5" customHeight="1" x14ac:dyDescent="0.2">
      <c r="A1742" s="21">
        <v>1769</v>
      </c>
      <c r="B1742" s="12" t="s">
        <v>9624</v>
      </c>
      <c r="C1742" s="289"/>
      <c r="D1742" s="9" t="s">
        <v>9628</v>
      </c>
      <c r="E1742" s="22" t="s">
        <v>9629</v>
      </c>
      <c r="F1742" s="9" t="s">
        <v>1604</v>
      </c>
      <c r="G1742" s="285" t="s">
        <v>7917</v>
      </c>
      <c r="H1742" s="285" t="s">
        <v>5127</v>
      </c>
      <c r="I1742" s="289"/>
      <c r="J1742" s="285" t="s">
        <v>3136</v>
      </c>
      <c r="K1742" s="14">
        <v>44000</v>
      </c>
      <c r="L1742" s="285">
        <v>535</v>
      </c>
      <c r="M1742" s="15">
        <v>43969</v>
      </c>
      <c r="N1742" s="40">
        <v>1</v>
      </c>
      <c r="O1742" s="40">
        <v>39631.379999999997</v>
      </c>
      <c r="P1742" s="40">
        <v>39631.379999999997</v>
      </c>
      <c r="Q1742" s="17">
        <f t="shared" si="39"/>
        <v>0</v>
      </c>
      <c r="R1742" s="285" t="s">
        <v>9278</v>
      </c>
      <c r="S1742" s="14" t="s">
        <v>9630</v>
      </c>
      <c r="T1742" s="230" t="s">
        <v>9631</v>
      </c>
    </row>
    <row r="1743" spans="1:20" ht="44.25" customHeight="1" x14ac:dyDescent="0.2">
      <c r="A1743" s="21">
        <v>1770</v>
      </c>
      <c r="B1743" s="12" t="s">
        <v>9625</v>
      </c>
      <c r="C1743" s="289"/>
      <c r="D1743" s="9" t="s">
        <v>9632</v>
      </c>
      <c r="E1743" s="22" t="s">
        <v>9629</v>
      </c>
      <c r="F1743" s="9" t="s">
        <v>3338</v>
      </c>
      <c r="G1743" s="285" t="s">
        <v>7917</v>
      </c>
      <c r="H1743" s="285" t="s">
        <v>5127</v>
      </c>
      <c r="I1743" s="289"/>
      <c r="J1743" s="285" t="s">
        <v>3136</v>
      </c>
      <c r="K1743" s="14">
        <v>44000</v>
      </c>
      <c r="L1743" s="285">
        <v>535</v>
      </c>
      <c r="M1743" s="15">
        <v>43969</v>
      </c>
      <c r="N1743" s="40">
        <v>1</v>
      </c>
      <c r="O1743" s="40">
        <v>7985.97</v>
      </c>
      <c r="P1743" s="40">
        <v>7985.97</v>
      </c>
      <c r="Q1743" s="17">
        <f t="shared" si="39"/>
        <v>0</v>
      </c>
      <c r="R1743" s="285" t="s">
        <v>9278</v>
      </c>
      <c r="S1743" s="14" t="s">
        <v>9630</v>
      </c>
      <c r="T1743" s="230" t="s">
        <v>9631</v>
      </c>
    </row>
    <row r="1744" spans="1:20" ht="60" customHeight="1" x14ac:dyDescent="0.2">
      <c r="A1744" s="21">
        <v>1771</v>
      </c>
      <c r="B1744" s="12" t="s">
        <v>9626</v>
      </c>
      <c r="C1744" s="289"/>
      <c r="D1744" s="9" t="s">
        <v>9633</v>
      </c>
      <c r="E1744" s="22" t="s">
        <v>9629</v>
      </c>
      <c r="F1744" s="9" t="s">
        <v>9634</v>
      </c>
      <c r="G1744" s="285" t="s">
        <v>7917</v>
      </c>
      <c r="H1744" s="285" t="s">
        <v>5127</v>
      </c>
      <c r="I1744" s="289"/>
      <c r="J1744" s="285" t="s">
        <v>3136</v>
      </c>
      <c r="K1744" s="14">
        <v>44000</v>
      </c>
      <c r="L1744" s="285">
        <v>535</v>
      </c>
      <c r="M1744" s="15">
        <v>43969</v>
      </c>
      <c r="N1744" s="40">
        <v>1</v>
      </c>
      <c r="O1744" s="40">
        <v>44527.839999999997</v>
      </c>
      <c r="P1744" s="40">
        <v>44527.839999999997</v>
      </c>
      <c r="Q1744" s="17">
        <f t="shared" si="39"/>
        <v>0</v>
      </c>
      <c r="R1744" s="285" t="s">
        <v>9278</v>
      </c>
      <c r="S1744" s="14" t="s">
        <v>9630</v>
      </c>
      <c r="T1744" s="230" t="s">
        <v>9631</v>
      </c>
    </row>
    <row r="1745" spans="1:20" ht="60" customHeight="1" x14ac:dyDescent="0.2">
      <c r="A1745" s="21">
        <v>1772</v>
      </c>
      <c r="B1745" s="12" t="s">
        <v>9627</v>
      </c>
      <c r="C1745" s="289"/>
      <c r="D1745" s="9" t="s">
        <v>9721</v>
      </c>
      <c r="E1745" s="22" t="s">
        <v>9629</v>
      </c>
      <c r="F1745" s="9" t="s">
        <v>9637</v>
      </c>
      <c r="G1745" s="285" t="s">
        <v>7917</v>
      </c>
      <c r="H1745" s="285" t="s">
        <v>5127</v>
      </c>
      <c r="I1745" s="289"/>
      <c r="J1745" s="285" t="s">
        <v>3136</v>
      </c>
      <c r="K1745" s="14">
        <v>44000</v>
      </c>
      <c r="L1745" s="285">
        <v>535</v>
      </c>
      <c r="M1745" s="15">
        <v>43969</v>
      </c>
      <c r="N1745" s="40">
        <v>15</v>
      </c>
      <c r="O1745" s="40">
        <v>433950.3</v>
      </c>
      <c r="P1745" s="40">
        <v>433950.3</v>
      </c>
      <c r="Q1745" s="17">
        <f t="shared" si="39"/>
        <v>0</v>
      </c>
      <c r="R1745" s="285" t="s">
        <v>9278</v>
      </c>
      <c r="S1745" s="14" t="s">
        <v>9630</v>
      </c>
      <c r="T1745" s="230" t="s">
        <v>9631</v>
      </c>
    </row>
    <row r="1746" spans="1:20" ht="45" customHeight="1" x14ac:dyDescent="0.2">
      <c r="A1746" s="21">
        <v>1773</v>
      </c>
      <c r="B1746" s="12" t="s">
        <v>9638</v>
      </c>
      <c r="C1746" s="289"/>
      <c r="D1746" s="9" t="s">
        <v>9654</v>
      </c>
      <c r="E1746" s="22" t="s">
        <v>9655</v>
      </c>
      <c r="F1746" s="9" t="s">
        <v>9659</v>
      </c>
      <c r="G1746" s="285" t="s">
        <v>4296</v>
      </c>
      <c r="H1746" s="285" t="s">
        <v>3793</v>
      </c>
      <c r="I1746" s="18"/>
      <c r="J1746" s="285" t="s">
        <v>3136</v>
      </c>
      <c r="K1746" s="14">
        <v>43999</v>
      </c>
      <c r="L1746" s="285">
        <v>530</v>
      </c>
      <c r="M1746" s="15">
        <v>43936</v>
      </c>
      <c r="N1746" s="40">
        <v>1</v>
      </c>
      <c r="O1746" s="40">
        <v>236732</v>
      </c>
      <c r="P1746" s="178">
        <v>78910.720000000001</v>
      </c>
      <c r="Q1746" s="17">
        <f t="shared" si="39"/>
        <v>157821.28</v>
      </c>
      <c r="R1746" s="285" t="s">
        <v>9656</v>
      </c>
      <c r="S1746" s="14">
        <v>43851</v>
      </c>
      <c r="T1746" s="275" t="s">
        <v>9657</v>
      </c>
    </row>
    <row r="1747" spans="1:20" ht="45" customHeight="1" x14ac:dyDescent="0.2">
      <c r="A1747" s="21">
        <v>1774</v>
      </c>
      <c r="B1747" s="12" t="s">
        <v>9639</v>
      </c>
      <c r="C1747" s="289"/>
      <c r="D1747" s="9" t="s">
        <v>9658</v>
      </c>
      <c r="E1747" s="22" t="s">
        <v>6173</v>
      </c>
      <c r="F1747" s="9" t="s">
        <v>9660</v>
      </c>
      <c r="G1747" s="285" t="s">
        <v>4296</v>
      </c>
      <c r="H1747" s="285" t="s">
        <v>3793</v>
      </c>
      <c r="I1747" s="18"/>
      <c r="J1747" s="285" t="s">
        <v>3136</v>
      </c>
      <c r="K1747" s="14">
        <v>43999</v>
      </c>
      <c r="L1747" s="285">
        <v>530</v>
      </c>
      <c r="M1747" s="15">
        <v>43936</v>
      </c>
      <c r="N1747" s="40">
        <v>1</v>
      </c>
      <c r="O1747" s="40">
        <v>236732</v>
      </c>
      <c r="P1747" s="178">
        <v>78910.720000000001</v>
      </c>
      <c r="Q1747" s="17">
        <f t="shared" ref="Q1747:Q1778" si="40">O1747-P1747</f>
        <v>157821.28</v>
      </c>
      <c r="R1747" s="285" t="s">
        <v>9656</v>
      </c>
      <c r="S1747" s="14">
        <v>43851</v>
      </c>
      <c r="T1747" s="275" t="s">
        <v>9657</v>
      </c>
    </row>
    <row r="1748" spans="1:20" ht="38.25" customHeight="1" x14ac:dyDescent="0.2">
      <c r="A1748" s="21">
        <v>1775</v>
      </c>
      <c r="B1748" s="12" t="s">
        <v>9640</v>
      </c>
      <c r="C1748" s="289"/>
      <c r="D1748" s="9" t="s">
        <v>9661</v>
      </c>
      <c r="E1748" s="22" t="s">
        <v>2827</v>
      </c>
      <c r="F1748" s="9" t="s">
        <v>9664</v>
      </c>
      <c r="G1748" s="285" t="s">
        <v>4296</v>
      </c>
      <c r="H1748" s="285" t="s">
        <v>3793</v>
      </c>
      <c r="I1748" s="18"/>
      <c r="J1748" s="285" t="s">
        <v>3136</v>
      </c>
      <c r="K1748" s="14">
        <v>43999</v>
      </c>
      <c r="L1748" s="285">
        <v>530</v>
      </c>
      <c r="M1748" s="15">
        <v>43936</v>
      </c>
      <c r="N1748" s="40">
        <v>1</v>
      </c>
      <c r="O1748" s="40">
        <v>18469</v>
      </c>
      <c r="P1748" s="40">
        <v>18469</v>
      </c>
      <c r="Q1748" s="17">
        <f t="shared" si="40"/>
        <v>0</v>
      </c>
      <c r="R1748" s="285" t="s">
        <v>9656</v>
      </c>
      <c r="S1748" s="14">
        <v>43851</v>
      </c>
      <c r="T1748" s="275" t="s">
        <v>9657</v>
      </c>
    </row>
    <row r="1749" spans="1:20" ht="38.25" customHeight="1" x14ac:dyDescent="0.2">
      <c r="A1749" s="21">
        <v>1776</v>
      </c>
      <c r="B1749" s="12" t="s">
        <v>9641</v>
      </c>
      <c r="C1749" s="289"/>
      <c r="D1749" s="9" t="s">
        <v>9662</v>
      </c>
      <c r="E1749" s="22" t="s">
        <v>3074</v>
      </c>
      <c r="F1749" s="9" t="s">
        <v>9663</v>
      </c>
      <c r="G1749" s="285" t="s">
        <v>4296</v>
      </c>
      <c r="H1749" s="285" t="s">
        <v>3793</v>
      </c>
      <c r="I1749" s="18"/>
      <c r="J1749" s="285" t="s">
        <v>3136</v>
      </c>
      <c r="K1749" s="14">
        <v>43999</v>
      </c>
      <c r="L1749" s="285">
        <v>530</v>
      </c>
      <c r="M1749" s="15">
        <v>43936</v>
      </c>
      <c r="N1749" s="40">
        <v>1</v>
      </c>
      <c r="O1749" s="40">
        <v>118656</v>
      </c>
      <c r="P1749" s="178">
        <v>39552</v>
      </c>
      <c r="Q1749" s="17">
        <f t="shared" si="40"/>
        <v>79104</v>
      </c>
      <c r="R1749" s="285" t="s">
        <v>9656</v>
      </c>
      <c r="S1749" s="14">
        <v>43851</v>
      </c>
      <c r="T1749" s="275" t="s">
        <v>9657</v>
      </c>
    </row>
    <row r="1750" spans="1:20" ht="38.25" customHeight="1" x14ac:dyDescent="0.2">
      <c r="A1750" s="21">
        <v>1777</v>
      </c>
      <c r="B1750" s="12" t="s">
        <v>9642</v>
      </c>
      <c r="C1750" s="289"/>
      <c r="D1750" s="9" t="s">
        <v>9672</v>
      </c>
      <c r="E1750" s="22" t="s">
        <v>3074</v>
      </c>
      <c r="F1750" s="9" t="s">
        <v>9665</v>
      </c>
      <c r="G1750" s="285" t="s">
        <v>4296</v>
      </c>
      <c r="H1750" s="285" t="s">
        <v>3793</v>
      </c>
      <c r="I1750" s="18"/>
      <c r="J1750" s="285" t="s">
        <v>3136</v>
      </c>
      <c r="K1750" s="14">
        <v>43999</v>
      </c>
      <c r="L1750" s="285">
        <v>530</v>
      </c>
      <c r="M1750" s="15">
        <v>43936</v>
      </c>
      <c r="N1750" s="40">
        <v>1</v>
      </c>
      <c r="O1750" s="40">
        <v>4980</v>
      </c>
      <c r="P1750" s="40">
        <v>4980</v>
      </c>
      <c r="Q1750" s="17">
        <f t="shared" si="40"/>
        <v>0</v>
      </c>
      <c r="R1750" s="285" t="s">
        <v>9656</v>
      </c>
      <c r="S1750" s="14">
        <v>43851</v>
      </c>
      <c r="T1750" s="275" t="s">
        <v>9657</v>
      </c>
    </row>
    <row r="1751" spans="1:20" ht="33.75" customHeight="1" x14ac:dyDescent="0.2">
      <c r="A1751" s="21">
        <v>1778</v>
      </c>
      <c r="B1751" s="12" t="s">
        <v>9643</v>
      </c>
      <c r="C1751" s="289"/>
      <c r="D1751" s="9" t="s">
        <v>9673</v>
      </c>
      <c r="E1751" s="22" t="s">
        <v>3074</v>
      </c>
      <c r="F1751" s="9" t="s">
        <v>9666</v>
      </c>
      <c r="G1751" s="285" t="s">
        <v>4296</v>
      </c>
      <c r="H1751" s="285" t="s">
        <v>3793</v>
      </c>
      <c r="I1751" s="18"/>
      <c r="J1751" s="285" t="s">
        <v>3136</v>
      </c>
      <c r="K1751" s="14">
        <v>43999</v>
      </c>
      <c r="L1751" s="285">
        <v>530</v>
      </c>
      <c r="M1751" s="15">
        <v>43936</v>
      </c>
      <c r="N1751" s="40">
        <v>1</v>
      </c>
      <c r="O1751" s="40">
        <v>4980</v>
      </c>
      <c r="P1751" s="40">
        <v>4980</v>
      </c>
      <c r="Q1751" s="17">
        <f t="shared" si="40"/>
        <v>0</v>
      </c>
      <c r="R1751" s="285" t="s">
        <v>9656</v>
      </c>
      <c r="S1751" s="14">
        <v>43851</v>
      </c>
      <c r="T1751" s="275" t="s">
        <v>9657</v>
      </c>
    </row>
    <row r="1752" spans="1:20" ht="44.25" customHeight="1" x14ac:dyDescent="0.2">
      <c r="A1752" s="21">
        <v>1779</v>
      </c>
      <c r="B1752" s="12" t="s">
        <v>9644</v>
      </c>
      <c r="C1752" s="289"/>
      <c r="D1752" s="9" t="s">
        <v>9674</v>
      </c>
      <c r="E1752" s="22" t="s">
        <v>3274</v>
      </c>
      <c r="F1752" s="9" t="s">
        <v>9667</v>
      </c>
      <c r="G1752" s="285" t="s">
        <v>4296</v>
      </c>
      <c r="H1752" s="285" t="s">
        <v>3793</v>
      </c>
      <c r="I1752" s="18"/>
      <c r="J1752" s="285" t="s">
        <v>3136</v>
      </c>
      <c r="K1752" s="14">
        <v>43999</v>
      </c>
      <c r="L1752" s="285">
        <v>530</v>
      </c>
      <c r="M1752" s="15">
        <v>43936</v>
      </c>
      <c r="N1752" s="40">
        <v>1</v>
      </c>
      <c r="O1752" s="40">
        <v>16600</v>
      </c>
      <c r="P1752" s="40">
        <v>16600</v>
      </c>
      <c r="Q1752" s="17">
        <f t="shared" si="40"/>
        <v>0</v>
      </c>
      <c r="R1752" s="285" t="s">
        <v>9656</v>
      </c>
      <c r="S1752" s="14">
        <v>43851</v>
      </c>
      <c r="T1752" s="275" t="s">
        <v>9657</v>
      </c>
    </row>
    <row r="1753" spans="1:20" ht="50.25" customHeight="1" x14ac:dyDescent="0.2">
      <c r="A1753" s="21">
        <v>1780</v>
      </c>
      <c r="B1753" s="12" t="s">
        <v>9645</v>
      </c>
      <c r="C1753" s="289"/>
      <c r="D1753" s="9" t="s">
        <v>9676</v>
      </c>
      <c r="E1753" s="22" t="s">
        <v>3274</v>
      </c>
      <c r="F1753" s="9" t="s">
        <v>9668</v>
      </c>
      <c r="G1753" s="285" t="s">
        <v>4296</v>
      </c>
      <c r="H1753" s="285" t="s">
        <v>3793</v>
      </c>
      <c r="I1753" s="18"/>
      <c r="J1753" s="285" t="s">
        <v>3136</v>
      </c>
      <c r="K1753" s="14">
        <v>43999</v>
      </c>
      <c r="L1753" s="285">
        <v>530</v>
      </c>
      <c r="M1753" s="15">
        <v>43936</v>
      </c>
      <c r="N1753" s="40">
        <v>1</v>
      </c>
      <c r="O1753" s="40">
        <v>16600</v>
      </c>
      <c r="P1753" s="40">
        <v>16600</v>
      </c>
      <c r="Q1753" s="17">
        <f t="shared" si="40"/>
        <v>0</v>
      </c>
      <c r="R1753" s="285" t="s">
        <v>9656</v>
      </c>
      <c r="S1753" s="14">
        <v>43851</v>
      </c>
      <c r="T1753" s="275" t="s">
        <v>9657</v>
      </c>
    </row>
    <row r="1754" spans="1:20" ht="50.25" customHeight="1" x14ac:dyDescent="0.2">
      <c r="A1754" s="21">
        <v>1781</v>
      </c>
      <c r="B1754" s="12" t="s">
        <v>9646</v>
      </c>
      <c r="C1754" s="289"/>
      <c r="D1754" s="9" t="s">
        <v>9675</v>
      </c>
      <c r="E1754" s="22" t="s">
        <v>3274</v>
      </c>
      <c r="F1754" s="9" t="s">
        <v>9669</v>
      </c>
      <c r="G1754" s="285" t="s">
        <v>4296</v>
      </c>
      <c r="H1754" s="285" t="s">
        <v>3793</v>
      </c>
      <c r="I1754" s="18"/>
      <c r="J1754" s="285" t="s">
        <v>3136</v>
      </c>
      <c r="K1754" s="14">
        <v>43999</v>
      </c>
      <c r="L1754" s="285">
        <v>530</v>
      </c>
      <c r="M1754" s="15">
        <v>43936</v>
      </c>
      <c r="N1754" s="40">
        <v>1</v>
      </c>
      <c r="O1754" s="40">
        <v>16600</v>
      </c>
      <c r="P1754" s="40">
        <v>16600</v>
      </c>
      <c r="Q1754" s="17">
        <f t="shared" si="40"/>
        <v>0</v>
      </c>
      <c r="R1754" s="285" t="s">
        <v>9656</v>
      </c>
      <c r="S1754" s="14">
        <v>43851</v>
      </c>
      <c r="T1754" s="275" t="s">
        <v>9657</v>
      </c>
    </row>
    <row r="1755" spans="1:20" ht="49.5" customHeight="1" x14ac:dyDescent="0.2">
      <c r="A1755" s="21">
        <v>1782</v>
      </c>
      <c r="B1755" s="12" t="s">
        <v>9647</v>
      </c>
      <c r="C1755" s="289"/>
      <c r="D1755" s="9" t="s">
        <v>9677</v>
      </c>
      <c r="E1755" s="22" t="s">
        <v>3074</v>
      </c>
      <c r="F1755" s="9" t="s">
        <v>9670</v>
      </c>
      <c r="G1755" s="285" t="s">
        <v>4296</v>
      </c>
      <c r="H1755" s="285" t="s">
        <v>3793</v>
      </c>
      <c r="I1755" s="18"/>
      <c r="J1755" s="285" t="s">
        <v>3136</v>
      </c>
      <c r="K1755" s="14">
        <v>43999</v>
      </c>
      <c r="L1755" s="285">
        <v>530</v>
      </c>
      <c r="M1755" s="15">
        <v>43936</v>
      </c>
      <c r="N1755" s="40">
        <v>1</v>
      </c>
      <c r="O1755" s="40">
        <v>195000</v>
      </c>
      <c r="P1755" s="178">
        <v>65000</v>
      </c>
      <c r="Q1755" s="17">
        <f t="shared" si="40"/>
        <v>130000</v>
      </c>
      <c r="R1755" s="285" t="s">
        <v>9656</v>
      </c>
      <c r="S1755" s="14">
        <v>43851</v>
      </c>
      <c r="T1755" s="275" t="s">
        <v>9657</v>
      </c>
    </row>
    <row r="1756" spans="1:20" ht="100.5" customHeight="1" x14ac:dyDescent="0.2">
      <c r="A1756" s="21">
        <v>1783</v>
      </c>
      <c r="B1756" s="12" t="s">
        <v>9648</v>
      </c>
      <c r="C1756" s="289"/>
      <c r="D1756" s="9" t="s">
        <v>9678</v>
      </c>
      <c r="E1756" s="22" t="s">
        <v>3074</v>
      </c>
      <c r="F1756" s="9" t="s">
        <v>9671</v>
      </c>
      <c r="G1756" s="285" t="s">
        <v>4296</v>
      </c>
      <c r="H1756" s="285" t="s">
        <v>3793</v>
      </c>
      <c r="I1756" s="18"/>
      <c r="J1756" s="285" t="s">
        <v>3136</v>
      </c>
      <c r="K1756" s="14">
        <v>43999</v>
      </c>
      <c r="L1756" s="285">
        <v>530</v>
      </c>
      <c r="M1756" s="15">
        <v>43936</v>
      </c>
      <c r="N1756" s="40">
        <v>1</v>
      </c>
      <c r="O1756" s="40">
        <v>115200</v>
      </c>
      <c r="P1756" s="178">
        <v>38400</v>
      </c>
      <c r="Q1756" s="17">
        <f t="shared" si="40"/>
        <v>76800</v>
      </c>
      <c r="R1756" s="285" t="s">
        <v>9656</v>
      </c>
      <c r="S1756" s="14">
        <v>43851</v>
      </c>
      <c r="T1756" s="275" t="s">
        <v>9657</v>
      </c>
    </row>
    <row r="1757" spans="1:20" ht="63.75" customHeight="1" x14ac:dyDescent="0.2">
      <c r="A1757" s="21">
        <v>1784</v>
      </c>
      <c r="B1757" s="12" t="s">
        <v>9649</v>
      </c>
      <c r="C1757" s="289"/>
      <c r="D1757" s="9" t="s">
        <v>9681</v>
      </c>
      <c r="E1757" s="22" t="s">
        <v>5027</v>
      </c>
      <c r="F1757" s="9" t="s">
        <v>9680</v>
      </c>
      <c r="G1757" s="285" t="s">
        <v>4296</v>
      </c>
      <c r="H1757" s="285" t="s">
        <v>3793</v>
      </c>
      <c r="I1757" s="18"/>
      <c r="J1757" s="285" t="s">
        <v>3136</v>
      </c>
      <c r="K1757" s="14">
        <v>43999</v>
      </c>
      <c r="L1757" s="285">
        <v>530</v>
      </c>
      <c r="M1757" s="15">
        <v>43936</v>
      </c>
      <c r="N1757" s="40">
        <v>1</v>
      </c>
      <c r="O1757" s="40">
        <v>236732</v>
      </c>
      <c r="P1757" s="178">
        <v>78910.720000000001</v>
      </c>
      <c r="Q1757" s="17">
        <f t="shared" si="40"/>
        <v>157821.28</v>
      </c>
      <c r="R1757" s="285" t="s">
        <v>9656</v>
      </c>
      <c r="S1757" s="14">
        <v>43851</v>
      </c>
      <c r="T1757" s="275" t="s">
        <v>9657</v>
      </c>
    </row>
    <row r="1758" spans="1:20" ht="64.5" customHeight="1" x14ac:dyDescent="0.2">
      <c r="A1758" s="21">
        <v>1785</v>
      </c>
      <c r="B1758" s="12" t="s">
        <v>9650</v>
      </c>
      <c r="C1758" s="289"/>
      <c r="D1758" s="9" t="s">
        <v>9679</v>
      </c>
      <c r="E1758" s="22" t="s">
        <v>5027</v>
      </c>
      <c r="F1758" s="9" t="s">
        <v>9683</v>
      </c>
      <c r="G1758" s="285" t="s">
        <v>4296</v>
      </c>
      <c r="H1758" s="285" t="s">
        <v>3793</v>
      </c>
      <c r="I1758" s="18"/>
      <c r="J1758" s="285" t="s">
        <v>3136</v>
      </c>
      <c r="K1758" s="14">
        <v>43999</v>
      </c>
      <c r="L1758" s="285">
        <v>530</v>
      </c>
      <c r="M1758" s="15">
        <v>43936</v>
      </c>
      <c r="N1758" s="40">
        <v>1</v>
      </c>
      <c r="O1758" s="40">
        <v>197860</v>
      </c>
      <c r="P1758" s="178">
        <v>65953.279999999999</v>
      </c>
      <c r="Q1758" s="17">
        <f t="shared" si="40"/>
        <v>131906.72</v>
      </c>
      <c r="R1758" s="285" t="s">
        <v>9656</v>
      </c>
      <c r="S1758" s="14">
        <v>43851</v>
      </c>
      <c r="T1758" s="275" t="s">
        <v>9657</v>
      </c>
    </row>
    <row r="1759" spans="1:20" ht="50.25" customHeight="1" x14ac:dyDescent="0.2">
      <c r="A1759" s="21">
        <v>1786</v>
      </c>
      <c r="B1759" s="12" t="s">
        <v>9651</v>
      </c>
      <c r="C1759" s="289"/>
      <c r="D1759" s="9" t="s">
        <v>9682</v>
      </c>
      <c r="E1759" s="22" t="s">
        <v>3074</v>
      </c>
      <c r="F1759" s="9" t="s">
        <v>9684</v>
      </c>
      <c r="G1759" s="285" t="s">
        <v>4296</v>
      </c>
      <c r="H1759" s="285" t="s">
        <v>3793</v>
      </c>
      <c r="I1759" s="18"/>
      <c r="J1759" s="285" t="s">
        <v>3136</v>
      </c>
      <c r="K1759" s="14">
        <v>43999</v>
      </c>
      <c r="L1759" s="285">
        <v>530</v>
      </c>
      <c r="M1759" s="15">
        <v>43936</v>
      </c>
      <c r="N1759" s="40">
        <v>1</v>
      </c>
      <c r="O1759" s="40">
        <v>810000</v>
      </c>
      <c r="P1759" s="178">
        <v>270000</v>
      </c>
      <c r="Q1759" s="17">
        <f t="shared" si="40"/>
        <v>540000</v>
      </c>
      <c r="R1759" s="285" t="s">
        <v>9656</v>
      </c>
      <c r="S1759" s="14">
        <v>43851</v>
      </c>
      <c r="T1759" s="275" t="s">
        <v>9657</v>
      </c>
    </row>
    <row r="1760" spans="1:20" ht="50.25" customHeight="1" x14ac:dyDescent="0.2">
      <c r="A1760" s="21">
        <v>1787</v>
      </c>
      <c r="B1760" s="12" t="s">
        <v>9652</v>
      </c>
      <c r="C1760" s="289"/>
      <c r="D1760" s="9" t="s">
        <v>9685</v>
      </c>
      <c r="E1760" s="22" t="s">
        <v>3074</v>
      </c>
      <c r="F1760" s="9" t="s">
        <v>9686</v>
      </c>
      <c r="G1760" s="285" t="s">
        <v>4296</v>
      </c>
      <c r="H1760" s="285" t="s">
        <v>3793</v>
      </c>
      <c r="I1760" s="18"/>
      <c r="J1760" s="285" t="s">
        <v>3136</v>
      </c>
      <c r="K1760" s="14">
        <v>43999</v>
      </c>
      <c r="L1760" s="285">
        <v>530</v>
      </c>
      <c r="M1760" s="15">
        <v>43936</v>
      </c>
      <c r="N1760" s="40">
        <v>1</v>
      </c>
      <c r="O1760" s="40">
        <v>135000</v>
      </c>
      <c r="P1760" s="178">
        <v>45000</v>
      </c>
      <c r="Q1760" s="17">
        <f t="shared" si="40"/>
        <v>90000</v>
      </c>
      <c r="R1760" s="285" t="s">
        <v>9656</v>
      </c>
      <c r="S1760" s="14">
        <v>43851</v>
      </c>
      <c r="T1760" s="275" t="s">
        <v>9657</v>
      </c>
    </row>
    <row r="1761" spans="1:20" ht="50.25" customHeight="1" x14ac:dyDescent="0.2">
      <c r="A1761" s="21">
        <v>1788</v>
      </c>
      <c r="B1761" s="12" t="s">
        <v>9653</v>
      </c>
      <c r="C1761" s="289"/>
      <c r="D1761" s="9" t="s">
        <v>9687</v>
      </c>
      <c r="E1761" s="22" t="s">
        <v>3074</v>
      </c>
      <c r="F1761" s="9" t="s">
        <v>9699</v>
      </c>
      <c r="G1761" s="285" t="s">
        <v>4296</v>
      </c>
      <c r="H1761" s="285" t="s">
        <v>3793</v>
      </c>
      <c r="I1761" s="18"/>
      <c r="J1761" s="285" t="s">
        <v>3136</v>
      </c>
      <c r="K1761" s="14">
        <v>43999</v>
      </c>
      <c r="L1761" s="285">
        <v>530</v>
      </c>
      <c r="M1761" s="15">
        <v>43936</v>
      </c>
      <c r="N1761" s="40">
        <v>1</v>
      </c>
      <c r="O1761" s="40">
        <v>102728</v>
      </c>
      <c r="P1761" s="178">
        <v>34242.559999999998</v>
      </c>
      <c r="Q1761" s="17">
        <f t="shared" si="40"/>
        <v>68485.440000000002</v>
      </c>
      <c r="R1761" s="285" t="s">
        <v>9656</v>
      </c>
      <c r="S1761" s="14">
        <v>43851</v>
      </c>
      <c r="T1761" s="275" t="s">
        <v>9657</v>
      </c>
    </row>
    <row r="1762" spans="1:20" ht="50.25" customHeight="1" x14ac:dyDescent="0.2">
      <c r="A1762" s="21">
        <v>1789</v>
      </c>
      <c r="B1762" s="12" t="s">
        <v>9688</v>
      </c>
      <c r="C1762" s="289"/>
      <c r="D1762" s="9" t="s">
        <v>9698</v>
      </c>
      <c r="E1762" s="22" t="s">
        <v>3074</v>
      </c>
      <c r="F1762" s="9" t="s">
        <v>9700</v>
      </c>
      <c r="G1762" s="285" t="s">
        <v>4296</v>
      </c>
      <c r="H1762" s="285" t="s">
        <v>3793</v>
      </c>
      <c r="I1762" s="18"/>
      <c r="J1762" s="285" t="s">
        <v>3136</v>
      </c>
      <c r="K1762" s="14">
        <v>43999</v>
      </c>
      <c r="L1762" s="285">
        <v>530</v>
      </c>
      <c r="M1762" s="15">
        <v>43936</v>
      </c>
      <c r="N1762" s="40">
        <v>1</v>
      </c>
      <c r="O1762" s="40">
        <v>76036</v>
      </c>
      <c r="P1762" s="178">
        <v>25345.279999999999</v>
      </c>
      <c r="Q1762" s="17">
        <f t="shared" si="40"/>
        <v>50690.720000000001</v>
      </c>
      <c r="R1762" s="285" t="s">
        <v>9656</v>
      </c>
      <c r="S1762" s="14">
        <v>43851</v>
      </c>
      <c r="T1762" s="275" t="s">
        <v>9657</v>
      </c>
    </row>
    <row r="1763" spans="1:20" ht="50.25" customHeight="1" x14ac:dyDescent="0.2">
      <c r="A1763" s="21">
        <v>1790</v>
      </c>
      <c r="B1763" s="12" t="s">
        <v>9689</v>
      </c>
      <c r="C1763" s="289"/>
      <c r="D1763" s="9" t="s">
        <v>9704</v>
      </c>
      <c r="E1763" s="22" t="s">
        <v>3074</v>
      </c>
      <c r="F1763" s="9" t="s">
        <v>9701</v>
      </c>
      <c r="G1763" s="285" t="s">
        <v>4296</v>
      </c>
      <c r="H1763" s="285" t="s">
        <v>3793</v>
      </c>
      <c r="I1763" s="18"/>
      <c r="J1763" s="285" t="s">
        <v>3136</v>
      </c>
      <c r="K1763" s="14">
        <v>43999</v>
      </c>
      <c r="L1763" s="285">
        <v>530</v>
      </c>
      <c r="M1763" s="15">
        <v>43936</v>
      </c>
      <c r="N1763" s="40">
        <v>1</v>
      </c>
      <c r="O1763" s="40">
        <v>17480</v>
      </c>
      <c r="P1763" s="40">
        <v>17480</v>
      </c>
      <c r="Q1763" s="17">
        <f t="shared" si="40"/>
        <v>0</v>
      </c>
      <c r="R1763" s="285" t="s">
        <v>9656</v>
      </c>
      <c r="S1763" s="14">
        <v>43851</v>
      </c>
      <c r="T1763" s="275" t="s">
        <v>9657</v>
      </c>
    </row>
    <row r="1764" spans="1:20" ht="49.5" customHeight="1" x14ac:dyDescent="0.2">
      <c r="A1764" s="21">
        <v>1791</v>
      </c>
      <c r="B1764" s="12" t="s">
        <v>9690</v>
      </c>
      <c r="C1764" s="289"/>
      <c r="D1764" s="9" t="s">
        <v>9705</v>
      </c>
      <c r="E1764" s="22" t="s">
        <v>3074</v>
      </c>
      <c r="F1764" s="9" t="s">
        <v>9702</v>
      </c>
      <c r="G1764" s="285" t="s">
        <v>4296</v>
      </c>
      <c r="H1764" s="285" t="s">
        <v>3793</v>
      </c>
      <c r="I1764" s="18"/>
      <c r="J1764" s="285" t="s">
        <v>3136</v>
      </c>
      <c r="K1764" s="14">
        <v>43999</v>
      </c>
      <c r="L1764" s="285">
        <v>530</v>
      </c>
      <c r="M1764" s="15">
        <v>43936</v>
      </c>
      <c r="N1764" s="40">
        <v>1</v>
      </c>
      <c r="O1764" s="40">
        <v>291276</v>
      </c>
      <c r="P1764" s="178">
        <v>97092.160000000003</v>
      </c>
      <c r="Q1764" s="17">
        <f t="shared" si="40"/>
        <v>194183.84</v>
      </c>
      <c r="R1764" s="285" t="s">
        <v>9656</v>
      </c>
      <c r="S1764" s="14">
        <v>43851</v>
      </c>
      <c r="T1764" s="275" t="s">
        <v>9657</v>
      </c>
    </row>
    <row r="1765" spans="1:20" ht="121.5" customHeight="1" x14ac:dyDescent="0.2">
      <c r="A1765" s="21">
        <v>1793</v>
      </c>
      <c r="B1765" s="12" t="s">
        <v>9691</v>
      </c>
      <c r="C1765" s="289"/>
      <c r="D1765" s="9" t="s">
        <v>9703</v>
      </c>
      <c r="E1765" s="22" t="s">
        <v>3074</v>
      </c>
      <c r="F1765" s="18" t="s">
        <v>9707</v>
      </c>
      <c r="G1765" s="285" t="s">
        <v>4296</v>
      </c>
      <c r="H1765" s="285" t="s">
        <v>3793</v>
      </c>
      <c r="I1765" s="18"/>
      <c r="J1765" s="285" t="s">
        <v>3136</v>
      </c>
      <c r="K1765" s="14">
        <v>43999</v>
      </c>
      <c r="L1765" s="285">
        <v>530</v>
      </c>
      <c r="M1765" s="15">
        <v>43936</v>
      </c>
      <c r="N1765" s="40">
        <v>1</v>
      </c>
      <c r="O1765" s="40">
        <v>56994</v>
      </c>
      <c r="P1765" s="178">
        <v>18998.080000000002</v>
      </c>
      <c r="Q1765" s="17">
        <f t="shared" si="40"/>
        <v>37995.919999999998</v>
      </c>
      <c r="R1765" s="285" t="s">
        <v>9656</v>
      </c>
      <c r="S1765" s="14">
        <v>43851</v>
      </c>
      <c r="T1765" s="275" t="s">
        <v>9657</v>
      </c>
    </row>
    <row r="1766" spans="1:20" ht="121.5" customHeight="1" x14ac:dyDescent="0.2">
      <c r="A1766" s="21">
        <v>1794</v>
      </c>
      <c r="B1766" s="12" t="s">
        <v>9692</v>
      </c>
      <c r="C1766" s="289"/>
      <c r="D1766" s="9" t="s">
        <v>9706</v>
      </c>
      <c r="E1766" s="22" t="s">
        <v>3074</v>
      </c>
      <c r="F1766" s="9" t="s">
        <v>9708</v>
      </c>
      <c r="G1766" s="285" t="s">
        <v>4296</v>
      </c>
      <c r="H1766" s="285" t="s">
        <v>3793</v>
      </c>
      <c r="I1766" s="18"/>
      <c r="J1766" s="285" t="s">
        <v>3136</v>
      </c>
      <c r="K1766" s="14">
        <v>43999</v>
      </c>
      <c r="L1766" s="285">
        <v>530</v>
      </c>
      <c r="M1766" s="15">
        <v>43936</v>
      </c>
      <c r="N1766" s="40">
        <v>1</v>
      </c>
      <c r="O1766" s="40">
        <v>78024</v>
      </c>
      <c r="P1766" s="178">
        <v>26008</v>
      </c>
      <c r="Q1766" s="17">
        <f t="shared" si="40"/>
        <v>52016</v>
      </c>
      <c r="R1766" s="285" t="s">
        <v>9656</v>
      </c>
      <c r="S1766" s="14">
        <v>43851</v>
      </c>
      <c r="T1766" s="275" t="s">
        <v>9657</v>
      </c>
    </row>
    <row r="1767" spans="1:20" ht="117.75" customHeight="1" x14ac:dyDescent="0.2">
      <c r="A1767" s="21">
        <v>1795</v>
      </c>
      <c r="B1767" s="12" t="s">
        <v>9693</v>
      </c>
      <c r="C1767" s="289"/>
      <c r="D1767" s="9" t="s">
        <v>9709</v>
      </c>
      <c r="E1767" s="22" t="s">
        <v>9378</v>
      </c>
      <c r="F1767" s="9" t="s">
        <v>9710</v>
      </c>
      <c r="G1767" s="285" t="s">
        <v>4296</v>
      </c>
      <c r="H1767" s="285" t="s">
        <v>3793</v>
      </c>
      <c r="I1767" s="18"/>
      <c r="J1767" s="285" t="s">
        <v>3136</v>
      </c>
      <c r="K1767" s="14">
        <v>43999</v>
      </c>
      <c r="L1767" s="285">
        <v>531</v>
      </c>
      <c r="M1767" s="15">
        <v>43972</v>
      </c>
      <c r="N1767" s="40">
        <v>1</v>
      </c>
      <c r="O1767" s="40">
        <v>75004.17</v>
      </c>
      <c r="P1767" s="178">
        <v>38752.17</v>
      </c>
      <c r="Q1767" s="17">
        <f t="shared" si="40"/>
        <v>36252</v>
      </c>
      <c r="R1767" s="285" t="s">
        <v>5110</v>
      </c>
      <c r="S1767" s="14">
        <v>43875</v>
      </c>
      <c r="T1767" s="275" t="s">
        <v>9711</v>
      </c>
    </row>
    <row r="1768" spans="1:20" ht="117.75" customHeight="1" x14ac:dyDescent="0.2">
      <c r="A1768" s="21">
        <v>1796</v>
      </c>
      <c r="B1768" s="12" t="s">
        <v>9694</v>
      </c>
      <c r="C1768" s="289"/>
      <c r="D1768" s="9" t="s">
        <v>9712</v>
      </c>
      <c r="E1768" s="22" t="s">
        <v>9378</v>
      </c>
      <c r="F1768" s="9" t="s">
        <v>9713</v>
      </c>
      <c r="G1768" s="285" t="s">
        <v>4296</v>
      </c>
      <c r="H1768" s="285" t="s">
        <v>3793</v>
      </c>
      <c r="I1768" s="18"/>
      <c r="J1768" s="285" t="s">
        <v>3136</v>
      </c>
      <c r="K1768" s="14">
        <v>43999</v>
      </c>
      <c r="L1768" s="285">
        <v>531</v>
      </c>
      <c r="M1768" s="15">
        <v>43972</v>
      </c>
      <c r="N1768" s="40">
        <v>1</v>
      </c>
      <c r="O1768" s="40">
        <v>42575.33</v>
      </c>
      <c r="P1768" s="178">
        <v>21997.29</v>
      </c>
      <c r="Q1768" s="17">
        <f t="shared" si="40"/>
        <v>20578.04</v>
      </c>
      <c r="R1768" s="285" t="s">
        <v>5110</v>
      </c>
      <c r="S1768" s="14">
        <v>43894</v>
      </c>
      <c r="T1768" s="275" t="s">
        <v>9714</v>
      </c>
    </row>
    <row r="1769" spans="1:20" ht="117.75" customHeight="1" x14ac:dyDescent="0.2">
      <c r="A1769" s="21">
        <v>1797</v>
      </c>
      <c r="B1769" s="12" t="s">
        <v>9695</v>
      </c>
      <c r="C1769" s="289"/>
      <c r="D1769" s="9" t="s">
        <v>9715</v>
      </c>
      <c r="E1769" s="22" t="s">
        <v>8615</v>
      </c>
      <c r="F1769" s="9" t="s">
        <v>9716</v>
      </c>
      <c r="G1769" s="285" t="s">
        <v>4296</v>
      </c>
      <c r="H1769" s="285" t="s">
        <v>3793</v>
      </c>
      <c r="I1769" s="18"/>
      <c r="J1769" s="285" t="s">
        <v>3136</v>
      </c>
      <c r="K1769" s="14">
        <v>43999</v>
      </c>
      <c r="L1769" s="285">
        <v>531</v>
      </c>
      <c r="M1769" s="15">
        <v>43978</v>
      </c>
      <c r="N1769" s="40">
        <v>1</v>
      </c>
      <c r="O1769" s="40">
        <v>37880</v>
      </c>
      <c r="P1769" s="40">
        <v>37880</v>
      </c>
      <c r="Q1769" s="17">
        <f t="shared" si="40"/>
        <v>0</v>
      </c>
      <c r="R1769" s="285" t="s">
        <v>5110</v>
      </c>
      <c r="S1769" s="14">
        <v>43966</v>
      </c>
      <c r="T1769" s="275" t="s">
        <v>9717</v>
      </c>
    </row>
    <row r="1770" spans="1:20" ht="117.75" customHeight="1" x14ac:dyDescent="0.2">
      <c r="A1770" s="21">
        <v>1798</v>
      </c>
      <c r="B1770" s="12" t="s">
        <v>9696</v>
      </c>
      <c r="C1770" s="289"/>
      <c r="D1770" s="9" t="s">
        <v>9718</v>
      </c>
      <c r="E1770" s="22" t="s">
        <v>8615</v>
      </c>
      <c r="F1770" s="9" t="s">
        <v>9719</v>
      </c>
      <c r="G1770" s="285" t="s">
        <v>4296</v>
      </c>
      <c r="H1770" s="285" t="s">
        <v>3793</v>
      </c>
      <c r="I1770" s="18"/>
      <c r="J1770" s="285" t="s">
        <v>3136</v>
      </c>
      <c r="K1770" s="14">
        <v>43999</v>
      </c>
      <c r="L1770" s="285">
        <v>531</v>
      </c>
      <c r="M1770" s="15">
        <v>43979</v>
      </c>
      <c r="N1770" s="40">
        <v>1</v>
      </c>
      <c r="O1770" s="40">
        <v>23490</v>
      </c>
      <c r="P1770" s="40">
        <v>23490</v>
      </c>
      <c r="Q1770" s="17">
        <f t="shared" si="40"/>
        <v>0</v>
      </c>
      <c r="R1770" s="285" t="s">
        <v>5110</v>
      </c>
      <c r="S1770" s="14">
        <v>43971</v>
      </c>
      <c r="T1770" s="275" t="s">
        <v>9720</v>
      </c>
    </row>
    <row r="1771" spans="1:20" ht="124.5" customHeight="1" x14ac:dyDescent="0.2">
      <c r="A1771" s="21">
        <v>1799</v>
      </c>
      <c r="B1771" s="12" t="s">
        <v>9697</v>
      </c>
      <c r="C1771" s="289"/>
      <c r="D1771" s="9" t="s">
        <v>9725</v>
      </c>
      <c r="E1771" s="22" t="s">
        <v>9378</v>
      </c>
      <c r="F1771" s="9" t="s">
        <v>9723</v>
      </c>
      <c r="G1771" s="285" t="s">
        <v>7464</v>
      </c>
      <c r="H1771" s="285" t="s">
        <v>5127</v>
      </c>
      <c r="I1771" s="289"/>
      <c r="J1771" s="285" t="s">
        <v>3136</v>
      </c>
      <c r="K1771" s="14">
        <v>44005</v>
      </c>
      <c r="L1771" s="285">
        <v>545</v>
      </c>
      <c r="M1771" s="15">
        <v>43987</v>
      </c>
      <c r="N1771" s="40">
        <v>1</v>
      </c>
      <c r="O1771" s="40">
        <v>18900</v>
      </c>
      <c r="P1771" s="40">
        <v>18900</v>
      </c>
      <c r="Q1771" s="17">
        <f t="shared" si="40"/>
        <v>0</v>
      </c>
      <c r="R1771" s="285" t="s">
        <v>8148</v>
      </c>
      <c r="S1771" s="14">
        <v>43980</v>
      </c>
      <c r="T1771" s="275" t="s">
        <v>9724</v>
      </c>
    </row>
    <row r="1772" spans="1:20" ht="124.5" customHeight="1" x14ac:dyDescent="0.2">
      <c r="A1772" s="21">
        <v>1800</v>
      </c>
      <c r="B1772" s="12" t="s">
        <v>9726</v>
      </c>
      <c r="C1772" s="289"/>
      <c r="D1772" s="9" t="s">
        <v>5870</v>
      </c>
      <c r="E1772" s="22" t="s">
        <v>9378</v>
      </c>
      <c r="F1772" s="9" t="s">
        <v>9727</v>
      </c>
      <c r="G1772" s="285" t="s">
        <v>101</v>
      </c>
      <c r="H1772" s="285" t="s">
        <v>5127</v>
      </c>
      <c r="I1772" s="289"/>
      <c r="J1772" s="285" t="s">
        <v>3136</v>
      </c>
      <c r="K1772" s="14">
        <v>44005</v>
      </c>
      <c r="L1772" s="285">
        <v>546</v>
      </c>
      <c r="M1772" s="15">
        <v>43983</v>
      </c>
      <c r="N1772" s="40">
        <v>1</v>
      </c>
      <c r="O1772" s="40">
        <v>24580</v>
      </c>
      <c r="P1772" s="40">
        <v>24580</v>
      </c>
      <c r="Q1772" s="17">
        <f t="shared" si="40"/>
        <v>0</v>
      </c>
      <c r="R1772" s="285" t="s">
        <v>3418</v>
      </c>
      <c r="S1772" s="14">
        <v>43978</v>
      </c>
      <c r="T1772" s="275" t="s">
        <v>9728</v>
      </c>
    </row>
    <row r="1773" spans="1:20" ht="124.5" customHeight="1" x14ac:dyDescent="0.2">
      <c r="A1773" s="21">
        <v>1801</v>
      </c>
      <c r="B1773" s="12" t="s">
        <v>9729</v>
      </c>
      <c r="C1773" s="289"/>
      <c r="D1773" s="9" t="s">
        <v>9520</v>
      </c>
      <c r="E1773" s="22" t="s">
        <v>9378</v>
      </c>
      <c r="F1773" s="9" t="s">
        <v>9730</v>
      </c>
      <c r="G1773" s="285" t="s">
        <v>4296</v>
      </c>
      <c r="H1773" s="285" t="s">
        <v>3793</v>
      </c>
      <c r="I1773" s="18"/>
      <c r="J1773" s="285" t="s">
        <v>3136</v>
      </c>
      <c r="K1773" s="14">
        <v>44007</v>
      </c>
      <c r="L1773" s="285">
        <v>554</v>
      </c>
      <c r="M1773" s="15">
        <v>43985</v>
      </c>
      <c r="N1773" s="40">
        <v>1</v>
      </c>
      <c r="O1773" s="40">
        <v>49134.16</v>
      </c>
      <c r="P1773" s="178">
        <v>12283.5</v>
      </c>
      <c r="Q1773" s="17">
        <f t="shared" si="40"/>
        <v>36850.660000000003</v>
      </c>
      <c r="R1773" s="285" t="s">
        <v>5110</v>
      </c>
      <c r="S1773" s="14">
        <v>43913</v>
      </c>
      <c r="T1773" s="275" t="s">
        <v>9731</v>
      </c>
    </row>
    <row r="1774" spans="1:20" ht="45" customHeight="1" x14ac:dyDescent="0.2">
      <c r="A1774" s="21">
        <v>1802</v>
      </c>
      <c r="B1774" s="12" t="s">
        <v>9732</v>
      </c>
      <c r="C1774" s="289"/>
      <c r="D1774" s="9" t="s">
        <v>9735</v>
      </c>
      <c r="E1774" s="22" t="s">
        <v>9378</v>
      </c>
      <c r="F1774" s="9" t="s">
        <v>9733</v>
      </c>
      <c r="G1774" s="285" t="s">
        <v>4296</v>
      </c>
      <c r="H1774" s="285" t="s">
        <v>3793</v>
      </c>
      <c r="I1774" s="18"/>
      <c r="J1774" s="285" t="s">
        <v>3136</v>
      </c>
      <c r="K1774" s="14">
        <v>44007</v>
      </c>
      <c r="L1774" s="285">
        <v>554</v>
      </c>
      <c r="M1774" s="15">
        <v>43929</v>
      </c>
      <c r="N1774" s="40">
        <v>1</v>
      </c>
      <c r="O1774" s="40">
        <v>55460</v>
      </c>
      <c r="P1774" s="178">
        <v>49297.919999999998</v>
      </c>
      <c r="Q1774" s="17">
        <f t="shared" si="40"/>
        <v>6162.0800000000017</v>
      </c>
      <c r="R1774" s="285" t="s">
        <v>5110</v>
      </c>
      <c r="S1774" s="14">
        <v>43902</v>
      </c>
      <c r="T1774" s="275" t="s">
        <v>9734</v>
      </c>
    </row>
    <row r="1775" spans="1:20" ht="222" customHeight="1" x14ac:dyDescent="0.2">
      <c r="A1775" s="21">
        <v>1803</v>
      </c>
      <c r="B1775" s="12" t="s">
        <v>9752</v>
      </c>
      <c r="C1775" s="289"/>
      <c r="D1775" s="9" t="s">
        <v>9753</v>
      </c>
      <c r="E1775" s="22" t="s">
        <v>9378</v>
      </c>
      <c r="F1775" s="9" t="s">
        <v>9754</v>
      </c>
      <c r="G1775" s="285" t="s">
        <v>101</v>
      </c>
      <c r="H1775" s="285" t="s">
        <v>5127</v>
      </c>
      <c r="I1775" s="289"/>
      <c r="J1775" s="285" t="s">
        <v>3136</v>
      </c>
      <c r="K1775" s="14">
        <v>44007</v>
      </c>
      <c r="L1775" s="285">
        <v>553</v>
      </c>
      <c r="M1775" s="15">
        <v>43990</v>
      </c>
      <c r="N1775" s="40">
        <v>1</v>
      </c>
      <c r="O1775" s="40">
        <v>26900</v>
      </c>
      <c r="P1775" s="40">
        <v>26900</v>
      </c>
      <c r="Q1775" s="17">
        <f t="shared" si="40"/>
        <v>0</v>
      </c>
      <c r="R1775" s="285" t="s">
        <v>3493</v>
      </c>
      <c r="S1775" s="14">
        <v>43887</v>
      </c>
      <c r="T1775" s="285" t="s">
        <v>9744</v>
      </c>
    </row>
    <row r="1776" spans="1:20" ht="216" customHeight="1" x14ac:dyDescent="0.2">
      <c r="A1776" s="21">
        <v>1804</v>
      </c>
      <c r="B1776" s="12" t="s">
        <v>9760</v>
      </c>
      <c r="C1776" s="289"/>
      <c r="D1776" s="9" t="s">
        <v>9761</v>
      </c>
      <c r="E1776" s="22" t="s">
        <v>9378</v>
      </c>
      <c r="F1776" s="9" t="s">
        <v>9762</v>
      </c>
      <c r="G1776" s="285" t="s">
        <v>7981</v>
      </c>
      <c r="H1776" s="285" t="s">
        <v>5127</v>
      </c>
      <c r="I1776" s="289"/>
      <c r="J1776" s="285" t="s">
        <v>3136</v>
      </c>
      <c r="K1776" s="14">
        <v>44011</v>
      </c>
      <c r="L1776" s="285">
        <v>565</v>
      </c>
      <c r="M1776" s="15">
        <v>44005</v>
      </c>
      <c r="N1776" s="40">
        <v>2</v>
      </c>
      <c r="O1776" s="40">
        <v>30316</v>
      </c>
      <c r="P1776" s="40">
        <v>30316</v>
      </c>
      <c r="Q1776" s="17">
        <f t="shared" si="40"/>
        <v>0</v>
      </c>
      <c r="R1776" s="285" t="s">
        <v>5345</v>
      </c>
      <c r="S1776" s="14">
        <v>43985</v>
      </c>
      <c r="T1776" s="285">
        <v>300</v>
      </c>
    </row>
    <row r="1777" spans="1:20" ht="54" customHeight="1" x14ac:dyDescent="0.2">
      <c r="A1777" s="21">
        <v>1805</v>
      </c>
      <c r="B1777" s="12" t="s">
        <v>9763</v>
      </c>
      <c r="C1777" s="289"/>
      <c r="D1777" s="9" t="s">
        <v>9764</v>
      </c>
      <c r="E1777" s="22" t="s">
        <v>9378</v>
      </c>
      <c r="F1777" s="9" t="s">
        <v>9765</v>
      </c>
      <c r="G1777" s="285" t="s">
        <v>2436</v>
      </c>
      <c r="H1777" s="285" t="s">
        <v>5127</v>
      </c>
      <c r="I1777" s="289"/>
      <c r="J1777" s="285" t="s">
        <v>3136</v>
      </c>
      <c r="K1777" s="14">
        <v>44011</v>
      </c>
      <c r="L1777" s="285">
        <v>564</v>
      </c>
      <c r="M1777" s="15">
        <v>44005</v>
      </c>
      <c r="N1777" s="40">
        <v>1</v>
      </c>
      <c r="O1777" s="40">
        <v>14000</v>
      </c>
      <c r="P1777" s="40">
        <v>14000</v>
      </c>
      <c r="Q1777" s="17">
        <f t="shared" si="40"/>
        <v>0</v>
      </c>
      <c r="R1777" s="285" t="s">
        <v>3418</v>
      </c>
      <c r="S1777" s="14">
        <v>43971</v>
      </c>
      <c r="T1777" s="285" t="s">
        <v>9766</v>
      </c>
    </row>
    <row r="1778" spans="1:20" ht="85.5" customHeight="1" x14ac:dyDescent="0.2">
      <c r="A1778" s="21">
        <v>1806</v>
      </c>
      <c r="B1778" s="12" t="s">
        <v>9823</v>
      </c>
      <c r="C1778" s="289"/>
      <c r="D1778" s="9" t="s">
        <v>9780</v>
      </c>
      <c r="E1778" s="22" t="s">
        <v>9378</v>
      </c>
      <c r="F1778" s="9" t="s">
        <v>10303</v>
      </c>
      <c r="G1778" s="285" t="s">
        <v>792</v>
      </c>
      <c r="H1778" s="285" t="s">
        <v>5127</v>
      </c>
      <c r="I1778" s="289"/>
      <c r="J1778" s="285" t="s">
        <v>3136</v>
      </c>
      <c r="K1778" s="14">
        <v>44063</v>
      </c>
      <c r="L1778" s="285">
        <v>695</v>
      </c>
      <c r="M1778" s="15">
        <v>43997</v>
      </c>
      <c r="N1778" s="40">
        <v>1</v>
      </c>
      <c r="O1778" s="40">
        <v>36815</v>
      </c>
      <c r="P1778" s="40">
        <v>36815</v>
      </c>
      <c r="Q1778" s="17">
        <f t="shared" si="40"/>
        <v>0</v>
      </c>
      <c r="R1778" s="285" t="s">
        <v>9768</v>
      </c>
      <c r="S1778" s="14">
        <v>43936</v>
      </c>
      <c r="T1778" s="285">
        <v>508</v>
      </c>
    </row>
    <row r="1779" spans="1:20" ht="147" customHeight="1" x14ac:dyDescent="0.2">
      <c r="A1779" s="21">
        <v>1807</v>
      </c>
      <c r="B1779" s="12" t="s">
        <v>9794</v>
      </c>
      <c r="C1779" s="289"/>
      <c r="D1779" s="9" t="s">
        <v>9781</v>
      </c>
      <c r="E1779" s="22" t="s">
        <v>9378</v>
      </c>
      <c r="F1779" s="9"/>
      <c r="G1779" s="285" t="s">
        <v>7982</v>
      </c>
      <c r="H1779" s="285" t="s">
        <v>5127</v>
      </c>
      <c r="I1779" s="289"/>
      <c r="J1779" s="285" t="s">
        <v>3136</v>
      </c>
      <c r="K1779" s="14">
        <v>44040</v>
      </c>
      <c r="L1779" s="285">
        <v>655</v>
      </c>
      <c r="M1779" s="15">
        <v>43999</v>
      </c>
      <c r="N1779" s="62">
        <f>2-1</f>
        <v>1</v>
      </c>
      <c r="O1779" s="62">
        <f>225612.3-112806.15</f>
        <v>112806.15</v>
      </c>
      <c r="P1779" s="62">
        <v>54522.9</v>
      </c>
      <c r="Q1779" s="34">
        <f t="shared" ref="Q1779:Q1802" si="41">O1779-P1779</f>
        <v>58283.249999999993</v>
      </c>
      <c r="R1779" s="285" t="s">
        <v>9768</v>
      </c>
      <c r="S1779" s="14">
        <v>43936</v>
      </c>
      <c r="T1779" s="285">
        <v>493</v>
      </c>
    </row>
    <row r="1780" spans="1:20" ht="36.75" customHeight="1" x14ac:dyDescent="0.2">
      <c r="A1780" s="21">
        <v>1808</v>
      </c>
      <c r="B1780" s="12" t="s">
        <v>9794</v>
      </c>
      <c r="C1780" s="289"/>
      <c r="D1780" s="9" t="s">
        <v>9781</v>
      </c>
      <c r="E1780" s="22" t="s">
        <v>9378</v>
      </c>
      <c r="F1780" s="9" t="s">
        <v>9797</v>
      </c>
      <c r="G1780" s="285" t="s">
        <v>7917</v>
      </c>
      <c r="H1780" s="285" t="s">
        <v>5127</v>
      </c>
      <c r="I1780" s="289"/>
      <c r="J1780" s="285" t="s">
        <v>3136</v>
      </c>
      <c r="K1780" s="14">
        <v>44019</v>
      </c>
      <c r="L1780" s="285">
        <v>598</v>
      </c>
      <c r="M1780" s="15">
        <v>43999</v>
      </c>
      <c r="N1780" s="62">
        <v>1</v>
      </c>
      <c r="O1780" s="62">
        <v>112806.15</v>
      </c>
      <c r="P1780" s="62">
        <v>54522.9</v>
      </c>
      <c r="Q1780" s="34">
        <f t="shared" si="41"/>
        <v>58283.249999999993</v>
      </c>
      <c r="R1780" s="285" t="s">
        <v>9768</v>
      </c>
      <c r="S1780" s="14">
        <v>43936</v>
      </c>
      <c r="T1780" s="285">
        <v>493</v>
      </c>
    </row>
    <row r="1781" spans="1:20" ht="120.75" customHeight="1" x14ac:dyDescent="0.2">
      <c r="A1781" s="21">
        <v>1809</v>
      </c>
      <c r="B1781" s="12" t="s">
        <v>9792</v>
      </c>
      <c r="C1781" s="289"/>
      <c r="D1781" s="9" t="s">
        <v>9782</v>
      </c>
      <c r="E1781" s="22" t="s">
        <v>9378</v>
      </c>
      <c r="F1781" s="9"/>
      <c r="G1781" s="285" t="s">
        <v>7982</v>
      </c>
      <c r="H1781" s="285" t="s">
        <v>5127</v>
      </c>
      <c r="I1781" s="289"/>
      <c r="J1781" s="285" t="s">
        <v>3136</v>
      </c>
      <c r="K1781" s="14">
        <v>44040</v>
      </c>
      <c r="L1781" s="285">
        <v>655</v>
      </c>
      <c r="M1781" s="15">
        <v>43999</v>
      </c>
      <c r="N1781" s="62">
        <f>2-1</f>
        <v>1</v>
      </c>
      <c r="O1781" s="62">
        <f>6563.92-3281.96</f>
        <v>3281.96</v>
      </c>
      <c r="P1781" s="62">
        <v>3281.96</v>
      </c>
      <c r="Q1781" s="34">
        <f t="shared" si="41"/>
        <v>0</v>
      </c>
      <c r="R1781" s="285" t="s">
        <v>9768</v>
      </c>
      <c r="S1781" s="14">
        <v>43936</v>
      </c>
      <c r="T1781" s="285">
        <v>493</v>
      </c>
    </row>
    <row r="1782" spans="1:20" ht="36.75" customHeight="1" x14ac:dyDescent="0.2">
      <c r="A1782" s="21">
        <v>1810</v>
      </c>
      <c r="B1782" s="12" t="s">
        <v>9792</v>
      </c>
      <c r="C1782" s="289"/>
      <c r="D1782" s="9" t="s">
        <v>9782</v>
      </c>
      <c r="E1782" s="22" t="s">
        <v>9378</v>
      </c>
      <c r="F1782" s="9"/>
      <c r="G1782" s="285" t="s">
        <v>7917</v>
      </c>
      <c r="H1782" s="285" t="s">
        <v>5127</v>
      </c>
      <c r="I1782" s="289"/>
      <c r="J1782" s="285" t="s">
        <v>3136</v>
      </c>
      <c r="K1782" s="14">
        <v>44019</v>
      </c>
      <c r="L1782" s="285">
        <v>598</v>
      </c>
      <c r="M1782" s="15">
        <v>43999</v>
      </c>
      <c r="N1782" s="62">
        <v>1</v>
      </c>
      <c r="O1782" s="62">
        <v>3281.96</v>
      </c>
      <c r="P1782" s="62">
        <v>3281.96</v>
      </c>
      <c r="Q1782" s="34">
        <f t="shared" si="41"/>
        <v>0</v>
      </c>
      <c r="R1782" s="285" t="s">
        <v>9768</v>
      </c>
      <c r="S1782" s="14">
        <v>43936</v>
      </c>
      <c r="T1782" s="285">
        <v>493</v>
      </c>
    </row>
    <row r="1783" spans="1:20" ht="122.25" customHeight="1" x14ac:dyDescent="0.2">
      <c r="A1783" s="21">
        <v>1811</v>
      </c>
      <c r="B1783" s="12" t="s">
        <v>9791</v>
      </c>
      <c r="C1783" s="289"/>
      <c r="D1783" s="9" t="s">
        <v>9783</v>
      </c>
      <c r="E1783" s="22" t="s">
        <v>9378</v>
      </c>
      <c r="F1783" s="9"/>
      <c r="G1783" s="285" t="s">
        <v>7982</v>
      </c>
      <c r="H1783" s="285" t="s">
        <v>5127</v>
      </c>
      <c r="I1783" s="289"/>
      <c r="J1783" s="285" t="s">
        <v>3136</v>
      </c>
      <c r="K1783" s="14">
        <v>44040</v>
      </c>
      <c r="L1783" s="285">
        <v>655</v>
      </c>
      <c r="M1783" s="15">
        <v>43999</v>
      </c>
      <c r="N1783" s="62">
        <f>2-1</f>
        <v>1</v>
      </c>
      <c r="O1783" s="62">
        <f>73644.94-36822.47</f>
        <v>36822.47</v>
      </c>
      <c r="P1783" s="62">
        <f>73644.94-36822.47</f>
        <v>36822.47</v>
      </c>
      <c r="Q1783" s="34">
        <f t="shared" si="41"/>
        <v>0</v>
      </c>
      <c r="R1783" s="285" t="s">
        <v>9768</v>
      </c>
      <c r="S1783" s="14">
        <v>43936</v>
      </c>
      <c r="T1783" s="285">
        <v>493</v>
      </c>
    </row>
    <row r="1784" spans="1:20" ht="39.75" customHeight="1" x14ac:dyDescent="0.2">
      <c r="A1784" s="21">
        <v>1812</v>
      </c>
      <c r="B1784" s="12" t="s">
        <v>9791</v>
      </c>
      <c r="C1784" s="289"/>
      <c r="D1784" s="9" t="s">
        <v>9783</v>
      </c>
      <c r="E1784" s="22" t="s">
        <v>9378</v>
      </c>
      <c r="F1784" s="9" t="s">
        <v>9795</v>
      </c>
      <c r="G1784" s="285" t="s">
        <v>7917</v>
      </c>
      <c r="H1784" s="285" t="s">
        <v>5127</v>
      </c>
      <c r="I1784" s="18"/>
      <c r="J1784" s="285" t="s">
        <v>3136</v>
      </c>
      <c r="K1784" s="14">
        <v>44019</v>
      </c>
      <c r="L1784" s="285">
        <v>598</v>
      </c>
      <c r="M1784" s="15">
        <v>43999</v>
      </c>
      <c r="N1784" s="62">
        <v>1</v>
      </c>
      <c r="O1784" s="62">
        <v>36822.47</v>
      </c>
      <c r="P1784" s="62">
        <v>36822.47</v>
      </c>
      <c r="Q1784" s="34">
        <f t="shared" si="41"/>
        <v>0</v>
      </c>
      <c r="R1784" s="285" t="s">
        <v>9768</v>
      </c>
      <c r="S1784" s="14">
        <v>43936</v>
      </c>
      <c r="T1784" s="285">
        <v>493</v>
      </c>
    </row>
    <row r="1785" spans="1:20" ht="123" customHeight="1" x14ac:dyDescent="0.2">
      <c r="A1785" s="21">
        <v>1813</v>
      </c>
      <c r="B1785" s="12" t="s">
        <v>9793</v>
      </c>
      <c r="C1785" s="289"/>
      <c r="D1785" s="9" t="s">
        <v>9784</v>
      </c>
      <c r="E1785" s="22" t="s">
        <v>9378</v>
      </c>
      <c r="F1785" s="9"/>
      <c r="G1785" s="285" t="s">
        <v>7982</v>
      </c>
      <c r="H1785" s="285" t="s">
        <v>5127</v>
      </c>
      <c r="I1785" s="289"/>
      <c r="J1785" s="285" t="s">
        <v>3136</v>
      </c>
      <c r="K1785" s="14">
        <v>44040</v>
      </c>
      <c r="L1785" s="285">
        <v>655</v>
      </c>
      <c r="M1785" s="15">
        <v>43999</v>
      </c>
      <c r="N1785" s="62">
        <f>2-1</f>
        <v>1</v>
      </c>
      <c r="O1785" s="62">
        <f>25394.94-12697.47</f>
        <v>12697.47</v>
      </c>
      <c r="P1785" s="62">
        <f>25394.94-12697.47</f>
        <v>12697.47</v>
      </c>
      <c r="Q1785" s="34">
        <f t="shared" si="41"/>
        <v>0</v>
      </c>
      <c r="R1785" s="285" t="s">
        <v>9768</v>
      </c>
      <c r="S1785" s="14">
        <v>43936</v>
      </c>
      <c r="T1785" s="285">
        <v>493</v>
      </c>
    </row>
    <row r="1786" spans="1:20" ht="39.75" customHeight="1" x14ac:dyDescent="0.2">
      <c r="A1786" s="21">
        <v>1814</v>
      </c>
      <c r="B1786" s="12" t="s">
        <v>9793</v>
      </c>
      <c r="C1786" s="289"/>
      <c r="D1786" s="9" t="s">
        <v>9784</v>
      </c>
      <c r="E1786" s="22" t="s">
        <v>9378</v>
      </c>
      <c r="F1786" s="9" t="s">
        <v>9796</v>
      </c>
      <c r="G1786" s="285" t="s">
        <v>7917</v>
      </c>
      <c r="H1786" s="285" t="s">
        <v>5127</v>
      </c>
      <c r="I1786" s="289"/>
      <c r="J1786" s="285" t="s">
        <v>3136</v>
      </c>
      <c r="K1786" s="14">
        <v>44019</v>
      </c>
      <c r="L1786" s="285">
        <v>598</v>
      </c>
      <c r="M1786" s="15">
        <v>43999</v>
      </c>
      <c r="N1786" s="62">
        <v>1</v>
      </c>
      <c r="O1786" s="62">
        <v>12697.47</v>
      </c>
      <c r="P1786" s="62">
        <v>12697.47</v>
      </c>
      <c r="Q1786" s="34">
        <f t="shared" si="41"/>
        <v>0</v>
      </c>
      <c r="R1786" s="285" t="s">
        <v>9768</v>
      </c>
      <c r="S1786" s="14">
        <v>43936</v>
      </c>
      <c r="T1786" s="285">
        <v>493</v>
      </c>
    </row>
    <row r="1787" spans="1:20" ht="123" customHeight="1" x14ac:dyDescent="0.2">
      <c r="A1787" s="21">
        <v>1815</v>
      </c>
      <c r="B1787" s="12" t="s">
        <v>9837</v>
      </c>
      <c r="C1787" s="289"/>
      <c r="D1787" s="9" t="s">
        <v>9785</v>
      </c>
      <c r="E1787" s="22" t="s">
        <v>9378</v>
      </c>
      <c r="F1787" s="9" t="s">
        <v>9845</v>
      </c>
      <c r="G1787" s="285" t="s">
        <v>2436</v>
      </c>
      <c r="H1787" s="285" t="s">
        <v>5127</v>
      </c>
      <c r="I1787" s="289"/>
      <c r="J1787" s="285" t="s">
        <v>3136</v>
      </c>
      <c r="K1787" s="14">
        <v>44063</v>
      </c>
      <c r="L1787" s="285">
        <v>691</v>
      </c>
      <c r="M1787" s="15">
        <v>43999</v>
      </c>
      <c r="N1787" s="40">
        <v>15</v>
      </c>
      <c r="O1787" s="40">
        <f>15*35982</f>
        <v>539730</v>
      </c>
      <c r="P1787" s="40">
        <f>O1787</f>
        <v>539730</v>
      </c>
      <c r="Q1787" s="17">
        <f t="shared" si="41"/>
        <v>0</v>
      </c>
      <c r="R1787" s="285" t="s">
        <v>9768</v>
      </c>
      <c r="S1787" s="14">
        <v>43936</v>
      </c>
      <c r="T1787" s="285">
        <v>505</v>
      </c>
    </row>
    <row r="1788" spans="1:20" ht="78" customHeight="1" x14ac:dyDescent="0.2">
      <c r="A1788" s="21">
        <v>1816</v>
      </c>
      <c r="B1788" s="12" t="s">
        <v>9838</v>
      </c>
      <c r="C1788" s="289"/>
      <c r="D1788" s="9" t="s">
        <v>9786</v>
      </c>
      <c r="E1788" s="22" t="s">
        <v>9378</v>
      </c>
      <c r="F1788" s="9"/>
      <c r="G1788" s="285" t="s">
        <v>2436</v>
      </c>
      <c r="H1788" s="285" t="s">
        <v>5127</v>
      </c>
      <c r="I1788" s="289"/>
      <c r="J1788" s="285" t="s">
        <v>3136</v>
      </c>
      <c r="K1788" s="14">
        <v>44063</v>
      </c>
      <c r="L1788" s="285">
        <v>691</v>
      </c>
      <c r="M1788" s="15">
        <v>43999</v>
      </c>
      <c r="N1788" s="40">
        <f>15</f>
        <v>15</v>
      </c>
      <c r="O1788" s="40">
        <f>15*2736</f>
        <v>41040</v>
      </c>
      <c r="P1788" s="40">
        <v>41040</v>
      </c>
      <c r="Q1788" s="17">
        <f t="shared" si="41"/>
        <v>0</v>
      </c>
      <c r="R1788" s="285" t="s">
        <v>9768</v>
      </c>
      <c r="S1788" s="14">
        <v>43936</v>
      </c>
      <c r="T1788" s="285">
        <v>505</v>
      </c>
    </row>
    <row r="1789" spans="1:20" ht="78" customHeight="1" x14ac:dyDescent="0.2">
      <c r="A1789" s="21">
        <v>1817</v>
      </c>
      <c r="B1789" s="12" t="s">
        <v>9841</v>
      </c>
      <c r="C1789" s="289"/>
      <c r="D1789" s="9" t="s">
        <v>9787</v>
      </c>
      <c r="E1789" s="22" t="s">
        <v>9378</v>
      </c>
      <c r="F1789" s="9" t="s">
        <v>9846</v>
      </c>
      <c r="G1789" s="285" t="s">
        <v>2436</v>
      </c>
      <c r="H1789" s="285" t="s">
        <v>5127</v>
      </c>
      <c r="I1789" s="289"/>
      <c r="J1789" s="285" t="s">
        <v>3136</v>
      </c>
      <c r="K1789" s="14">
        <v>44063</v>
      </c>
      <c r="L1789" s="285">
        <v>691</v>
      </c>
      <c r="M1789" s="15">
        <v>43999</v>
      </c>
      <c r="N1789" s="40">
        <v>1</v>
      </c>
      <c r="O1789" s="40">
        <v>53954</v>
      </c>
      <c r="P1789" s="40">
        <v>53954</v>
      </c>
      <c r="Q1789" s="17">
        <f t="shared" si="41"/>
        <v>0</v>
      </c>
      <c r="R1789" s="285" t="s">
        <v>9768</v>
      </c>
      <c r="S1789" s="14">
        <v>43936</v>
      </c>
      <c r="T1789" s="285">
        <v>505</v>
      </c>
    </row>
    <row r="1790" spans="1:20" ht="123" customHeight="1" x14ac:dyDescent="0.2">
      <c r="A1790" s="21">
        <v>1818</v>
      </c>
      <c r="B1790" s="12" t="s">
        <v>9839</v>
      </c>
      <c r="C1790" s="289"/>
      <c r="D1790" s="9" t="s">
        <v>9788</v>
      </c>
      <c r="E1790" s="22" t="s">
        <v>9378</v>
      </c>
      <c r="F1790" s="9"/>
      <c r="G1790" s="285" t="s">
        <v>2436</v>
      </c>
      <c r="H1790" s="285" t="s">
        <v>5127</v>
      </c>
      <c r="I1790" s="289"/>
      <c r="J1790" s="285" t="s">
        <v>3136</v>
      </c>
      <c r="K1790" s="14">
        <v>44063</v>
      </c>
      <c r="L1790" s="285">
        <v>691</v>
      </c>
      <c r="M1790" s="15">
        <v>43999</v>
      </c>
      <c r="N1790" s="40">
        <v>15</v>
      </c>
      <c r="O1790" s="40">
        <v>6255</v>
      </c>
      <c r="P1790" s="40">
        <v>6255</v>
      </c>
      <c r="Q1790" s="17">
        <f t="shared" si="41"/>
        <v>0</v>
      </c>
      <c r="R1790" s="285" t="s">
        <v>9768</v>
      </c>
      <c r="S1790" s="14">
        <v>43936</v>
      </c>
      <c r="T1790" s="285">
        <v>505</v>
      </c>
    </row>
    <row r="1791" spans="1:20" ht="123" customHeight="1" x14ac:dyDescent="0.2">
      <c r="A1791" s="21">
        <v>1819</v>
      </c>
      <c r="B1791" s="12" t="s">
        <v>9840</v>
      </c>
      <c r="C1791" s="289"/>
      <c r="D1791" s="9" t="s">
        <v>9789</v>
      </c>
      <c r="E1791" s="22" t="s">
        <v>9378</v>
      </c>
      <c r="F1791" s="9"/>
      <c r="G1791" s="285" t="s">
        <v>2436</v>
      </c>
      <c r="H1791" s="285" t="s">
        <v>5127</v>
      </c>
      <c r="I1791" s="289"/>
      <c r="J1791" s="285" t="s">
        <v>3136</v>
      </c>
      <c r="K1791" s="14">
        <v>44063</v>
      </c>
      <c r="L1791" s="285">
        <v>691</v>
      </c>
      <c r="M1791" s="15">
        <v>43999</v>
      </c>
      <c r="N1791" s="40">
        <v>15</v>
      </c>
      <c r="O1791" s="40">
        <v>4380</v>
      </c>
      <c r="P1791" s="40">
        <v>4380</v>
      </c>
      <c r="Q1791" s="17">
        <f t="shared" si="41"/>
        <v>0</v>
      </c>
      <c r="R1791" s="285" t="s">
        <v>9768</v>
      </c>
      <c r="S1791" s="14">
        <v>43936</v>
      </c>
      <c r="T1791" s="285">
        <v>505</v>
      </c>
    </row>
    <row r="1792" spans="1:20" ht="132.75" customHeight="1" x14ac:dyDescent="0.2">
      <c r="A1792" s="21">
        <v>1820</v>
      </c>
      <c r="B1792" s="12" t="s">
        <v>9842</v>
      </c>
      <c r="C1792" s="289"/>
      <c r="D1792" s="9" t="s">
        <v>9790</v>
      </c>
      <c r="E1792" s="22" t="s">
        <v>9378</v>
      </c>
      <c r="F1792" s="9" t="s">
        <v>9847</v>
      </c>
      <c r="G1792" s="285" t="s">
        <v>2436</v>
      </c>
      <c r="H1792" s="285" t="s">
        <v>5127</v>
      </c>
      <c r="I1792" s="289"/>
      <c r="J1792" s="285" t="s">
        <v>3136</v>
      </c>
      <c r="K1792" s="14">
        <v>44063</v>
      </c>
      <c r="L1792" s="285">
        <v>691</v>
      </c>
      <c r="M1792" s="15">
        <v>43999</v>
      </c>
      <c r="N1792" s="40">
        <v>1</v>
      </c>
      <c r="O1792" s="40">
        <v>37853</v>
      </c>
      <c r="P1792" s="40">
        <v>37853</v>
      </c>
      <c r="Q1792" s="17">
        <f t="shared" si="41"/>
        <v>0</v>
      </c>
      <c r="R1792" s="285" t="s">
        <v>9768</v>
      </c>
      <c r="S1792" s="14">
        <v>43936</v>
      </c>
      <c r="T1792" s="285">
        <v>505</v>
      </c>
    </row>
    <row r="1793" spans="1:20" ht="132.75" customHeight="1" x14ac:dyDescent="0.2">
      <c r="A1793" s="21">
        <v>1821</v>
      </c>
      <c r="B1793" s="12" t="s">
        <v>9843</v>
      </c>
      <c r="C1793" s="289"/>
      <c r="D1793" s="9" t="s">
        <v>9784</v>
      </c>
      <c r="E1793" s="22" t="s">
        <v>9378</v>
      </c>
      <c r="F1793" s="9" t="s">
        <v>9848</v>
      </c>
      <c r="G1793" s="285" t="s">
        <v>2436</v>
      </c>
      <c r="H1793" s="285" t="s">
        <v>5127</v>
      </c>
      <c r="I1793" s="289"/>
      <c r="J1793" s="285" t="s">
        <v>3136</v>
      </c>
      <c r="K1793" s="14">
        <v>44063</v>
      </c>
      <c r="L1793" s="285">
        <v>691</v>
      </c>
      <c r="M1793" s="15">
        <v>43999</v>
      </c>
      <c r="N1793" s="40">
        <v>1</v>
      </c>
      <c r="O1793" s="40">
        <v>10248</v>
      </c>
      <c r="P1793" s="40">
        <v>10248</v>
      </c>
      <c r="Q1793" s="17">
        <f t="shared" si="41"/>
        <v>0</v>
      </c>
      <c r="R1793" s="285" t="s">
        <v>9768</v>
      </c>
      <c r="S1793" s="14">
        <v>43936</v>
      </c>
      <c r="T1793" s="285">
        <v>505</v>
      </c>
    </row>
    <row r="1794" spans="1:20" ht="123.75" customHeight="1" x14ac:dyDescent="0.2">
      <c r="A1794" s="21">
        <v>1822</v>
      </c>
      <c r="B1794" s="12" t="s">
        <v>9810</v>
      </c>
      <c r="C1794" s="289"/>
      <c r="D1794" s="9" t="s">
        <v>9826</v>
      </c>
      <c r="E1794" s="22" t="s">
        <v>9378</v>
      </c>
      <c r="F1794" s="9" t="s">
        <v>9809</v>
      </c>
      <c r="G1794" s="285" t="s">
        <v>4296</v>
      </c>
      <c r="H1794" s="285" t="s">
        <v>3793</v>
      </c>
      <c r="I1794" s="289"/>
      <c r="J1794" s="285" t="s">
        <v>3136</v>
      </c>
      <c r="K1794" s="14">
        <v>44040</v>
      </c>
      <c r="L1794" s="285">
        <v>657</v>
      </c>
      <c r="M1794" s="15">
        <v>44022</v>
      </c>
      <c r="N1794" s="40">
        <v>1</v>
      </c>
      <c r="O1794" s="40">
        <v>24990</v>
      </c>
      <c r="P1794" s="40">
        <v>24990</v>
      </c>
      <c r="Q1794" s="17">
        <f t="shared" si="41"/>
        <v>0</v>
      </c>
      <c r="R1794" s="285" t="s">
        <v>9040</v>
      </c>
      <c r="S1794" s="14">
        <v>44019</v>
      </c>
      <c r="T1794" s="285">
        <v>319</v>
      </c>
    </row>
    <row r="1795" spans="1:20" ht="123.75" customHeight="1" x14ac:dyDescent="0.2">
      <c r="A1795" s="21">
        <v>1823</v>
      </c>
      <c r="B1795" s="12" t="s">
        <v>9811</v>
      </c>
      <c r="C1795" s="289"/>
      <c r="D1795" s="9" t="s">
        <v>9816</v>
      </c>
      <c r="E1795" s="22" t="s">
        <v>9378</v>
      </c>
      <c r="F1795" s="9" t="s">
        <v>9817</v>
      </c>
      <c r="G1795" s="285" t="s">
        <v>7983</v>
      </c>
      <c r="H1795" s="285" t="s">
        <v>5127</v>
      </c>
      <c r="I1795" s="289"/>
      <c r="J1795" s="285" t="s">
        <v>3136</v>
      </c>
      <c r="K1795" s="14">
        <v>44040</v>
      </c>
      <c r="L1795" s="285">
        <v>656</v>
      </c>
      <c r="M1795" s="15">
        <v>43914</v>
      </c>
      <c r="N1795" s="40">
        <v>1</v>
      </c>
      <c r="O1795" s="40">
        <v>19940</v>
      </c>
      <c r="P1795" s="40">
        <v>19940</v>
      </c>
      <c r="Q1795" s="17">
        <f t="shared" si="41"/>
        <v>0</v>
      </c>
      <c r="R1795" s="285" t="s">
        <v>7630</v>
      </c>
      <c r="S1795" s="14">
        <v>43914</v>
      </c>
      <c r="T1795" s="285" t="s">
        <v>9812</v>
      </c>
    </row>
    <row r="1796" spans="1:20" ht="65.25" customHeight="1" x14ac:dyDescent="0.2">
      <c r="A1796" s="21">
        <v>1824</v>
      </c>
      <c r="B1796" s="12" t="s">
        <v>9836</v>
      </c>
      <c r="C1796" s="18"/>
      <c r="D1796" s="9" t="s">
        <v>9504</v>
      </c>
      <c r="E1796" s="289">
        <v>2020</v>
      </c>
      <c r="F1796" s="9" t="s">
        <v>9844</v>
      </c>
      <c r="G1796" s="285" t="s">
        <v>2436</v>
      </c>
      <c r="H1796" s="285" t="s">
        <v>5127</v>
      </c>
      <c r="I1796" s="289"/>
      <c r="J1796" s="285" t="s">
        <v>3136</v>
      </c>
      <c r="K1796" s="14">
        <v>44063</v>
      </c>
      <c r="L1796" s="285">
        <v>691</v>
      </c>
      <c r="M1796" s="15">
        <v>43980</v>
      </c>
      <c r="N1796" s="40">
        <v>2</v>
      </c>
      <c r="O1796" s="40">
        <v>22374</v>
      </c>
      <c r="P1796" s="40">
        <v>22374</v>
      </c>
      <c r="Q1796" s="17">
        <f t="shared" si="41"/>
        <v>0</v>
      </c>
      <c r="R1796" s="285" t="s">
        <v>9768</v>
      </c>
      <c r="S1796" s="14">
        <v>43980</v>
      </c>
      <c r="T1796" s="285">
        <v>658</v>
      </c>
    </row>
    <row r="1797" spans="1:20" ht="65.25" customHeight="1" x14ac:dyDescent="0.2">
      <c r="A1797" s="21">
        <v>1825</v>
      </c>
      <c r="B1797" s="12" t="s">
        <v>9824</v>
      </c>
      <c r="C1797" s="18"/>
      <c r="D1797" s="9" t="s">
        <v>9825</v>
      </c>
      <c r="E1797" s="289">
        <v>2020</v>
      </c>
      <c r="F1797" s="18" t="s">
        <v>9827</v>
      </c>
      <c r="G1797" s="285" t="s">
        <v>4296</v>
      </c>
      <c r="H1797" s="285" t="s">
        <v>3793</v>
      </c>
      <c r="I1797" s="289"/>
      <c r="J1797" s="285" t="s">
        <v>3136</v>
      </c>
      <c r="K1797" s="14">
        <v>44063</v>
      </c>
      <c r="L1797" s="285">
        <v>696</v>
      </c>
      <c r="M1797" s="15">
        <v>44050</v>
      </c>
      <c r="N1797" s="40">
        <v>1</v>
      </c>
      <c r="O1797" s="40">
        <v>60000</v>
      </c>
      <c r="P1797" s="178">
        <v>20000.12</v>
      </c>
      <c r="Q1797" s="17">
        <f t="shared" si="41"/>
        <v>39999.880000000005</v>
      </c>
      <c r="R1797" s="285" t="s">
        <v>5110</v>
      </c>
      <c r="S1797" s="14">
        <v>43985</v>
      </c>
      <c r="T1797" s="285" t="s">
        <v>9828</v>
      </c>
    </row>
    <row r="1798" spans="1:20" ht="45.75" customHeight="1" x14ac:dyDescent="0.2">
      <c r="A1798" s="21">
        <v>1826</v>
      </c>
      <c r="B1798" s="12" t="s">
        <v>9829</v>
      </c>
      <c r="C1798" s="18"/>
      <c r="D1798" s="9" t="s">
        <v>9830</v>
      </c>
      <c r="E1798" s="289">
        <v>2020</v>
      </c>
      <c r="F1798" s="18" t="s">
        <v>9831</v>
      </c>
      <c r="G1798" s="285" t="s">
        <v>4296</v>
      </c>
      <c r="H1798" s="285" t="s">
        <v>3793</v>
      </c>
      <c r="I1798" s="289"/>
      <c r="J1798" s="285" t="s">
        <v>3136</v>
      </c>
      <c r="K1798" s="14">
        <v>44063</v>
      </c>
      <c r="L1798" s="285">
        <v>696</v>
      </c>
      <c r="M1798" s="15">
        <v>44050</v>
      </c>
      <c r="N1798" s="40">
        <v>1</v>
      </c>
      <c r="O1798" s="40">
        <v>232780</v>
      </c>
      <c r="P1798" s="178">
        <v>53866.400000000001</v>
      </c>
      <c r="Q1798" s="17">
        <f t="shared" si="41"/>
        <v>178913.6</v>
      </c>
      <c r="R1798" s="285" t="s">
        <v>5110</v>
      </c>
      <c r="S1798" s="14">
        <v>44021</v>
      </c>
      <c r="T1798" s="285" t="s">
        <v>9832</v>
      </c>
    </row>
    <row r="1799" spans="1:20" ht="45.75" customHeight="1" x14ac:dyDescent="0.2">
      <c r="A1799" s="21">
        <v>1827</v>
      </c>
      <c r="B1799" s="12" t="s">
        <v>9876</v>
      </c>
      <c r="C1799" s="18"/>
      <c r="D1799" s="9" t="s">
        <v>9317</v>
      </c>
      <c r="E1799" s="289">
        <v>2020</v>
      </c>
      <c r="F1799" s="18" t="s">
        <v>9878</v>
      </c>
      <c r="G1799" s="285" t="s">
        <v>7983</v>
      </c>
      <c r="H1799" s="285" t="s">
        <v>5127</v>
      </c>
      <c r="I1799" s="289"/>
      <c r="J1799" s="285" t="s">
        <v>3136</v>
      </c>
      <c r="K1799" s="15">
        <v>44092</v>
      </c>
      <c r="L1799" s="285">
        <v>790</v>
      </c>
      <c r="M1799" s="15">
        <v>44063</v>
      </c>
      <c r="N1799" s="40">
        <v>2</v>
      </c>
      <c r="O1799" s="40">
        <v>39300</v>
      </c>
      <c r="P1799" s="40">
        <v>39300</v>
      </c>
      <c r="Q1799" s="17">
        <f t="shared" si="41"/>
        <v>0</v>
      </c>
      <c r="R1799" s="285" t="s">
        <v>9879</v>
      </c>
      <c r="S1799" s="14">
        <v>44063</v>
      </c>
      <c r="T1799" s="285" t="s">
        <v>9880</v>
      </c>
    </row>
    <row r="1800" spans="1:20" ht="45.75" customHeight="1" x14ac:dyDescent="0.2">
      <c r="A1800" s="21">
        <v>1828</v>
      </c>
      <c r="B1800" s="12" t="s">
        <v>9877</v>
      </c>
      <c r="C1800" s="18"/>
      <c r="D1800" s="9" t="s">
        <v>9881</v>
      </c>
      <c r="E1800" s="289">
        <v>2020</v>
      </c>
      <c r="F1800" s="18" t="s">
        <v>9882</v>
      </c>
      <c r="G1800" s="285" t="s">
        <v>7983</v>
      </c>
      <c r="H1800" s="285" t="s">
        <v>5127</v>
      </c>
      <c r="I1800" s="289"/>
      <c r="J1800" s="285" t="s">
        <v>3136</v>
      </c>
      <c r="K1800" s="15">
        <v>44092</v>
      </c>
      <c r="L1800" s="285">
        <v>790</v>
      </c>
      <c r="M1800" s="15">
        <v>44005</v>
      </c>
      <c r="N1800" s="40">
        <v>1</v>
      </c>
      <c r="O1800" s="40">
        <v>21775</v>
      </c>
      <c r="P1800" s="40">
        <v>21775</v>
      </c>
      <c r="Q1800" s="17">
        <f t="shared" si="41"/>
        <v>0</v>
      </c>
      <c r="R1800" s="285" t="s">
        <v>9879</v>
      </c>
      <c r="S1800" s="14">
        <v>44004</v>
      </c>
      <c r="T1800" s="285" t="s">
        <v>9883</v>
      </c>
    </row>
    <row r="1801" spans="1:20" ht="45.75" customHeight="1" x14ac:dyDescent="0.2">
      <c r="A1801" s="21">
        <v>1829</v>
      </c>
      <c r="B1801" s="12" t="s">
        <v>9887</v>
      </c>
      <c r="C1801" s="18"/>
      <c r="D1801" s="9" t="s">
        <v>9939</v>
      </c>
      <c r="E1801" s="289">
        <v>2020</v>
      </c>
      <c r="F1801" s="18" t="s">
        <v>9888</v>
      </c>
      <c r="G1801" s="285" t="s">
        <v>101</v>
      </c>
      <c r="H1801" s="285" t="s">
        <v>5127</v>
      </c>
      <c r="I1801" s="289"/>
      <c r="J1801" s="285" t="s">
        <v>3136</v>
      </c>
      <c r="K1801" s="15">
        <v>44092</v>
      </c>
      <c r="L1801" s="285">
        <v>791</v>
      </c>
      <c r="M1801" s="15">
        <v>44060</v>
      </c>
      <c r="N1801" s="40">
        <v>1</v>
      </c>
      <c r="O1801" s="40">
        <v>14500</v>
      </c>
      <c r="P1801" s="40">
        <v>14500</v>
      </c>
      <c r="Q1801" s="17">
        <f t="shared" si="41"/>
        <v>0</v>
      </c>
      <c r="R1801" s="285" t="s">
        <v>9889</v>
      </c>
      <c r="S1801" s="14">
        <v>44060</v>
      </c>
      <c r="T1801" s="285" t="s">
        <v>9890</v>
      </c>
    </row>
    <row r="1802" spans="1:20" ht="45.75" customHeight="1" x14ac:dyDescent="0.2">
      <c r="A1802" s="21">
        <v>1830</v>
      </c>
      <c r="B1802" s="12" t="s">
        <v>9891</v>
      </c>
      <c r="C1802" s="18"/>
      <c r="D1802" s="9" t="s">
        <v>6334</v>
      </c>
      <c r="E1802" s="289">
        <v>2020</v>
      </c>
      <c r="F1802" s="9" t="s">
        <v>9892</v>
      </c>
      <c r="G1802" s="285" t="s">
        <v>7983</v>
      </c>
      <c r="H1802" s="285" t="s">
        <v>5127</v>
      </c>
      <c r="I1802" s="289"/>
      <c r="J1802" s="285" t="s">
        <v>3136</v>
      </c>
      <c r="K1802" s="15">
        <v>44092</v>
      </c>
      <c r="L1802" s="285">
        <v>790</v>
      </c>
      <c r="M1802" s="15">
        <v>44049</v>
      </c>
      <c r="N1802" s="40">
        <v>1</v>
      </c>
      <c r="O1802" s="40">
        <v>26174</v>
      </c>
      <c r="P1802" s="40">
        <v>26174</v>
      </c>
      <c r="Q1802" s="17">
        <f t="shared" si="41"/>
        <v>0</v>
      </c>
      <c r="R1802" s="285" t="s">
        <v>9879</v>
      </c>
      <c r="S1802" s="14">
        <v>44047</v>
      </c>
      <c r="T1802" s="285" t="s">
        <v>9893</v>
      </c>
    </row>
    <row r="1803" spans="1:20" ht="45.75" customHeight="1" x14ac:dyDescent="0.2">
      <c r="A1803" s="21">
        <v>1831</v>
      </c>
      <c r="B1803" s="12" t="s">
        <v>9900</v>
      </c>
      <c r="C1803" s="18"/>
      <c r="D1803" s="9" t="s">
        <v>9939</v>
      </c>
      <c r="E1803" s="289">
        <v>2020</v>
      </c>
      <c r="F1803" s="9" t="s">
        <v>9901</v>
      </c>
      <c r="G1803" s="285" t="s">
        <v>7982</v>
      </c>
      <c r="H1803" s="285" t="s">
        <v>5127</v>
      </c>
      <c r="I1803" s="289"/>
      <c r="J1803" s="285" t="s">
        <v>3136</v>
      </c>
      <c r="K1803" s="15">
        <v>44098</v>
      </c>
      <c r="L1803" s="285">
        <v>802</v>
      </c>
      <c r="M1803" s="15">
        <v>44092</v>
      </c>
      <c r="N1803" s="40">
        <v>8</v>
      </c>
      <c r="O1803" s="40">
        <v>98600</v>
      </c>
      <c r="P1803" s="40">
        <v>98600</v>
      </c>
      <c r="Q1803" s="17">
        <v>0</v>
      </c>
      <c r="R1803" s="285" t="s">
        <v>9940</v>
      </c>
      <c r="S1803" s="14">
        <v>44089</v>
      </c>
      <c r="T1803" s="22" t="s">
        <v>9902</v>
      </c>
    </row>
    <row r="1804" spans="1:20" ht="45.75" customHeight="1" x14ac:dyDescent="0.2">
      <c r="A1804" s="21">
        <v>1832</v>
      </c>
      <c r="B1804" s="12" t="s">
        <v>9903</v>
      </c>
      <c r="C1804" s="18"/>
      <c r="D1804" s="9" t="s">
        <v>9904</v>
      </c>
      <c r="E1804" s="289">
        <v>2020</v>
      </c>
      <c r="F1804" s="9" t="s">
        <v>9952</v>
      </c>
      <c r="G1804" s="285" t="s">
        <v>4296</v>
      </c>
      <c r="H1804" s="285" t="s">
        <v>3793</v>
      </c>
      <c r="I1804" s="9"/>
      <c r="J1804" s="285" t="s">
        <v>3136</v>
      </c>
      <c r="K1804" s="15">
        <v>44098</v>
      </c>
      <c r="L1804" s="285">
        <v>803</v>
      </c>
      <c r="M1804" s="15">
        <v>44091</v>
      </c>
      <c r="N1804" s="40">
        <v>1</v>
      </c>
      <c r="O1804" s="40">
        <v>53840</v>
      </c>
      <c r="P1804" s="178">
        <v>12114.09</v>
      </c>
      <c r="Q1804" s="17">
        <f t="shared" ref="Q1804:Q1827" si="42">O1804-P1804</f>
        <v>41725.910000000003</v>
      </c>
      <c r="R1804" s="285" t="s">
        <v>5110</v>
      </c>
      <c r="S1804" s="14">
        <v>44034</v>
      </c>
      <c r="T1804" s="285" t="s">
        <v>9905</v>
      </c>
    </row>
    <row r="1805" spans="1:20" ht="45.75" customHeight="1" x14ac:dyDescent="0.2">
      <c r="A1805" s="21">
        <v>1833</v>
      </c>
      <c r="B1805" s="12" t="s">
        <v>9906</v>
      </c>
      <c r="C1805" s="18"/>
      <c r="D1805" s="9" t="s">
        <v>10141</v>
      </c>
      <c r="E1805" s="289">
        <v>2020</v>
      </c>
      <c r="F1805" s="9" t="s">
        <v>9908</v>
      </c>
      <c r="G1805" s="285" t="s">
        <v>4296</v>
      </c>
      <c r="H1805" s="285" t="s">
        <v>3793</v>
      </c>
      <c r="I1805" s="9"/>
      <c r="J1805" s="285" t="s">
        <v>3136</v>
      </c>
      <c r="K1805" s="15">
        <v>44099</v>
      </c>
      <c r="L1805" s="285">
        <v>808</v>
      </c>
      <c r="M1805" s="15">
        <v>44091</v>
      </c>
      <c r="N1805" s="40">
        <v>1</v>
      </c>
      <c r="O1805" s="40">
        <v>114067.96</v>
      </c>
      <c r="P1805" s="178">
        <v>51330.51</v>
      </c>
      <c r="Q1805" s="17">
        <f t="shared" si="42"/>
        <v>62737.450000000004</v>
      </c>
      <c r="R1805" s="285" t="s">
        <v>5110</v>
      </c>
      <c r="S1805" s="14">
        <v>44070</v>
      </c>
      <c r="T1805" s="285" t="s">
        <v>9907</v>
      </c>
    </row>
    <row r="1806" spans="1:20" ht="53.25" customHeight="1" x14ac:dyDescent="0.2">
      <c r="A1806" s="21">
        <v>1834</v>
      </c>
      <c r="B1806" s="12" t="s">
        <v>9938</v>
      </c>
      <c r="C1806" s="18"/>
      <c r="D1806" s="9" t="s">
        <v>9939</v>
      </c>
      <c r="E1806" s="289">
        <v>2020</v>
      </c>
      <c r="F1806" s="9" t="s">
        <v>10140</v>
      </c>
      <c r="G1806" s="285" t="s">
        <v>2436</v>
      </c>
      <c r="H1806" s="285" t="s">
        <v>5127</v>
      </c>
      <c r="I1806" s="289"/>
      <c r="J1806" s="285" t="s">
        <v>3136</v>
      </c>
      <c r="K1806" s="15">
        <v>44109</v>
      </c>
      <c r="L1806" s="285">
        <v>831</v>
      </c>
      <c r="M1806" s="15">
        <v>44089</v>
      </c>
      <c r="N1806" s="40">
        <v>8</v>
      </c>
      <c r="O1806" s="40">
        <v>98600</v>
      </c>
      <c r="P1806" s="40">
        <v>98600</v>
      </c>
      <c r="Q1806" s="17">
        <f t="shared" si="42"/>
        <v>0</v>
      </c>
      <c r="R1806" s="285" t="s">
        <v>9940</v>
      </c>
      <c r="S1806" s="14">
        <v>44089</v>
      </c>
      <c r="T1806" s="285" t="s">
        <v>9941</v>
      </c>
    </row>
    <row r="1807" spans="1:20" ht="53.25" customHeight="1" x14ac:dyDescent="0.2">
      <c r="A1807" s="21">
        <v>1835</v>
      </c>
      <c r="B1807" s="12" t="s">
        <v>9942</v>
      </c>
      <c r="C1807" s="18"/>
      <c r="D1807" s="9" t="s">
        <v>9939</v>
      </c>
      <c r="E1807" s="289">
        <v>2020</v>
      </c>
      <c r="F1807" s="9" t="s">
        <v>9943</v>
      </c>
      <c r="G1807" s="285" t="s">
        <v>2437</v>
      </c>
      <c r="H1807" s="285" t="s">
        <v>5127</v>
      </c>
      <c r="I1807" s="289"/>
      <c r="J1807" s="285" t="s">
        <v>3136</v>
      </c>
      <c r="K1807" s="15">
        <v>44109</v>
      </c>
      <c r="L1807" s="285">
        <v>832</v>
      </c>
      <c r="M1807" s="15">
        <v>44089</v>
      </c>
      <c r="N1807" s="40">
        <v>8</v>
      </c>
      <c r="O1807" s="40">
        <v>98600</v>
      </c>
      <c r="P1807" s="40">
        <v>98600</v>
      </c>
      <c r="Q1807" s="17">
        <f t="shared" si="42"/>
        <v>0</v>
      </c>
      <c r="R1807" s="285" t="s">
        <v>9940</v>
      </c>
      <c r="S1807" s="14">
        <v>44089</v>
      </c>
      <c r="T1807" s="22" t="s">
        <v>9944</v>
      </c>
    </row>
    <row r="1808" spans="1:20" ht="53.25" customHeight="1" x14ac:dyDescent="0.2">
      <c r="A1808" s="21">
        <v>1836</v>
      </c>
      <c r="B1808" s="12" t="s">
        <v>9945</v>
      </c>
      <c r="C1808" s="18"/>
      <c r="D1808" s="9" t="s">
        <v>9939</v>
      </c>
      <c r="E1808" s="289">
        <v>2020</v>
      </c>
      <c r="F1808" s="9" t="s">
        <v>9946</v>
      </c>
      <c r="G1808" s="285" t="s">
        <v>7982</v>
      </c>
      <c r="H1808" s="285" t="s">
        <v>5127</v>
      </c>
      <c r="I1808" s="289"/>
      <c r="J1808" s="285" t="s">
        <v>3136</v>
      </c>
      <c r="K1808" s="15">
        <v>44110</v>
      </c>
      <c r="L1808" s="285">
        <v>834</v>
      </c>
      <c r="M1808" s="15">
        <v>44099</v>
      </c>
      <c r="N1808" s="40">
        <v>2</v>
      </c>
      <c r="O1808" s="40">
        <v>24700</v>
      </c>
      <c r="P1808" s="40">
        <v>24700</v>
      </c>
      <c r="Q1808" s="17">
        <f t="shared" si="42"/>
        <v>0</v>
      </c>
      <c r="R1808" s="285" t="s">
        <v>9940</v>
      </c>
      <c r="S1808" s="14">
        <v>44099</v>
      </c>
      <c r="T1808" s="22" t="s">
        <v>9947</v>
      </c>
    </row>
    <row r="1809" spans="1:20" ht="53.25" customHeight="1" x14ac:dyDescent="0.2">
      <c r="A1809" s="21">
        <v>1837</v>
      </c>
      <c r="B1809" s="12" t="s">
        <v>9948</v>
      </c>
      <c r="C1809" s="18"/>
      <c r="D1809" s="9" t="s">
        <v>9939</v>
      </c>
      <c r="E1809" s="289">
        <v>2020</v>
      </c>
      <c r="F1809" s="9"/>
      <c r="G1809" s="285" t="s">
        <v>8293</v>
      </c>
      <c r="H1809" s="285" t="s">
        <v>5127</v>
      </c>
      <c r="I1809" s="289"/>
      <c r="J1809" s="285" t="s">
        <v>3136</v>
      </c>
      <c r="K1809" s="15"/>
      <c r="L1809" s="285"/>
      <c r="M1809" s="15">
        <v>44091</v>
      </c>
      <c r="N1809" s="40">
        <v>2</v>
      </c>
      <c r="O1809" s="40">
        <v>25000</v>
      </c>
      <c r="P1809" s="40">
        <v>25000</v>
      </c>
      <c r="Q1809" s="17">
        <f t="shared" si="42"/>
        <v>0</v>
      </c>
      <c r="R1809" s="285" t="s">
        <v>9940</v>
      </c>
      <c r="S1809" s="14">
        <v>44091</v>
      </c>
      <c r="T1809" s="22" t="s">
        <v>9949</v>
      </c>
    </row>
    <row r="1810" spans="1:20" ht="53.25" customHeight="1" x14ac:dyDescent="0.2">
      <c r="A1810" s="21">
        <v>1838</v>
      </c>
      <c r="B1810" s="12" t="s">
        <v>9953</v>
      </c>
      <c r="C1810" s="18"/>
      <c r="D1810" s="9" t="s">
        <v>9969</v>
      </c>
      <c r="E1810" s="289">
        <v>2014</v>
      </c>
      <c r="F1810" s="9" t="s">
        <v>10178</v>
      </c>
      <c r="G1810" s="285" t="s">
        <v>4296</v>
      </c>
      <c r="H1810" s="285" t="s">
        <v>3793</v>
      </c>
      <c r="I1810" s="9"/>
      <c r="J1810" s="285" t="s">
        <v>3136</v>
      </c>
      <c r="K1810" s="15">
        <v>44132</v>
      </c>
      <c r="L1810" s="285">
        <v>894</v>
      </c>
      <c r="M1810" s="15">
        <v>44105</v>
      </c>
      <c r="N1810" s="40">
        <v>1</v>
      </c>
      <c r="O1810" s="40">
        <v>17720</v>
      </c>
      <c r="P1810" s="40">
        <v>17720</v>
      </c>
      <c r="Q1810" s="17">
        <f t="shared" si="42"/>
        <v>0</v>
      </c>
      <c r="R1810" s="285" t="s">
        <v>10143</v>
      </c>
      <c r="S1810" s="15">
        <v>44073</v>
      </c>
      <c r="T1810" s="22"/>
    </row>
    <row r="1811" spans="1:20" ht="53.25" customHeight="1" x14ac:dyDescent="0.2">
      <c r="A1811" s="21">
        <v>1839</v>
      </c>
      <c r="B1811" s="12" t="s">
        <v>9954</v>
      </c>
      <c r="C1811" s="18"/>
      <c r="D1811" s="9" t="s">
        <v>10025</v>
      </c>
      <c r="E1811" s="289">
        <v>2014</v>
      </c>
      <c r="F1811" s="9" t="s">
        <v>10179</v>
      </c>
      <c r="G1811" s="285" t="s">
        <v>4296</v>
      </c>
      <c r="H1811" s="285" t="s">
        <v>3793</v>
      </c>
      <c r="I1811" s="9"/>
      <c r="J1811" s="285" t="s">
        <v>3136</v>
      </c>
      <c r="K1811" s="15">
        <v>44132</v>
      </c>
      <c r="L1811" s="285">
        <v>894</v>
      </c>
      <c r="M1811" s="15">
        <v>44105</v>
      </c>
      <c r="N1811" s="40">
        <v>1</v>
      </c>
      <c r="O1811" s="40">
        <v>25790</v>
      </c>
      <c r="P1811" s="40">
        <v>25790</v>
      </c>
      <c r="Q1811" s="17">
        <f t="shared" si="42"/>
        <v>0</v>
      </c>
      <c r="R1811" s="285" t="s">
        <v>10143</v>
      </c>
      <c r="S1811" s="15">
        <v>44073</v>
      </c>
      <c r="T1811" s="22"/>
    </row>
    <row r="1812" spans="1:20" ht="57.75" customHeight="1" x14ac:dyDescent="0.2">
      <c r="A1812" s="21">
        <v>1840</v>
      </c>
      <c r="B1812" s="12" t="s">
        <v>9955</v>
      </c>
      <c r="C1812" s="18"/>
      <c r="D1812" s="9" t="s">
        <v>2239</v>
      </c>
      <c r="E1812" s="289">
        <v>2014</v>
      </c>
      <c r="F1812" s="9" t="s">
        <v>10180</v>
      </c>
      <c r="G1812" s="285" t="s">
        <v>4296</v>
      </c>
      <c r="H1812" s="285" t="s">
        <v>3793</v>
      </c>
      <c r="I1812" s="9"/>
      <c r="J1812" s="285" t="s">
        <v>3136</v>
      </c>
      <c r="K1812" s="15">
        <v>44132</v>
      </c>
      <c r="L1812" s="285">
        <v>894</v>
      </c>
      <c r="M1812" s="15">
        <v>44105</v>
      </c>
      <c r="N1812" s="40">
        <v>1</v>
      </c>
      <c r="O1812" s="40">
        <v>53540</v>
      </c>
      <c r="P1812" s="40">
        <v>7733.44</v>
      </c>
      <c r="Q1812" s="17">
        <f t="shared" si="42"/>
        <v>45806.559999999998</v>
      </c>
      <c r="R1812" s="285" t="s">
        <v>10143</v>
      </c>
      <c r="S1812" s="15">
        <v>44073</v>
      </c>
      <c r="T1812" s="22"/>
    </row>
    <row r="1813" spans="1:20" ht="110.25" customHeight="1" x14ac:dyDescent="0.2">
      <c r="A1813" s="21">
        <v>1841</v>
      </c>
      <c r="B1813" s="12" t="s">
        <v>9956</v>
      </c>
      <c r="C1813" s="18"/>
      <c r="D1813" s="9" t="s">
        <v>1944</v>
      </c>
      <c r="E1813" s="289">
        <v>2014</v>
      </c>
      <c r="F1813" s="9" t="s">
        <v>10181</v>
      </c>
      <c r="G1813" s="285" t="s">
        <v>4296</v>
      </c>
      <c r="H1813" s="285" t="s">
        <v>3793</v>
      </c>
      <c r="I1813" s="9"/>
      <c r="J1813" s="285" t="s">
        <v>3136</v>
      </c>
      <c r="K1813" s="15">
        <v>44132</v>
      </c>
      <c r="L1813" s="285">
        <v>894</v>
      </c>
      <c r="M1813" s="15">
        <v>44105</v>
      </c>
      <c r="N1813" s="40">
        <v>1</v>
      </c>
      <c r="O1813" s="40">
        <v>28420</v>
      </c>
      <c r="P1813" s="40">
        <v>28420</v>
      </c>
      <c r="Q1813" s="17">
        <f t="shared" si="42"/>
        <v>0</v>
      </c>
      <c r="R1813" s="285" t="s">
        <v>10143</v>
      </c>
      <c r="S1813" s="15">
        <v>44073</v>
      </c>
      <c r="T1813" s="22"/>
    </row>
    <row r="1814" spans="1:20" ht="57.75" customHeight="1" x14ac:dyDescent="0.2">
      <c r="A1814" s="21">
        <v>1842</v>
      </c>
      <c r="B1814" s="12" t="s">
        <v>9957</v>
      </c>
      <c r="C1814" s="18"/>
      <c r="D1814" s="9" t="s">
        <v>10026</v>
      </c>
      <c r="E1814" s="289">
        <v>2014</v>
      </c>
      <c r="F1814" s="9" t="s">
        <v>10182</v>
      </c>
      <c r="G1814" s="285" t="s">
        <v>4296</v>
      </c>
      <c r="H1814" s="285" t="s">
        <v>3793</v>
      </c>
      <c r="I1814" s="9"/>
      <c r="J1814" s="285" t="s">
        <v>3136</v>
      </c>
      <c r="K1814" s="15">
        <v>44132</v>
      </c>
      <c r="L1814" s="285">
        <v>894</v>
      </c>
      <c r="M1814" s="15">
        <v>44105</v>
      </c>
      <c r="N1814" s="40">
        <v>1</v>
      </c>
      <c r="O1814" s="40">
        <v>329910</v>
      </c>
      <c r="P1814" s="178">
        <v>47653.58</v>
      </c>
      <c r="Q1814" s="17">
        <f t="shared" si="42"/>
        <v>282256.42</v>
      </c>
      <c r="R1814" s="285" t="s">
        <v>10143</v>
      </c>
      <c r="S1814" s="15">
        <v>44073</v>
      </c>
      <c r="T1814" s="22"/>
    </row>
    <row r="1815" spans="1:20" ht="46.5" customHeight="1" x14ac:dyDescent="0.2">
      <c r="A1815" s="21">
        <v>1843</v>
      </c>
      <c r="B1815" s="12" t="s">
        <v>9958</v>
      </c>
      <c r="C1815" s="18"/>
      <c r="D1815" s="9" t="s">
        <v>10027</v>
      </c>
      <c r="E1815" s="289">
        <v>2014</v>
      </c>
      <c r="F1815" s="9" t="s">
        <v>10183</v>
      </c>
      <c r="G1815" s="285" t="s">
        <v>4296</v>
      </c>
      <c r="H1815" s="285" t="s">
        <v>3793</v>
      </c>
      <c r="I1815" s="9"/>
      <c r="J1815" s="285" t="s">
        <v>3136</v>
      </c>
      <c r="K1815" s="15">
        <v>44132</v>
      </c>
      <c r="L1815" s="285">
        <v>894</v>
      </c>
      <c r="M1815" s="15">
        <v>44105</v>
      </c>
      <c r="N1815" s="40">
        <v>1</v>
      </c>
      <c r="O1815" s="40">
        <v>14960</v>
      </c>
      <c r="P1815" s="40">
        <v>14960</v>
      </c>
      <c r="Q1815" s="17">
        <f t="shared" si="42"/>
        <v>0</v>
      </c>
      <c r="R1815" s="285" t="s">
        <v>10143</v>
      </c>
      <c r="S1815" s="15">
        <v>44073</v>
      </c>
      <c r="T1815" s="22"/>
    </row>
    <row r="1816" spans="1:20" ht="46.5" customHeight="1" x14ac:dyDescent="0.2">
      <c r="A1816" s="21">
        <v>1844</v>
      </c>
      <c r="B1816" s="12" t="s">
        <v>9959</v>
      </c>
      <c r="C1816" s="18"/>
      <c r="D1816" s="9" t="s">
        <v>10028</v>
      </c>
      <c r="E1816" s="289">
        <v>2014</v>
      </c>
      <c r="F1816" s="41" t="s">
        <v>10184</v>
      </c>
      <c r="G1816" s="285" t="s">
        <v>4296</v>
      </c>
      <c r="H1816" s="285" t="s">
        <v>3793</v>
      </c>
      <c r="I1816" s="9"/>
      <c r="J1816" s="285" t="s">
        <v>3136</v>
      </c>
      <c r="K1816" s="15">
        <v>44132</v>
      </c>
      <c r="L1816" s="285">
        <v>894</v>
      </c>
      <c r="M1816" s="15">
        <v>44105</v>
      </c>
      <c r="N1816" s="40">
        <v>1</v>
      </c>
      <c r="O1816" s="40">
        <v>18100</v>
      </c>
      <c r="P1816" s="40">
        <v>18100</v>
      </c>
      <c r="Q1816" s="17">
        <f t="shared" si="42"/>
        <v>0</v>
      </c>
      <c r="R1816" s="285" t="s">
        <v>10143</v>
      </c>
      <c r="S1816" s="15">
        <v>44073</v>
      </c>
      <c r="T1816" s="22"/>
    </row>
    <row r="1817" spans="1:20" ht="46.5" customHeight="1" x14ac:dyDescent="0.2">
      <c r="A1817" s="21">
        <v>1845</v>
      </c>
      <c r="B1817" s="12" t="s">
        <v>9960</v>
      </c>
      <c r="C1817" s="18"/>
      <c r="D1817" s="9" t="s">
        <v>10029</v>
      </c>
      <c r="E1817" s="289">
        <v>2011</v>
      </c>
      <c r="F1817" s="9" t="s">
        <v>10185</v>
      </c>
      <c r="G1817" s="285" t="s">
        <v>4296</v>
      </c>
      <c r="H1817" s="285" t="s">
        <v>3793</v>
      </c>
      <c r="I1817" s="9"/>
      <c r="J1817" s="285" t="s">
        <v>3136</v>
      </c>
      <c r="K1817" s="15">
        <v>44132</v>
      </c>
      <c r="L1817" s="285">
        <v>894</v>
      </c>
      <c r="M1817" s="15">
        <v>44105</v>
      </c>
      <c r="N1817" s="40">
        <v>1</v>
      </c>
      <c r="O1817" s="40">
        <v>160030</v>
      </c>
      <c r="P1817" s="178">
        <v>69346.42</v>
      </c>
      <c r="Q1817" s="17">
        <f t="shared" si="42"/>
        <v>90683.58</v>
      </c>
      <c r="R1817" s="285" t="s">
        <v>10143</v>
      </c>
      <c r="S1817" s="15">
        <v>44073</v>
      </c>
      <c r="T1817" s="22"/>
    </row>
    <row r="1818" spans="1:20" ht="47.25" customHeight="1" x14ac:dyDescent="0.2">
      <c r="A1818" s="21">
        <v>1846</v>
      </c>
      <c r="B1818" s="12" t="s">
        <v>9961</v>
      </c>
      <c r="C1818" s="18"/>
      <c r="D1818" s="9" t="s">
        <v>10030</v>
      </c>
      <c r="E1818" s="289">
        <v>2014</v>
      </c>
      <c r="F1818" s="9" t="s">
        <v>10186</v>
      </c>
      <c r="G1818" s="285" t="s">
        <v>4296</v>
      </c>
      <c r="H1818" s="285" t="s">
        <v>3793</v>
      </c>
      <c r="I1818" s="9"/>
      <c r="J1818" s="285" t="s">
        <v>3136</v>
      </c>
      <c r="K1818" s="15">
        <v>44132</v>
      </c>
      <c r="L1818" s="285">
        <v>894</v>
      </c>
      <c r="M1818" s="15">
        <v>44105</v>
      </c>
      <c r="N1818" s="40">
        <v>1</v>
      </c>
      <c r="O1818" s="40">
        <v>269200</v>
      </c>
      <c r="P1818" s="178">
        <v>83323.759999999995</v>
      </c>
      <c r="Q1818" s="17">
        <f t="shared" si="42"/>
        <v>185876.24</v>
      </c>
      <c r="R1818" s="285" t="s">
        <v>10143</v>
      </c>
      <c r="S1818" s="15">
        <v>44073</v>
      </c>
      <c r="T1818" s="22"/>
    </row>
    <row r="1819" spans="1:20" ht="76.5" customHeight="1" x14ac:dyDescent="0.2">
      <c r="A1819" s="21">
        <v>1847</v>
      </c>
      <c r="B1819" s="12" t="s">
        <v>9962</v>
      </c>
      <c r="C1819" s="18"/>
      <c r="D1819" s="9" t="s">
        <v>10031</v>
      </c>
      <c r="E1819" s="289">
        <v>2014</v>
      </c>
      <c r="F1819" s="9" t="s">
        <v>10187</v>
      </c>
      <c r="G1819" s="285" t="s">
        <v>4296</v>
      </c>
      <c r="H1819" s="285" t="s">
        <v>3793</v>
      </c>
      <c r="I1819" s="9"/>
      <c r="J1819" s="285" t="s">
        <v>3136</v>
      </c>
      <c r="K1819" s="15">
        <v>44132</v>
      </c>
      <c r="L1819" s="285">
        <v>894</v>
      </c>
      <c r="M1819" s="15">
        <v>44105</v>
      </c>
      <c r="N1819" s="40">
        <v>1</v>
      </c>
      <c r="O1819" s="40">
        <v>34880</v>
      </c>
      <c r="P1819" s="40">
        <v>34880</v>
      </c>
      <c r="Q1819" s="17">
        <f t="shared" si="42"/>
        <v>0</v>
      </c>
      <c r="R1819" s="285" t="s">
        <v>10143</v>
      </c>
      <c r="S1819" s="15">
        <v>44073</v>
      </c>
      <c r="T1819" s="22"/>
    </row>
    <row r="1820" spans="1:20" ht="60.75" customHeight="1" x14ac:dyDescent="0.2">
      <c r="A1820" s="21">
        <v>1848</v>
      </c>
      <c r="B1820" s="12" t="s">
        <v>9963</v>
      </c>
      <c r="C1820" s="18"/>
      <c r="D1820" s="9" t="s">
        <v>5003</v>
      </c>
      <c r="E1820" s="289">
        <v>2014</v>
      </c>
      <c r="F1820" s="9" t="s">
        <v>10188</v>
      </c>
      <c r="G1820" s="285" t="s">
        <v>4296</v>
      </c>
      <c r="H1820" s="285" t="s">
        <v>3793</v>
      </c>
      <c r="I1820" s="9"/>
      <c r="J1820" s="285" t="s">
        <v>3136</v>
      </c>
      <c r="K1820" s="15">
        <v>44132</v>
      </c>
      <c r="L1820" s="285">
        <v>894</v>
      </c>
      <c r="M1820" s="15">
        <v>44105</v>
      </c>
      <c r="N1820" s="40">
        <v>1</v>
      </c>
      <c r="O1820" s="40">
        <v>20790</v>
      </c>
      <c r="P1820" s="40">
        <v>20790</v>
      </c>
      <c r="Q1820" s="17">
        <f t="shared" si="42"/>
        <v>0</v>
      </c>
      <c r="R1820" s="285" t="s">
        <v>10143</v>
      </c>
      <c r="S1820" s="15">
        <v>44073</v>
      </c>
      <c r="T1820" s="22"/>
    </row>
    <row r="1821" spans="1:20" ht="45.75" customHeight="1" x14ac:dyDescent="0.2">
      <c r="A1821" s="21">
        <v>1849</v>
      </c>
      <c r="B1821" s="12" t="s">
        <v>9964</v>
      </c>
      <c r="C1821" s="18"/>
      <c r="D1821" s="9" t="s">
        <v>10032</v>
      </c>
      <c r="E1821" s="289">
        <v>2015</v>
      </c>
      <c r="F1821" s="9" t="s">
        <v>10189</v>
      </c>
      <c r="G1821" s="285" t="s">
        <v>4296</v>
      </c>
      <c r="H1821" s="285" t="s">
        <v>3793</v>
      </c>
      <c r="I1821" s="9"/>
      <c r="J1821" s="285" t="s">
        <v>3136</v>
      </c>
      <c r="K1821" s="15">
        <v>44132</v>
      </c>
      <c r="L1821" s="285">
        <v>894</v>
      </c>
      <c r="M1821" s="15">
        <v>44105</v>
      </c>
      <c r="N1821" s="40">
        <v>3</v>
      </c>
      <c r="O1821" s="40">
        <v>77370</v>
      </c>
      <c r="P1821" s="40">
        <v>77370</v>
      </c>
      <c r="Q1821" s="17">
        <f t="shared" si="42"/>
        <v>0</v>
      </c>
      <c r="R1821" s="285" t="s">
        <v>10143</v>
      </c>
      <c r="S1821" s="15">
        <v>44073</v>
      </c>
      <c r="T1821" s="22"/>
    </row>
    <row r="1822" spans="1:20" ht="100.5" customHeight="1" x14ac:dyDescent="0.2">
      <c r="A1822" s="21">
        <v>1850</v>
      </c>
      <c r="B1822" s="12" t="s">
        <v>9965</v>
      </c>
      <c r="C1822" s="18"/>
      <c r="D1822" s="9" t="s">
        <v>10033</v>
      </c>
      <c r="E1822" s="289">
        <v>2015</v>
      </c>
      <c r="F1822" s="9" t="s">
        <v>10190</v>
      </c>
      <c r="G1822" s="285" t="s">
        <v>4296</v>
      </c>
      <c r="H1822" s="285" t="s">
        <v>3793</v>
      </c>
      <c r="I1822" s="9"/>
      <c r="J1822" s="285" t="s">
        <v>3136</v>
      </c>
      <c r="K1822" s="15">
        <v>44132</v>
      </c>
      <c r="L1822" s="285">
        <v>894</v>
      </c>
      <c r="M1822" s="15">
        <v>44105</v>
      </c>
      <c r="N1822" s="40">
        <v>2</v>
      </c>
      <c r="O1822" s="40">
        <v>40000</v>
      </c>
      <c r="P1822" s="40">
        <v>40000</v>
      </c>
      <c r="Q1822" s="17">
        <f t="shared" si="42"/>
        <v>0</v>
      </c>
      <c r="R1822" s="285" t="s">
        <v>10143</v>
      </c>
      <c r="S1822" s="15">
        <v>44073</v>
      </c>
      <c r="T1822" s="22"/>
    </row>
    <row r="1823" spans="1:20" ht="52.5" customHeight="1" x14ac:dyDescent="0.2">
      <c r="A1823" s="21">
        <v>1851</v>
      </c>
      <c r="B1823" s="12" t="s">
        <v>9966</v>
      </c>
      <c r="C1823" s="18"/>
      <c r="D1823" s="9" t="s">
        <v>10034</v>
      </c>
      <c r="E1823" s="289">
        <v>2015</v>
      </c>
      <c r="F1823" s="9" t="s">
        <v>10191</v>
      </c>
      <c r="G1823" s="285" t="s">
        <v>4296</v>
      </c>
      <c r="H1823" s="285" t="s">
        <v>3793</v>
      </c>
      <c r="I1823" s="9"/>
      <c r="J1823" s="285" t="s">
        <v>3136</v>
      </c>
      <c r="K1823" s="15">
        <v>44132</v>
      </c>
      <c r="L1823" s="285">
        <v>894</v>
      </c>
      <c r="M1823" s="15">
        <v>44105</v>
      </c>
      <c r="N1823" s="40">
        <v>3</v>
      </c>
      <c r="O1823" s="40">
        <v>130560</v>
      </c>
      <c r="P1823" s="178">
        <v>56575.74</v>
      </c>
      <c r="Q1823" s="17">
        <f t="shared" si="42"/>
        <v>73984.260000000009</v>
      </c>
      <c r="R1823" s="285" t="s">
        <v>10143</v>
      </c>
      <c r="S1823" s="15">
        <v>44073</v>
      </c>
      <c r="T1823" s="22"/>
    </row>
    <row r="1824" spans="1:20" ht="52.5" customHeight="1" x14ac:dyDescent="0.2">
      <c r="A1824" s="21">
        <v>1852</v>
      </c>
      <c r="B1824" s="12" t="s">
        <v>9967</v>
      </c>
      <c r="C1824" s="18"/>
      <c r="D1824" s="9" t="s">
        <v>10035</v>
      </c>
      <c r="E1824" s="289">
        <v>2015</v>
      </c>
      <c r="F1824" s="9" t="s">
        <v>10192</v>
      </c>
      <c r="G1824" s="285" t="s">
        <v>4296</v>
      </c>
      <c r="H1824" s="285" t="s">
        <v>3793</v>
      </c>
      <c r="I1824" s="9"/>
      <c r="J1824" s="285" t="s">
        <v>3136</v>
      </c>
      <c r="K1824" s="15">
        <v>44132</v>
      </c>
      <c r="L1824" s="285">
        <v>894</v>
      </c>
      <c r="M1824" s="15">
        <v>44105</v>
      </c>
      <c r="N1824" s="40">
        <v>3</v>
      </c>
      <c r="O1824" s="40">
        <v>341160</v>
      </c>
      <c r="P1824" s="178">
        <v>147835.74</v>
      </c>
      <c r="Q1824" s="17">
        <f t="shared" si="42"/>
        <v>193324.26</v>
      </c>
      <c r="R1824" s="285" t="s">
        <v>10143</v>
      </c>
      <c r="S1824" s="15">
        <v>44073</v>
      </c>
      <c r="T1824" s="22"/>
    </row>
    <row r="1825" spans="1:20" ht="44.25" customHeight="1" x14ac:dyDescent="0.2">
      <c r="A1825" s="21">
        <v>1853</v>
      </c>
      <c r="B1825" s="12" t="s">
        <v>9968</v>
      </c>
      <c r="C1825" s="18"/>
      <c r="D1825" s="9" t="s">
        <v>7116</v>
      </c>
      <c r="E1825" s="289">
        <v>2015</v>
      </c>
      <c r="F1825" s="9" t="s">
        <v>10193</v>
      </c>
      <c r="G1825" s="285" t="s">
        <v>4296</v>
      </c>
      <c r="H1825" s="285" t="s">
        <v>3793</v>
      </c>
      <c r="I1825" s="9"/>
      <c r="J1825" s="285" t="s">
        <v>3136</v>
      </c>
      <c r="K1825" s="15">
        <v>44132</v>
      </c>
      <c r="L1825" s="285">
        <v>894</v>
      </c>
      <c r="M1825" s="15">
        <v>44105</v>
      </c>
      <c r="N1825" s="40">
        <v>1</v>
      </c>
      <c r="O1825" s="40">
        <v>596530</v>
      </c>
      <c r="P1825" s="178">
        <v>184640.3</v>
      </c>
      <c r="Q1825" s="17">
        <f t="shared" si="42"/>
        <v>411889.7</v>
      </c>
      <c r="R1825" s="285" t="s">
        <v>10143</v>
      </c>
      <c r="S1825" s="15">
        <v>44073</v>
      </c>
      <c r="T1825" s="22"/>
    </row>
    <row r="1826" spans="1:20" ht="44.25" customHeight="1" x14ac:dyDescent="0.2">
      <c r="A1826" s="21">
        <v>1854</v>
      </c>
      <c r="B1826" s="12" t="s">
        <v>9970</v>
      </c>
      <c r="C1826" s="18"/>
      <c r="D1826" s="9" t="s">
        <v>10036</v>
      </c>
      <c r="E1826" s="289">
        <v>2015</v>
      </c>
      <c r="F1826" s="9" t="s">
        <v>10194</v>
      </c>
      <c r="G1826" s="285" t="s">
        <v>4296</v>
      </c>
      <c r="H1826" s="285" t="s">
        <v>3793</v>
      </c>
      <c r="I1826" s="9"/>
      <c r="J1826" s="285" t="s">
        <v>3136</v>
      </c>
      <c r="K1826" s="15">
        <v>44132</v>
      </c>
      <c r="L1826" s="285">
        <v>894</v>
      </c>
      <c r="M1826" s="15">
        <v>44105</v>
      </c>
      <c r="N1826" s="40">
        <v>1</v>
      </c>
      <c r="O1826" s="40">
        <v>32450</v>
      </c>
      <c r="P1826" s="40">
        <v>32450</v>
      </c>
      <c r="Q1826" s="17">
        <f t="shared" si="42"/>
        <v>0</v>
      </c>
      <c r="R1826" s="285" t="s">
        <v>10143</v>
      </c>
      <c r="S1826" s="15">
        <v>44073</v>
      </c>
      <c r="T1826" s="22"/>
    </row>
    <row r="1827" spans="1:20" ht="59.25" customHeight="1" x14ac:dyDescent="0.2">
      <c r="A1827" s="21">
        <v>1855</v>
      </c>
      <c r="B1827" s="12" t="s">
        <v>9971</v>
      </c>
      <c r="C1827" s="18"/>
      <c r="D1827" s="9" t="s">
        <v>10037</v>
      </c>
      <c r="E1827" s="289">
        <v>2015</v>
      </c>
      <c r="F1827" s="9" t="s">
        <v>10195</v>
      </c>
      <c r="G1827" s="285" t="s">
        <v>4296</v>
      </c>
      <c r="H1827" s="285" t="s">
        <v>3793</v>
      </c>
      <c r="I1827" s="9"/>
      <c r="J1827" s="285" t="s">
        <v>3136</v>
      </c>
      <c r="K1827" s="15">
        <v>44132</v>
      </c>
      <c r="L1827" s="285">
        <v>894</v>
      </c>
      <c r="M1827" s="15">
        <v>44105</v>
      </c>
      <c r="N1827" s="40">
        <v>1</v>
      </c>
      <c r="O1827" s="40">
        <v>63130</v>
      </c>
      <c r="P1827" s="178">
        <v>27356.42</v>
      </c>
      <c r="Q1827" s="17">
        <f t="shared" si="42"/>
        <v>35773.58</v>
      </c>
      <c r="R1827" s="285" t="s">
        <v>10143</v>
      </c>
      <c r="S1827" s="15">
        <v>44073</v>
      </c>
      <c r="T1827" s="22"/>
    </row>
    <row r="1828" spans="1:20" ht="59.25" customHeight="1" x14ac:dyDescent="0.2">
      <c r="A1828" s="21">
        <v>1856</v>
      </c>
      <c r="B1828" s="12" t="s">
        <v>9972</v>
      </c>
      <c r="C1828" s="18"/>
      <c r="D1828" s="9" t="s">
        <v>10038</v>
      </c>
      <c r="E1828" s="289">
        <v>2015</v>
      </c>
      <c r="F1828" s="9" t="s">
        <v>10196</v>
      </c>
      <c r="G1828" s="285" t="s">
        <v>4296</v>
      </c>
      <c r="H1828" s="285" t="s">
        <v>3793</v>
      </c>
      <c r="I1828" s="9"/>
      <c r="J1828" s="285" t="s">
        <v>3136</v>
      </c>
      <c r="K1828" s="15">
        <v>44132</v>
      </c>
      <c r="L1828" s="285">
        <v>894</v>
      </c>
      <c r="M1828" s="15">
        <v>44105</v>
      </c>
      <c r="N1828" s="40">
        <v>1</v>
      </c>
      <c r="O1828" s="40">
        <v>15490</v>
      </c>
      <c r="P1828" s="40">
        <v>15490</v>
      </c>
      <c r="Q1828" s="17">
        <v>0</v>
      </c>
      <c r="R1828" s="285" t="s">
        <v>10143</v>
      </c>
      <c r="S1828" s="15">
        <v>44073</v>
      </c>
      <c r="T1828" s="22"/>
    </row>
    <row r="1829" spans="1:20" ht="44.25" customHeight="1" x14ac:dyDescent="0.2">
      <c r="A1829" s="21">
        <v>1857</v>
      </c>
      <c r="B1829" s="12" t="s">
        <v>9973</v>
      </c>
      <c r="C1829" s="18"/>
      <c r="D1829" s="9" t="s">
        <v>10039</v>
      </c>
      <c r="E1829" s="289">
        <v>2010</v>
      </c>
      <c r="F1829" s="9" t="s">
        <v>10197</v>
      </c>
      <c r="G1829" s="285" t="s">
        <v>4296</v>
      </c>
      <c r="H1829" s="285" t="s">
        <v>3793</v>
      </c>
      <c r="I1829" s="9"/>
      <c r="J1829" s="285" t="s">
        <v>3136</v>
      </c>
      <c r="K1829" s="15">
        <v>44132</v>
      </c>
      <c r="L1829" s="285">
        <v>894</v>
      </c>
      <c r="M1829" s="15">
        <v>44105</v>
      </c>
      <c r="N1829" s="40">
        <v>1</v>
      </c>
      <c r="O1829" s="40">
        <v>21160</v>
      </c>
      <c r="P1829" s="40">
        <v>21160</v>
      </c>
      <c r="Q1829" s="17">
        <v>0</v>
      </c>
      <c r="R1829" s="285" t="s">
        <v>10143</v>
      </c>
      <c r="S1829" s="15">
        <v>44073</v>
      </c>
      <c r="T1829" s="22"/>
    </row>
    <row r="1830" spans="1:20" ht="44.25" customHeight="1" x14ac:dyDescent="0.2">
      <c r="A1830" s="21">
        <v>1858</v>
      </c>
      <c r="B1830" s="12" t="s">
        <v>9974</v>
      </c>
      <c r="C1830" s="18"/>
      <c r="D1830" s="9" t="s">
        <v>10199</v>
      </c>
      <c r="E1830" s="289">
        <v>2012</v>
      </c>
      <c r="F1830" s="9" t="s">
        <v>10198</v>
      </c>
      <c r="G1830" s="285" t="s">
        <v>4296</v>
      </c>
      <c r="H1830" s="285" t="s">
        <v>3793</v>
      </c>
      <c r="I1830" s="9"/>
      <c r="J1830" s="285" t="s">
        <v>3136</v>
      </c>
      <c r="K1830" s="15">
        <v>44132</v>
      </c>
      <c r="L1830" s="285">
        <v>894</v>
      </c>
      <c r="M1830" s="15">
        <v>44105</v>
      </c>
      <c r="N1830" s="40">
        <v>1</v>
      </c>
      <c r="O1830" s="40">
        <v>24090</v>
      </c>
      <c r="P1830" s="40">
        <v>24090</v>
      </c>
      <c r="Q1830" s="17">
        <v>0</v>
      </c>
      <c r="R1830" s="285" t="s">
        <v>10143</v>
      </c>
      <c r="S1830" s="15">
        <v>44073</v>
      </c>
      <c r="T1830" s="22"/>
    </row>
    <row r="1831" spans="1:20" ht="49.5" customHeight="1" x14ac:dyDescent="0.2">
      <c r="A1831" s="21">
        <v>1859</v>
      </c>
      <c r="B1831" s="12" t="s">
        <v>9975</v>
      </c>
      <c r="C1831" s="18"/>
      <c r="D1831" s="9" t="s">
        <v>10039</v>
      </c>
      <c r="E1831" s="289">
        <v>2010</v>
      </c>
      <c r="F1831" s="9" t="s">
        <v>10200</v>
      </c>
      <c r="G1831" s="285" t="s">
        <v>4296</v>
      </c>
      <c r="H1831" s="285" t="s">
        <v>3793</v>
      </c>
      <c r="I1831" s="9"/>
      <c r="J1831" s="285" t="s">
        <v>3136</v>
      </c>
      <c r="K1831" s="15">
        <v>44132</v>
      </c>
      <c r="L1831" s="285">
        <v>894</v>
      </c>
      <c r="M1831" s="15">
        <v>44105</v>
      </c>
      <c r="N1831" s="40">
        <v>1</v>
      </c>
      <c r="O1831" s="40">
        <v>21160</v>
      </c>
      <c r="P1831" s="40">
        <v>21160</v>
      </c>
      <c r="Q1831" s="17">
        <v>0</v>
      </c>
      <c r="R1831" s="285" t="s">
        <v>10143</v>
      </c>
      <c r="S1831" s="15">
        <v>44073</v>
      </c>
      <c r="T1831" s="22"/>
    </row>
    <row r="1832" spans="1:20" ht="49.5" customHeight="1" x14ac:dyDescent="0.2">
      <c r="A1832" s="21">
        <v>1860</v>
      </c>
      <c r="B1832" s="12" t="s">
        <v>9976</v>
      </c>
      <c r="C1832" s="18"/>
      <c r="D1832" s="9" t="s">
        <v>10039</v>
      </c>
      <c r="E1832" s="289">
        <v>2000</v>
      </c>
      <c r="F1832" s="9" t="s">
        <v>10201</v>
      </c>
      <c r="G1832" s="285" t="s">
        <v>4296</v>
      </c>
      <c r="H1832" s="285" t="s">
        <v>3793</v>
      </c>
      <c r="I1832" s="9"/>
      <c r="J1832" s="285" t="s">
        <v>3136</v>
      </c>
      <c r="K1832" s="15">
        <v>44132</v>
      </c>
      <c r="L1832" s="285">
        <v>894</v>
      </c>
      <c r="M1832" s="15">
        <v>44105</v>
      </c>
      <c r="N1832" s="40">
        <v>1</v>
      </c>
      <c r="O1832" s="40">
        <v>17900</v>
      </c>
      <c r="P1832" s="40">
        <v>17900</v>
      </c>
      <c r="Q1832" s="17">
        <v>0</v>
      </c>
      <c r="R1832" s="285" t="s">
        <v>10143</v>
      </c>
      <c r="S1832" s="15">
        <v>44073</v>
      </c>
      <c r="T1832" s="22"/>
    </row>
    <row r="1833" spans="1:20" ht="48" customHeight="1" x14ac:dyDescent="0.2">
      <c r="A1833" s="21">
        <v>1861</v>
      </c>
      <c r="B1833" s="12" t="s">
        <v>9977</v>
      </c>
      <c r="C1833" s="18"/>
      <c r="D1833" s="9" t="s">
        <v>4101</v>
      </c>
      <c r="E1833" s="289">
        <v>2012</v>
      </c>
      <c r="F1833" s="9" t="s">
        <v>10202</v>
      </c>
      <c r="G1833" s="285" t="s">
        <v>4296</v>
      </c>
      <c r="H1833" s="285" t="s">
        <v>3793</v>
      </c>
      <c r="I1833" s="9"/>
      <c r="J1833" s="285" t="s">
        <v>3136</v>
      </c>
      <c r="K1833" s="15">
        <v>44132</v>
      </c>
      <c r="L1833" s="285">
        <v>894</v>
      </c>
      <c r="M1833" s="15">
        <v>44105</v>
      </c>
      <c r="N1833" s="40">
        <v>1</v>
      </c>
      <c r="O1833" s="40">
        <v>18140</v>
      </c>
      <c r="P1833" s="40">
        <v>18140</v>
      </c>
      <c r="Q1833" s="17">
        <v>0</v>
      </c>
      <c r="R1833" s="285" t="s">
        <v>10143</v>
      </c>
      <c r="S1833" s="15">
        <v>44073</v>
      </c>
      <c r="T1833" s="22"/>
    </row>
    <row r="1834" spans="1:20" ht="48" customHeight="1" x14ac:dyDescent="0.2">
      <c r="A1834" s="21">
        <v>1862</v>
      </c>
      <c r="B1834" s="12" t="s">
        <v>9978</v>
      </c>
      <c r="C1834" s="18"/>
      <c r="D1834" s="9" t="s">
        <v>10040</v>
      </c>
      <c r="E1834" s="289">
        <v>2000</v>
      </c>
      <c r="F1834" s="9" t="s">
        <v>10203</v>
      </c>
      <c r="G1834" s="285" t="s">
        <v>4296</v>
      </c>
      <c r="H1834" s="285" t="s">
        <v>3793</v>
      </c>
      <c r="I1834" s="9"/>
      <c r="J1834" s="285" t="s">
        <v>3136</v>
      </c>
      <c r="K1834" s="15">
        <v>44132</v>
      </c>
      <c r="L1834" s="285">
        <v>894</v>
      </c>
      <c r="M1834" s="15">
        <v>44105</v>
      </c>
      <c r="N1834" s="40">
        <v>1</v>
      </c>
      <c r="O1834" s="40">
        <v>17490</v>
      </c>
      <c r="P1834" s="40">
        <v>17490</v>
      </c>
      <c r="Q1834" s="17">
        <v>0</v>
      </c>
      <c r="R1834" s="285" t="s">
        <v>10143</v>
      </c>
      <c r="S1834" s="15">
        <v>44073</v>
      </c>
      <c r="T1834" s="22"/>
    </row>
    <row r="1835" spans="1:20" ht="53.25" customHeight="1" x14ac:dyDescent="0.2">
      <c r="A1835" s="21">
        <v>1863</v>
      </c>
      <c r="B1835" s="12" t="s">
        <v>9979</v>
      </c>
      <c r="C1835" s="18"/>
      <c r="D1835" s="9" t="s">
        <v>10041</v>
      </c>
      <c r="E1835" s="289">
        <v>2000</v>
      </c>
      <c r="F1835" s="9" t="s">
        <v>10205</v>
      </c>
      <c r="G1835" s="285" t="s">
        <v>4296</v>
      </c>
      <c r="H1835" s="285" t="s">
        <v>3793</v>
      </c>
      <c r="I1835" s="41"/>
      <c r="J1835" s="285" t="s">
        <v>3136</v>
      </c>
      <c r="K1835" s="15">
        <v>44132</v>
      </c>
      <c r="L1835" s="285">
        <v>894</v>
      </c>
      <c r="M1835" s="15">
        <v>44105</v>
      </c>
      <c r="N1835" s="40">
        <v>1</v>
      </c>
      <c r="O1835" s="40">
        <v>31410</v>
      </c>
      <c r="P1835" s="40">
        <v>31410</v>
      </c>
      <c r="Q1835" s="17">
        <v>0</v>
      </c>
      <c r="R1835" s="285" t="s">
        <v>10143</v>
      </c>
      <c r="S1835" s="15">
        <v>44073</v>
      </c>
      <c r="T1835" s="22"/>
    </row>
    <row r="1836" spans="1:20" ht="44.25" customHeight="1" x14ac:dyDescent="0.2">
      <c r="A1836" s="21">
        <v>1864</v>
      </c>
      <c r="B1836" s="12" t="s">
        <v>9980</v>
      </c>
      <c r="C1836" s="18"/>
      <c r="D1836" s="9" t="s">
        <v>10042</v>
      </c>
      <c r="E1836" s="289">
        <v>2012</v>
      </c>
      <c r="F1836" s="9" t="s">
        <v>10206</v>
      </c>
      <c r="G1836" s="285" t="s">
        <v>4296</v>
      </c>
      <c r="H1836" s="285" t="s">
        <v>3793</v>
      </c>
      <c r="I1836" s="9"/>
      <c r="J1836" s="285" t="s">
        <v>3136</v>
      </c>
      <c r="K1836" s="15">
        <v>44132</v>
      </c>
      <c r="L1836" s="285">
        <v>894</v>
      </c>
      <c r="M1836" s="15">
        <v>44105</v>
      </c>
      <c r="N1836" s="40">
        <v>1</v>
      </c>
      <c r="O1836" s="40">
        <v>18970</v>
      </c>
      <c r="P1836" s="40">
        <v>18970</v>
      </c>
      <c r="Q1836" s="17">
        <v>0</v>
      </c>
      <c r="R1836" s="285" t="s">
        <v>10143</v>
      </c>
      <c r="S1836" s="15">
        <v>44073</v>
      </c>
      <c r="T1836" s="22"/>
    </row>
    <row r="1837" spans="1:20" ht="49.5" customHeight="1" x14ac:dyDescent="0.2">
      <c r="A1837" s="21">
        <v>1865</v>
      </c>
      <c r="B1837" s="12" t="s">
        <v>9981</v>
      </c>
      <c r="C1837" s="18"/>
      <c r="D1837" s="9" t="s">
        <v>10042</v>
      </c>
      <c r="E1837" s="289">
        <v>2012</v>
      </c>
      <c r="F1837" s="9" t="s">
        <v>10207</v>
      </c>
      <c r="G1837" s="285" t="s">
        <v>4296</v>
      </c>
      <c r="H1837" s="285" t="s">
        <v>3793</v>
      </c>
      <c r="I1837" s="9"/>
      <c r="J1837" s="285" t="s">
        <v>3136</v>
      </c>
      <c r="K1837" s="15">
        <v>44132</v>
      </c>
      <c r="L1837" s="285">
        <v>894</v>
      </c>
      <c r="M1837" s="15">
        <v>44105</v>
      </c>
      <c r="N1837" s="40">
        <v>1</v>
      </c>
      <c r="O1837" s="40">
        <v>25860</v>
      </c>
      <c r="P1837" s="40">
        <v>25860</v>
      </c>
      <c r="Q1837" s="17">
        <v>0</v>
      </c>
      <c r="R1837" s="285" t="s">
        <v>10143</v>
      </c>
      <c r="S1837" s="15">
        <v>44073</v>
      </c>
      <c r="T1837" s="22"/>
    </row>
    <row r="1838" spans="1:20" ht="49.5" customHeight="1" x14ac:dyDescent="0.2">
      <c r="A1838" s="21">
        <v>1866</v>
      </c>
      <c r="B1838" s="12" t="s">
        <v>9982</v>
      </c>
      <c r="C1838" s="18"/>
      <c r="D1838" s="9" t="s">
        <v>2253</v>
      </c>
      <c r="E1838" s="289">
        <v>2000</v>
      </c>
      <c r="F1838" s="9" t="s">
        <v>10208</v>
      </c>
      <c r="G1838" s="285" t="s">
        <v>4296</v>
      </c>
      <c r="H1838" s="285" t="s">
        <v>3793</v>
      </c>
      <c r="I1838" s="9"/>
      <c r="J1838" s="285" t="s">
        <v>3136</v>
      </c>
      <c r="K1838" s="15">
        <v>44132</v>
      </c>
      <c r="L1838" s="285">
        <v>894</v>
      </c>
      <c r="M1838" s="15">
        <v>44105</v>
      </c>
      <c r="N1838" s="40">
        <v>1</v>
      </c>
      <c r="O1838" s="40">
        <v>12930</v>
      </c>
      <c r="P1838" s="40">
        <v>12930</v>
      </c>
      <c r="Q1838" s="17">
        <v>0</v>
      </c>
      <c r="R1838" s="285" t="s">
        <v>10143</v>
      </c>
      <c r="S1838" s="15">
        <v>44073</v>
      </c>
      <c r="T1838" s="22"/>
    </row>
    <row r="1839" spans="1:20" ht="45" customHeight="1" x14ac:dyDescent="0.2">
      <c r="A1839" s="21">
        <v>1867</v>
      </c>
      <c r="B1839" s="12" t="s">
        <v>9983</v>
      </c>
      <c r="C1839" s="18"/>
      <c r="D1839" s="9" t="s">
        <v>2255</v>
      </c>
      <c r="E1839" s="289">
        <v>2000</v>
      </c>
      <c r="F1839" s="9" t="s">
        <v>10209</v>
      </c>
      <c r="G1839" s="285" t="s">
        <v>4296</v>
      </c>
      <c r="H1839" s="285" t="s">
        <v>3793</v>
      </c>
      <c r="I1839" s="9"/>
      <c r="J1839" s="285" t="s">
        <v>3136</v>
      </c>
      <c r="K1839" s="15">
        <v>44132</v>
      </c>
      <c r="L1839" s="285">
        <v>894</v>
      </c>
      <c r="M1839" s="15">
        <v>44105</v>
      </c>
      <c r="N1839" s="40">
        <v>1</v>
      </c>
      <c r="O1839" s="40">
        <v>47000</v>
      </c>
      <c r="P1839" s="178">
        <v>4073.42</v>
      </c>
      <c r="Q1839" s="17">
        <f t="shared" ref="Q1839:Q1870" si="43">O1839-P1839</f>
        <v>42926.58</v>
      </c>
      <c r="R1839" s="285" t="s">
        <v>10143</v>
      </c>
      <c r="S1839" s="15">
        <v>44073</v>
      </c>
      <c r="T1839" s="22"/>
    </row>
    <row r="1840" spans="1:20" ht="45" customHeight="1" x14ac:dyDescent="0.2">
      <c r="A1840" s="21">
        <v>1868</v>
      </c>
      <c r="B1840" s="12" t="s">
        <v>9984</v>
      </c>
      <c r="C1840" s="18"/>
      <c r="D1840" s="9" t="s">
        <v>2256</v>
      </c>
      <c r="E1840" s="289">
        <v>2000</v>
      </c>
      <c r="F1840" s="9" t="s">
        <v>10210</v>
      </c>
      <c r="G1840" s="285" t="s">
        <v>4296</v>
      </c>
      <c r="H1840" s="285" t="s">
        <v>3793</v>
      </c>
      <c r="I1840" s="9"/>
      <c r="J1840" s="285" t="s">
        <v>3136</v>
      </c>
      <c r="K1840" s="15">
        <v>44132</v>
      </c>
      <c r="L1840" s="285">
        <v>894</v>
      </c>
      <c r="M1840" s="15">
        <v>44105</v>
      </c>
      <c r="N1840" s="40">
        <v>1</v>
      </c>
      <c r="O1840" s="40">
        <v>47000</v>
      </c>
      <c r="P1840" s="178">
        <v>4073.42</v>
      </c>
      <c r="Q1840" s="17">
        <f t="shared" si="43"/>
        <v>42926.58</v>
      </c>
      <c r="R1840" s="285" t="s">
        <v>10143</v>
      </c>
      <c r="S1840" s="15">
        <v>44073</v>
      </c>
      <c r="T1840" s="22"/>
    </row>
    <row r="1841" spans="1:20" ht="38.25" customHeight="1" x14ac:dyDescent="0.2">
      <c r="A1841" s="21">
        <v>1869</v>
      </c>
      <c r="B1841" s="12" t="s">
        <v>9985</v>
      </c>
      <c r="C1841" s="18"/>
      <c r="D1841" s="9" t="s">
        <v>2257</v>
      </c>
      <c r="E1841" s="289">
        <v>2000</v>
      </c>
      <c r="F1841" s="9" t="s">
        <v>10211</v>
      </c>
      <c r="G1841" s="285" t="s">
        <v>4296</v>
      </c>
      <c r="H1841" s="285" t="s">
        <v>3793</v>
      </c>
      <c r="I1841" s="9"/>
      <c r="J1841" s="285" t="s">
        <v>3136</v>
      </c>
      <c r="K1841" s="15">
        <v>44132</v>
      </c>
      <c r="L1841" s="285">
        <v>894</v>
      </c>
      <c r="M1841" s="15">
        <v>44105</v>
      </c>
      <c r="N1841" s="40">
        <v>1</v>
      </c>
      <c r="O1841" s="40">
        <v>47000</v>
      </c>
      <c r="P1841" s="178">
        <v>4073.42</v>
      </c>
      <c r="Q1841" s="17">
        <f t="shared" si="43"/>
        <v>42926.58</v>
      </c>
      <c r="R1841" s="285" t="s">
        <v>10143</v>
      </c>
      <c r="S1841" s="15">
        <v>44073</v>
      </c>
      <c r="T1841" s="22"/>
    </row>
    <row r="1842" spans="1:20" ht="38.25" customHeight="1" x14ac:dyDescent="0.2">
      <c r="A1842" s="21">
        <v>1870</v>
      </c>
      <c r="B1842" s="289" t="s">
        <v>10174</v>
      </c>
      <c r="C1842" s="18"/>
      <c r="D1842" s="9" t="s">
        <v>1417</v>
      </c>
      <c r="E1842" s="289">
        <v>2000</v>
      </c>
      <c r="F1842" s="9" t="s">
        <v>10212</v>
      </c>
      <c r="G1842" s="285" t="s">
        <v>4296</v>
      </c>
      <c r="H1842" s="285" t="s">
        <v>3793</v>
      </c>
      <c r="I1842" s="9"/>
      <c r="J1842" s="285" t="s">
        <v>3136</v>
      </c>
      <c r="K1842" s="15">
        <v>44132</v>
      </c>
      <c r="L1842" s="285">
        <v>894</v>
      </c>
      <c r="M1842" s="15">
        <v>44105</v>
      </c>
      <c r="N1842" s="40">
        <v>1</v>
      </c>
      <c r="O1842" s="40">
        <v>47000</v>
      </c>
      <c r="P1842" s="178">
        <v>4073.42</v>
      </c>
      <c r="Q1842" s="17">
        <f t="shared" si="43"/>
        <v>42926.58</v>
      </c>
      <c r="R1842" s="285" t="s">
        <v>10143</v>
      </c>
      <c r="S1842" s="15">
        <v>44073</v>
      </c>
      <c r="T1842" s="22"/>
    </row>
    <row r="1843" spans="1:20" ht="56.25" customHeight="1" x14ac:dyDescent="0.2">
      <c r="A1843" s="21">
        <v>1871</v>
      </c>
      <c r="B1843" s="12" t="s">
        <v>9986</v>
      </c>
      <c r="C1843" s="18"/>
      <c r="D1843" s="9" t="s">
        <v>2983</v>
      </c>
      <c r="E1843" s="289">
        <v>2000</v>
      </c>
      <c r="F1843" s="9" t="s">
        <v>10213</v>
      </c>
      <c r="G1843" s="285" t="s">
        <v>4296</v>
      </c>
      <c r="H1843" s="285" t="s">
        <v>3793</v>
      </c>
      <c r="I1843" s="9"/>
      <c r="J1843" s="285" t="s">
        <v>3136</v>
      </c>
      <c r="K1843" s="15">
        <v>44132</v>
      </c>
      <c r="L1843" s="285">
        <v>894</v>
      </c>
      <c r="M1843" s="15">
        <v>44105</v>
      </c>
      <c r="N1843" s="40">
        <v>1</v>
      </c>
      <c r="O1843" s="40">
        <v>47000</v>
      </c>
      <c r="P1843" s="178">
        <v>4073.42</v>
      </c>
      <c r="Q1843" s="17">
        <f t="shared" si="43"/>
        <v>42926.58</v>
      </c>
      <c r="R1843" s="285" t="s">
        <v>10143</v>
      </c>
      <c r="S1843" s="15">
        <v>44073</v>
      </c>
      <c r="T1843" s="22"/>
    </row>
    <row r="1844" spans="1:20" ht="56.25" customHeight="1" x14ac:dyDescent="0.2">
      <c r="A1844" s="21">
        <v>1872</v>
      </c>
      <c r="B1844" s="12" t="s">
        <v>9987</v>
      </c>
      <c r="C1844" s="18"/>
      <c r="D1844" s="9" t="s">
        <v>3326</v>
      </c>
      <c r="E1844" s="289">
        <v>2000</v>
      </c>
      <c r="F1844" s="9" t="s">
        <v>10214</v>
      </c>
      <c r="G1844" s="285" t="s">
        <v>4296</v>
      </c>
      <c r="H1844" s="285" t="s">
        <v>3793</v>
      </c>
      <c r="I1844" s="9"/>
      <c r="J1844" s="285" t="s">
        <v>3136</v>
      </c>
      <c r="K1844" s="15">
        <v>44132</v>
      </c>
      <c r="L1844" s="285">
        <v>894</v>
      </c>
      <c r="M1844" s="15">
        <v>44105</v>
      </c>
      <c r="N1844" s="40">
        <v>1</v>
      </c>
      <c r="O1844" s="40">
        <v>12250</v>
      </c>
      <c r="P1844" s="40">
        <v>12250</v>
      </c>
      <c r="Q1844" s="17">
        <f t="shared" si="43"/>
        <v>0</v>
      </c>
      <c r="R1844" s="285" t="s">
        <v>10143</v>
      </c>
      <c r="S1844" s="15">
        <v>44073</v>
      </c>
      <c r="T1844" s="22"/>
    </row>
    <row r="1845" spans="1:20" ht="51" customHeight="1" x14ac:dyDescent="0.2">
      <c r="A1845" s="21">
        <v>1873</v>
      </c>
      <c r="B1845" s="12" t="s">
        <v>9988</v>
      </c>
      <c r="C1845" s="18"/>
      <c r="D1845" s="9" t="s">
        <v>10043</v>
      </c>
      <c r="E1845" s="289">
        <v>2011</v>
      </c>
      <c r="F1845" s="9" t="s">
        <v>10215</v>
      </c>
      <c r="G1845" s="285" t="s">
        <v>4296</v>
      </c>
      <c r="H1845" s="285" t="s">
        <v>3793</v>
      </c>
      <c r="I1845" s="9"/>
      <c r="J1845" s="285" t="s">
        <v>3136</v>
      </c>
      <c r="K1845" s="15">
        <v>44132</v>
      </c>
      <c r="L1845" s="285">
        <v>894</v>
      </c>
      <c r="M1845" s="15">
        <v>44105</v>
      </c>
      <c r="N1845" s="40">
        <v>1</v>
      </c>
      <c r="O1845" s="40">
        <v>11390</v>
      </c>
      <c r="P1845" s="40">
        <v>11390</v>
      </c>
      <c r="Q1845" s="17">
        <f t="shared" si="43"/>
        <v>0</v>
      </c>
      <c r="R1845" s="285" t="s">
        <v>10143</v>
      </c>
      <c r="S1845" s="15">
        <v>44073</v>
      </c>
      <c r="T1845" s="22"/>
    </row>
    <row r="1846" spans="1:20" ht="51" customHeight="1" x14ac:dyDescent="0.2">
      <c r="A1846" s="21">
        <v>1874</v>
      </c>
      <c r="B1846" s="12" t="s">
        <v>9989</v>
      </c>
      <c r="C1846" s="18"/>
      <c r="D1846" s="9" t="s">
        <v>10043</v>
      </c>
      <c r="E1846" s="289">
        <v>2011</v>
      </c>
      <c r="F1846" s="9" t="s">
        <v>10216</v>
      </c>
      <c r="G1846" s="285" t="s">
        <v>4296</v>
      </c>
      <c r="H1846" s="285" t="s">
        <v>3793</v>
      </c>
      <c r="I1846" s="9"/>
      <c r="J1846" s="285" t="s">
        <v>3136</v>
      </c>
      <c r="K1846" s="15">
        <v>44132</v>
      </c>
      <c r="L1846" s="285">
        <v>894</v>
      </c>
      <c r="M1846" s="15">
        <v>44105</v>
      </c>
      <c r="N1846" s="40">
        <v>1</v>
      </c>
      <c r="O1846" s="40">
        <v>11390</v>
      </c>
      <c r="P1846" s="40">
        <v>11390</v>
      </c>
      <c r="Q1846" s="17">
        <f t="shared" si="43"/>
        <v>0</v>
      </c>
      <c r="R1846" s="285" t="s">
        <v>10143</v>
      </c>
      <c r="S1846" s="15">
        <v>44073</v>
      </c>
      <c r="T1846" s="22"/>
    </row>
    <row r="1847" spans="1:20" ht="52.5" customHeight="1" x14ac:dyDescent="0.2">
      <c r="A1847" s="21">
        <v>1875</v>
      </c>
      <c r="B1847" s="12" t="s">
        <v>9990</v>
      </c>
      <c r="C1847" s="18"/>
      <c r="D1847" s="9" t="s">
        <v>4612</v>
      </c>
      <c r="E1847" s="289">
        <v>2013</v>
      </c>
      <c r="F1847" s="9" t="s">
        <v>10217</v>
      </c>
      <c r="G1847" s="285" t="s">
        <v>4296</v>
      </c>
      <c r="H1847" s="285" t="s">
        <v>3793</v>
      </c>
      <c r="I1847" s="9"/>
      <c r="J1847" s="285" t="s">
        <v>3136</v>
      </c>
      <c r="K1847" s="15">
        <v>44132</v>
      </c>
      <c r="L1847" s="285">
        <v>894</v>
      </c>
      <c r="M1847" s="15">
        <v>44105</v>
      </c>
      <c r="N1847" s="40">
        <v>1</v>
      </c>
      <c r="O1847" s="40">
        <v>18460</v>
      </c>
      <c r="P1847" s="40">
        <v>18460</v>
      </c>
      <c r="Q1847" s="17">
        <f t="shared" si="43"/>
        <v>0</v>
      </c>
      <c r="R1847" s="285" t="s">
        <v>10143</v>
      </c>
      <c r="S1847" s="15">
        <v>44073</v>
      </c>
      <c r="T1847" s="22"/>
    </row>
    <row r="1848" spans="1:20" ht="52.5" customHeight="1" x14ac:dyDescent="0.2">
      <c r="A1848" s="21">
        <v>1876</v>
      </c>
      <c r="B1848" s="12" t="s">
        <v>9991</v>
      </c>
      <c r="C1848" s="18"/>
      <c r="D1848" s="9" t="s">
        <v>10044</v>
      </c>
      <c r="E1848" s="289">
        <v>2000</v>
      </c>
      <c r="F1848" s="9" t="s">
        <v>10218</v>
      </c>
      <c r="G1848" s="285" t="s">
        <v>4296</v>
      </c>
      <c r="H1848" s="285" t="s">
        <v>3793</v>
      </c>
      <c r="I1848" s="9"/>
      <c r="J1848" s="285" t="s">
        <v>3136</v>
      </c>
      <c r="K1848" s="15">
        <v>44132</v>
      </c>
      <c r="L1848" s="285">
        <v>894</v>
      </c>
      <c r="M1848" s="15">
        <v>44105</v>
      </c>
      <c r="N1848" s="40">
        <v>1</v>
      </c>
      <c r="O1848" s="40">
        <v>52840</v>
      </c>
      <c r="P1848" s="178">
        <v>16355.3</v>
      </c>
      <c r="Q1848" s="17">
        <f t="shared" si="43"/>
        <v>36484.699999999997</v>
      </c>
      <c r="R1848" s="285" t="s">
        <v>10143</v>
      </c>
      <c r="S1848" s="15">
        <v>44073</v>
      </c>
      <c r="T1848" s="22"/>
    </row>
    <row r="1849" spans="1:20" ht="48" customHeight="1" x14ac:dyDescent="0.2">
      <c r="A1849" s="21">
        <v>1877</v>
      </c>
      <c r="B1849" s="12" t="s">
        <v>9992</v>
      </c>
      <c r="C1849" s="18"/>
      <c r="D1849" s="9" t="s">
        <v>2254</v>
      </c>
      <c r="E1849" s="289">
        <v>2000</v>
      </c>
      <c r="F1849" s="9" t="s">
        <v>10219</v>
      </c>
      <c r="G1849" s="285" t="s">
        <v>4296</v>
      </c>
      <c r="H1849" s="285" t="s">
        <v>3793</v>
      </c>
      <c r="I1849" s="9"/>
      <c r="J1849" s="285" t="s">
        <v>3136</v>
      </c>
      <c r="K1849" s="15">
        <v>44132</v>
      </c>
      <c r="L1849" s="285">
        <v>894</v>
      </c>
      <c r="M1849" s="15">
        <v>44105</v>
      </c>
      <c r="N1849" s="40">
        <v>1</v>
      </c>
      <c r="O1849" s="40">
        <v>91140</v>
      </c>
      <c r="P1849" s="178">
        <v>19747</v>
      </c>
      <c r="Q1849" s="17">
        <f t="shared" si="43"/>
        <v>71393</v>
      </c>
      <c r="R1849" s="285" t="s">
        <v>10143</v>
      </c>
      <c r="S1849" s="15">
        <v>44073</v>
      </c>
      <c r="T1849" s="22"/>
    </row>
    <row r="1850" spans="1:20" ht="48" customHeight="1" x14ac:dyDescent="0.2">
      <c r="A1850" s="21">
        <v>1878</v>
      </c>
      <c r="B1850" s="12" t="s">
        <v>9993</v>
      </c>
      <c r="C1850" s="18"/>
      <c r="D1850" s="9" t="s">
        <v>10045</v>
      </c>
      <c r="E1850" s="289">
        <v>2000</v>
      </c>
      <c r="F1850" s="9" t="s">
        <v>10220</v>
      </c>
      <c r="G1850" s="285" t="s">
        <v>4296</v>
      </c>
      <c r="H1850" s="285" t="s">
        <v>3793</v>
      </c>
      <c r="I1850" s="9"/>
      <c r="J1850" s="285" t="s">
        <v>3136</v>
      </c>
      <c r="K1850" s="15">
        <v>44132</v>
      </c>
      <c r="L1850" s="285">
        <v>894</v>
      </c>
      <c r="M1850" s="15">
        <v>44105</v>
      </c>
      <c r="N1850" s="40">
        <v>2</v>
      </c>
      <c r="O1850" s="40">
        <v>87080</v>
      </c>
      <c r="P1850" s="178">
        <v>26953.16</v>
      </c>
      <c r="Q1850" s="17">
        <f t="shared" si="43"/>
        <v>60126.84</v>
      </c>
      <c r="R1850" s="285" t="s">
        <v>10143</v>
      </c>
      <c r="S1850" s="15">
        <v>44073</v>
      </c>
      <c r="T1850" s="22"/>
    </row>
    <row r="1851" spans="1:20" ht="54.75" customHeight="1" x14ac:dyDescent="0.2">
      <c r="A1851" s="21">
        <v>1879</v>
      </c>
      <c r="B1851" s="12" t="s">
        <v>9994</v>
      </c>
      <c r="C1851" s="18"/>
      <c r="D1851" s="9" t="s">
        <v>3387</v>
      </c>
      <c r="E1851" s="289">
        <v>2000</v>
      </c>
      <c r="F1851" s="9" t="s">
        <v>10221</v>
      </c>
      <c r="G1851" s="285" t="s">
        <v>4296</v>
      </c>
      <c r="H1851" s="285" t="s">
        <v>3793</v>
      </c>
      <c r="I1851" s="9"/>
      <c r="J1851" s="285" t="s">
        <v>3136</v>
      </c>
      <c r="K1851" s="15">
        <v>44132</v>
      </c>
      <c r="L1851" s="285">
        <v>894</v>
      </c>
      <c r="M1851" s="15">
        <v>44105</v>
      </c>
      <c r="N1851" s="40">
        <v>1</v>
      </c>
      <c r="O1851" s="40">
        <v>193120</v>
      </c>
      <c r="P1851" s="178">
        <v>59072</v>
      </c>
      <c r="Q1851" s="17">
        <f t="shared" si="43"/>
        <v>134048</v>
      </c>
      <c r="R1851" s="285" t="s">
        <v>10143</v>
      </c>
      <c r="S1851" s="15">
        <v>44073</v>
      </c>
      <c r="T1851" s="22"/>
    </row>
    <row r="1852" spans="1:20" ht="54.75" customHeight="1" x14ac:dyDescent="0.2">
      <c r="A1852" s="21">
        <v>1880</v>
      </c>
      <c r="B1852" s="12" t="s">
        <v>9995</v>
      </c>
      <c r="C1852" s="18"/>
      <c r="D1852" s="9" t="s">
        <v>10046</v>
      </c>
      <c r="E1852" s="289">
        <v>2000</v>
      </c>
      <c r="F1852" s="9" t="s">
        <v>10222</v>
      </c>
      <c r="G1852" s="285" t="s">
        <v>4296</v>
      </c>
      <c r="H1852" s="285" t="s">
        <v>3793</v>
      </c>
      <c r="I1852" s="9"/>
      <c r="J1852" s="285" t="s">
        <v>3136</v>
      </c>
      <c r="K1852" s="15">
        <v>44132</v>
      </c>
      <c r="L1852" s="285">
        <v>894</v>
      </c>
      <c r="M1852" s="15">
        <v>44105</v>
      </c>
      <c r="N1852" s="40">
        <v>1</v>
      </c>
      <c r="O1852" s="40">
        <v>17860</v>
      </c>
      <c r="P1852" s="40">
        <v>17860</v>
      </c>
      <c r="Q1852" s="17">
        <f t="shared" si="43"/>
        <v>0</v>
      </c>
      <c r="R1852" s="285" t="s">
        <v>10143</v>
      </c>
      <c r="S1852" s="15">
        <v>44073</v>
      </c>
      <c r="T1852" s="22"/>
    </row>
    <row r="1853" spans="1:20" ht="78.75" customHeight="1" x14ac:dyDescent="0.2">
      <c r="A1853" s="21">
        <v>1881</v>
      </c>
      <c r="B1853" s="12" t="s">
        <v>9996</v>
      </c>
      <c r="C1853" s="18"/>
      <c r="D1853" s="9" t="s">
        <v>10047</v>
      </c>
      <c r="E1853" s="289">
        <v>2000</v>
      </c>
      <c r="F1853" s="9" t="s">
        <v>10223</v>
      </c>
      <c r="G1853" s="285" t="s">
        <v>4296</v>
      </c>
      <c r="H1853" s="285" t="s">
        <v>3793</v>
      </c>
      <c r="I1853" s="9"/>
      <c r="J1853" s="285" t="s">
        <v>3136</v>
      </c>
      <c r="K1853" s="15">
        <v>44132</v>
      </c>
      <c r="L1853" s="285">
        <v>894</v>
      </c>
      <c r="M1853" s="15">
        <v>44105</v>
      </c>
      <c r="N1853" s="62">
        <v>1</v>
      </c>
      <c r="O1853" s="62">
        <v>47000</v>
      </c>
      <c r="P1853" s="179">
        <v>4073.42</v>
      </c>
      <c r="Q1853" s="17">
        <f t="shared" si="43"/>
        <v>42926.58</v>
      </c>
      <c r="R1853" s="285" t="s">
        <v>10143</v>
      </c>
      <c r="S1853" s="15">
        <v>44073</v>
      </c>
      <c r="T1853" s="22"/>
    </row>
    <row r="1854" spans="1:20" ht="63.75" customHeight="1" x14ac:dyDescent="0.2">
      <c r="A1854" s="21">
        <v>1882</v>
      </c>
      <c r="B1854" s="12" t="s">
        <v>9997</v>
      </c>
      <c r="C1854" s="18"/>
      <c r="D1854" s="9" t="s">
        <v>10048</v>
      </c>
      <c r="E1854" s="289">
        <v>2000</v>
      </c>
      <c r="F1854" s="9" t="s">
        <v>10224</v>
      </c>
      <c r="G1854" s="285" t="s">
        <v>4296</v>
      </c>
      <c r="H1854" s="285" t="s">
        <v>3793</v>
      </c>
      <c r="I1854" s="9"/>
      <c r="J1854" s="285" t="s">
        <v>3136</v>
      </c>
      <c r="K1854" s="15">
        <v>44132</v>
      </c>
      <c r="L1854" s="285">
        <v>894</v>
      </c>
      <c r="M1854" s="15">
        <v>44105</v>
      </c>
      <c r="N1854" s="40">
        <v>1</v>
      </c>
      <c r="O1854" s="40">
        <v>3580580</v>
      </c>
      <c r="P1854" s="178">
        <v>221654.94</v>
      </c>
      <c r="Q1854" s="17">
        <f t="shared" si="43"/>
        <v>3358925.06</v>
      </c>
      <c r="R1854" s="285" t="s">
        <v>10143</v>
      </c>
      <c r="S1854" s="15">
        <v>44073</v>
      </c>
      <c r="T1854" s="22"/>
    </row>
    <row r="1855" spans="1:20" ht="111.75" customHeight="1" x14ac:dyDescent="0.2">
      <c r="A1855" s="21">
        <v>1883</v>
      </c>
      <c r="B1855" s="12" t="s">
        <v>9998</v>
      </c>
      <c r="C1855" s="18"/>
      <c r="D1855" s="9" t="s">
        <v>10225</v>
      </c>
      <c r="E1855" s="289">
        <v>2012</v>
      </c>
      <c r="F1855" s="9" t="s">
        <v>10226</v>
      </c>
      <c r="G1855" s="285" t="s">
        <v>4296</v>
      </c>
      <c r="H1855" s="285" t="s">
        <v>3793</v>
      </c>
      <c r="I1855" s="9"/>
      <c r="J1855" s="285" t="s">
        <v>3136</v>
      </c>
      <c r="K1855" s="15">
        <v>44132</v>
      </c>
      <c r="L1855" s="285">
        <v>894</v>
      </c>
      <c r="M1855" s="15">
        <v>44105</v>
      </c>
      <c r="N1855" s="40">
        <v>1</v>
      </c>
      <c r="O1855" s="40">
        <v>11710</v>
      </c>
      <c r="P1855" s="40">
        <v>11710</v>
      </c>
      <c r="Q1855" s="17">
        <f t="shared" si="43"/>
        <v>0</v>
      </c>
      <c r="R1855" s="285" t="s">
        <v>10143</v>
      </c>
      <c r="S1855" s="15">
        <v>44073</v>
      </c>
      <c r="T1855" s="22"/>
    </row>
    <row r="1856" spans="1:20" ht="112.5" customHeight="1" x14ac:dyDescent="0.2">
      <c r="A1856" s="21">
        <v>1884</v>
      </c>
      <c r="B1856" s="12" t="s">
        <v>9999</v>
      </c>
      <c r="C1856" s="18"/>
      <c r="D1856" s="9" t="s">
        <v>10227</v>
      </c>
      <c r="E1856" s="289">
        <v>1970</v>
      </c>
      <c r="F1856" s="9" t="s">
        <v>10229</v>
      </c>
      <c r="G1856" s="285" t="s">
        <v>4296</v>
      </c>
      <c r="H1856" s="285" t="s">
        <v>3793</v>
      </c>
      <c r="I1856" s="9"/>
      <c r="J1856" s="285" t="s">
        <v>3136</v>
      </c>
      <c r="K1856" s="15">
        <v>44132</v>
      </c>
      <c r="L1856" s="285">
        <v>894</v>
      </c>
      <c r="M1856" s="15">
        <v>44105</v>
      </c>
      <c r="N1856" s="40">
        <v>1</v>
      </c>
      <c r="O1856" s="40">
        <v>6520110</v>
      </c>
      <c r="P1856" s="179">
        <v>936590.46</v>
      </c>
      <c r="Q1856" s="17">
        <f t="shared" si="43"/>
        <v>5583519.54</v>
      </c>
      <c r="R1856" s="285" t="s">
        <v>10143</v>
      </c>
      <c r="S1856" s="15">
        <v>44073</v>
      </c>
      <c r="T1856" s="22"/>
    </row>
    <row r="1857" spans="1:20" ht="67.5" customHeight="1" x14ac:dyDescent="0.2">
      <c r="A1857" s="21">
        <v>1885</v>
      </c>
      <c r="B1857" s="12" t="s">
        <v>10000</v>
      </c>
      <c r="C1857" s="18"/>
      <c r="D1857" s="9" t="s">
        <v>10024</v>
      </c>
      <c r="E1857" s="289" t="s">
        <v>10239</v>
      </c>
      <c r="F1857" s="9" t="s">
        <v>5973</v>
      </c>
      <c r="G1857" s="285" t="s">
        <v>4296</v>
      </c>
      <c r="H1857" s="285" t="s">
        <v>3793</v>
      </c>
      <c r="I1857" s="9"/>
      <c r="J1857" s="285" t="s">
        <v>3136</v>
      </c>
      <c r="K1857" s="15">
        <v>44132</v>
      </c>
      <c r="L1857" s="285">
        <v>894</v>
      </c>
      <c r="M1857" s="15">
        <v>44105</v>
      </c>
      <c r="N1857" s="62">
        <v>1</v>
      </c>
      <c r="O1857" s="62">
        <v>206510</v>
      </c>
      <c r="P1857" s="179">
        <v>17838.080000000002</v>
      </c>
      <c r="Q1857" s="276">
        <f t="shared" si="43"/>
        <v>188671.91999999998</v>
      </c>
      <c r="R1857" s="285" t="s">
        <v>10143</v>
      </c>
      <c r="S1857" s="15">
        <v>44073</v>
      </c>
      <c r="T1857" s="22"/>
    </row>
    <row r="1858" spans="1:20" ht="67.5" customHeight="1" x14ac:dyDescent="0.2">
      <c r="A1858" s="21">
        <v>1886</v>
      </c>
      <c r="B1858" s="12" t="s">
        <v>10001</v>
      </c>
      <c r="C1858" s="18"/>
      <c r="D1858" s="9" t="s">
        <v>10024</v>
      </c>
      <c r="E1858" s="289" t="s">
        <v>10239</v>
      </c>
      <c r="F1858" s="9" t="s">
        <v>1095</v>
      </c>
      <c r="G1858" s="285" t="s">
        <v>4296</v>
      </c>
      <c r="H1858" s="285" t="s">
        <v>3793</v>
      </c>
      <c r="I1858" s="9"/>
      <c r="J1858" s="285" t="s">
        <v>3136</v>
      </c>
      <c r="K1858" s="15">
        <v>44132</v>
      </c>
      <c r="L1858" s="285">
        <v>894</v>
      </c>
      <c r="M1858" s="15">
        <v>44105</v>
      </c>
      <c r="N1858" s="62">
        <v>1</v>
      </c>
      <c r="O1858" s="62">
        <v>267050</v>
      </c>
      <c r="P1858" s="179">
        <v>23067.46</v>
      </c>
      <c r="Q1858" s="276">
        <f t="shared" si="43"/>
        <v>243982.54</v>
      </c>
      <c r="R1858" s="285" t="s">
        <v>10143</v>
      </c>
      <c r="S1858" s="15">
        <v>44073</v>
      </c>
      <c r="T1858" s="22"/>
    </row>
    <row r="1859" spans="1:20" ht="65.25" customHeight="1" x14ac:dyDescent="0.2">
      <c r="A1859" s="21">
        <v>1887</v>
      </c>
      <c r="B1859" s="12" t="s">
        <v>10002</v>
      </c>
      <c r="C1859" s="18"/>
      <c r="D1859" s="9" t="s">
        <v>10049</v>
      </c>
      <c r="E1859" s="289" t="s">
        <v>10239</v>
      </c>
      <c r="F1859" s="9" t="s">
        <v>10240</v>
      </c>
      <c r="G1859" s="285" t="s">
        <v>4296</v>
      </c>
      <c r="H1859" s="285" t="s">
        <v>3793</v>
      </c>
      <c r="I1859" s="9"/>
      <c r="J1859" s="285" t="s">
        <v>3136</v>
      </c>
      <c r="K1859" s="15">
        <v>44132</v>
      </c>
      <c r="L1859" s="285">
        <v>894</v>
      </c>
      <c r="M1859" s="15">
        <v>44105</v>
      </c>
      <c r="N1859" s="62">
        <v>1</v>
      </c>
      <c r="O1859" s="62">
        <v>80670</v>
      </c>
      <c r="P1859" s="179">
        <v>24675.56</v>
      </c>
      <c r="Q1859" s="276">
        <f t="shared" si="43"/>
        <v>55994.44</v>
      </c>
      <c r="R1859" s="285" t="s">
        <v>10143</v>
      </c>
      <c r="S1859" s="15">
        <v>44073</v>
      </c>
      <c r="T1859" s="22"/>
    </row>
    <row r="1860" spans="1:20" ht="72.75" customHeight="1" x14ac:dyDescent="0.2">
      <c r="A1860" s="21">
        <v>1888</v>
      </c>
      <c r="B1860" s="12" t="s">
        <v>10003</v>
      </c>
      <c r="C1860" s="18"/>
      <c r="D1860" s="46" t="s">
        <v>10050</v>
      </c>
      <c r="E1860" s="289" t="s">
        <v>10239</v>
      </c>
      <c r="F1860" s="9" t="s">
        <v>6342</v>
      </c>
      <c r="G1860" s="285" t="s">
        <v>4296</v>
      </c>
      <c r="H1860" s="285" t="s">
        <v>3793</v>
      </c>
      <c r="I1860" s="9"/>
      <c r="J1860" s="285" t="s">
        <v>3136</v>
      </c>
      <c r="K1860" s="15">
        <v>44132</v>
      </c>
      <c r="L1860" s="285">
        <v>894</v>
      </c>
      <c r="M1860" s="15">
        <v>44105</v>
      </c>
      <c r="N1860" s="62">
        <v>1</v>
      </c>
      <c r="O1860" s="62">
        <v>31560</v>
      </c>
      <c r="P1860" s="62">
        <v>31560</v>
      </c>
      <c r="Q1860" s="17">
        <f t="shared" si="43"/>
        <v>0</v>
      </c>
      <c r="R1860" s="285" t="s">
        <v>10143</v>
      </c>
      <c r="S1860" s="15">
        <v>44073</v>
      </c>
      <c r="T1860" s="22"/>
    </row>
    <row r="1861" spans="1:20" ht="71.25" customHeight="1" x14ac:dyDescent="0.2">
      <c r="A1861" s="21">
        <v>1889</v>
      </c>
      <c r="B1861" s="12" t="s">
        <v>10004</v>
      </c>
      <c r="C1861" s="58"/>
      <c r="D1861" s="9" t="s">
        <v>10051</v>
      </c>
      <c r="E1861" s="72" t="s">
        <v>10239</v>
      </c>
      <c r="F1861" s="9" t="s">
        <v>10241</v>
      </c>
      <c r="G1861" s="285" t="s">
        <v>4296</v>
      </c>
      <c r="H1861" s="285" t="s">
        <v>3793</v>
      </c>
      <c r="I1861" s="9"/>
      <c r="J1861" s="285" t="s">
        <v>3136</v>
      </c>
      <c r="K1861" s="15">
        <v>44132</v>
      </c>
      <c r="L1861" s="285">
        <v>894</v>
      </c>
      <c r="M1861" s="15">
        <v>44105</v>
      </c>
      <c r="N1861" s="62">
        <v>1</v>
      </c>
      <c r="O1861" s="62">
        <v>101000</v>
      </c>
      <c r="P1861" s="179">
        <v>43766.58</v>
      </c>
      <c r="Q1861" s="17">
        <f t="shared" si="43"/>
        <v>57233.42</v>
      </c>
      <c r="R1861" s="285" t="s">
        <v>10143</v>
      </c>
      <c r="S1861" s="15">
        <v>44073</v>
      </c>
      <c r="T1861" s="22"/>
    </row>
    <row r="1862" spans="1:20" ht="69" customHeight="1" x14ac:dyDescent="0.2">
      <c r="A1862" s="21">
        <v>1890</v>
      </c>
      <c r="B1862" s="12" t="s">
        <v>10005</v>
      </c>
      <c r="C1862" s="58"/>
      <c r="D1862" s="9" t="s">
        <v>10052</v>
      </c>
      <c r="E1862" s="72" t="s">
        <v>10239</v>
      </c>
      <c r="F1862" s="13" t="s">
        <v>993</v>
      </c>
      <c r="G1862" s="285" t="s">
        <v>4296</v>
      </c>
      <c r="H1862" s="285" t="s">
        <v>3793</v>
      </c>
      <c r="I1862" s="9"/>
      <c r="J1862" s="285" t="s">
        <v>3136</v>
      </c>
      <c r="K1862" s="15">
        <v>44132</v>
      </c>
      <c r="L1862" s="285">
        <v>894</v>
      </c>
      <c r="M1862" s="15">
        <v>44105</v>
      </c>
      <c r="N1862" s="62">
        <v>1</v>
      </c>
      <c r="O1862" s="62">
        <v>32880</v>
      </c>
      <c r="P1862" s="62">
        <v>32880</v>
      </c>
      <c r="Q1862" s="17">
        <f t="shared" si="43"/>
        <v>0</v>
      </c>
      <c r="R1862" s="285" t="s">
        <v>10143</v>
      </c>
      <c r="S1862" s="15">
        <v>44073</v>
      </c>
      <c r="T1862" s="22"/>
    </row>
    <row r="1863" spans="1:20" ht="69" customHeight="1" x14ac:dyDescent="0.2">
      <c r="A1863" s="21">
        <v>1891</v>
      </c>
      <c r="B1863" s="12" t="s">
        <v>10006</v>
      </c>
      <c r="C1863" s="58"/>
      <c r="D1863" s="9" t="s">
        <v>10053</v>
      </c>
      <c r="E1863" s="72" t="s">
        <v>10239</v>
      </c>
      <c r="F1863" s="9" t="s">
        <v>10242</v>
      </c>
      <c r="G1863" s="285" t="s">
        <v>4296</v>
      </c>
      <c r="H1863" s="285" t="s">
        <v>3793</v>
      </c>
      <c r="I1863" s="9"/>
      <c r="J1863" s="285" t="s">
        <v>3136</v>
      </c>
      <c r="K1863" s="15">
        <v>44132</v>
      </c>
      <c r="L1863" s="285">
        <v>894</v>
      </c>
      <c r="M1863" s="15">
        <v>44105</v>
      </c>
      <c r="N1863" s="62">
        <v>1</v>
      </c>
      <c r="O1863" s="62">
        <v>41320</v>
      </c>
      <c r="P1863" s="179">
        <v>17905.419999999998</v>
      </c>
      <c r="Q1863" s="17">
        <f t="shared" si="43"/>
        <v>23414.58</v>
      </c>
      <c r="R1863" s="285" t="s">
        <v>10143</v>
      </c>
      <c r="S1863" s="15">
        <v>44073</v>
      </c>
      <c r="T1863" s="22"/>
    </row>
    <row r="1864" spans="1:20" ht="72.75" customHeight="1" x14ac:dyDescent="0.2">
      <c r="A1864" s="21">
        <v>1892</v>
      </c>
      <c r="B1864" s="12" t="s">
        <v>10007</v>
      </c>
      <c r="C1864" s="58"/>
      <c r="D1864" s="9" t="s">
        <v>10054</v>
      </c>
      <c r="E1864" s="72" t="s">
        <v>10239</v>
      </c>
      <c r="F1864" s="9" t="s">
        <v>994</v>
      </c>
      <c r="G1864" s="285" t="s">
        <v>4296</v>
      </c>
      <c r="H1864" s="285" t="s">
        <v>3793</v>
      </c>
      <c r="I1864" s="9"/>
      <c r="J1864" s="285" t="s">
        <v>3136</v>
      </c>
      <c r="K1864" s="15">
        <v>44132</v>
      </c>
      <c r="L1864" s="285">
        <v>894</v>
      </c>
      <c r="M1864" s="15">
        <v>44105</v>
      </c>
      <c r="N1864" s="62">
        <v>1</v>
      </c>
      <c r="O1864" s="62">
        <v>31560</v>
      </c>
      <c r="P1864" s="62">
        <v>31560</v>
      </c>
      <c r="Q1864" s="17">
        <f t="shared" si="43"/>
        <v>0</v>
      </c>
      <c r="R1864" s="285" t="s">
        <v>10143</v>
      </c>
      <c r="S1864" s="15">
        <v>44073</v>
      </c>
      <c r="T1864" s="22"/>
    </row>
    <row r="1865" spans="1:20" ht="72.75" customHeight="1" x14ac:dyDescent="0.2">
      <c r="A1865" s="21">
        <v>1893</v>
      </c>
      <c r="B1865" s="12" t="s">
        <v>10008</v>
      </c>
      <c r="C1865" s="58"/>
      <c r="D1865" s="9" t="s">
        <v>4688</v>
      </c>
      <c r="E1865" s="72" t="s">
        <v>10239</v>
      </c>
      <c r="F1865" s="9" t="s">
        <v>10243</v>
      </c>
      <c r="G1865" s="285" t="s">
        <v>4296</v>
      </c>
      <c r="H1865" s="285" t="s">
        <v>3793</v>
      </c>
      <c r="I1865" s="9"/>
      <c r="J1865" s="285" t="s">
        <v>3136</v>
      </c>
      <c r="K1865" s="15">
        <v>44132</v>
      </c>
      <c r="L1865" s="285">
        <v>894</v>
      </c>
      <c r="M1865" s="15">
        <v>44105</v>
      </c>
      <c r="N1865" s="62">
        <v>2</v>
      </c>
      <c r="O1865" s="62">
        <v>181670</v>
      </c>
      <c r="P1865" s="178">
        <v>55569.8</v>
      </c>
      <c r="Q1865" s="17">
        <f t="shared" si="43"/>
        <v>126100.2</v>
      </c>
      <c r="R1865" s="285" t="s">
        <v>10143</v>
      </c>
      <c r="S1865" s="15">
        <v>44073</v>
      </c>
      <c r="T1865" s="22"/>
    </row>
    <row r="1866" spans="1:20" ht="63" customHeight="1" x14ac:dyDescent="0.2">
      <c r="A1866" s="21">
        <v>1894</v>
      </c>
      <c r="B1866" s="12" t="s">
        <v>10009</v>
      </c>
      <c r="C1866" s="58"/>
      <c r="D1866" s="9" t="s">
        <v>10055</v>
      </c>
      <c r="E1866" s="72" t="s">
        <v>10239</v>
      </c>
      <c r="F1866" s="9" t="s">
        <v>4941</v>
      </c>
      <c r="G1866" s="285" t="s">
        <v>4296</v>
      </c>
      <c r="H1866" s="285" t="s">
        <v>3793</v>
      </c>
      <c r="I1866" s="9"/>
      <c r="J1866" s="285" t="s">
        <v>3136</v>
      </c>
      <c r="K1866" s="15">
        <v>44132</v>
      </c>
      <c r="L1866" s="285">
        <v>894</v>
      </c>
      <c r="M1866" s="15">
        <v>44105</v>
      </c>
      <c r="N1866" s="62">
        <v>1</v>
      </c>
      <c r="O1866" s="62">
        <v>85790</v>
      </c>
      <c r="P1866" s="179">
        <v>26241.54</v>
      </c>
      <c r="Q1866" s="17">
        <f t="shared" si="43"/>
        <v>59548.46</v>
      </c>
      <c r="R1866" s="285" t="s">
        <v>10143</v>
      </c>
      <c r="S1866" s="15">
        <v>44073</v>
      </c>
      <c r="T1866" s="22"/>
    </row>
    <row r="1867" spans="1:20" ht="63" customHeight="1" x14ac:dyDescent="0.2">
      <c r="A1867" s="21">
        <v>1895</v>
      </c>
      <c r="B1867" s="12" t="s">
        <v>10010</v>
      </c>
      <c r="C1867" s="58"/>
      <c r="D1867" s="9" t="s">
        <v>10056</v>
      </c>
      <c r="E1867" s="72" t="s">
        <v>10239</v>
      </c>
      <c r="F1867" s="9" t="s">
        <v>3541</v>
      </c>
      <c r="G1867" s="285" t="s">
        <v>4296</v>
      </c>
      <c r="H1867" s="285" t="s">
        <v>3793</v>
      </c>
      <c r="I1867" s="9"/>
      <c r="J1867" s="285" t="s">
        <v>3136</v>
      </c>
      <c r="K1867" s="15">
        <v>44132</v>
      </c>
      <c r="L1867" s="285">
        <v>894</v>
      </c>
      <c r="M1867" s="15">
        <v>44105</v>
      </c>
      <c r="N1867" s="62">
        <v>1</v>
      </c>
      <c r="O1867" s="62">
        <v>98530</v>
      </c>
      <c r="P1867" s="179">
        <v>30138.68</v>
      </c>
      <c r="Q1867" s="17">
        <f t="shared" si="43"/>
        <v>68391.320000000007</v>
      </c>
      <c r="R1867" s="285" t="s">
        <v>10143</v>
      </c>
      <c r="S1867" s="15">
        <v>44073</v>
      </c>
      <c r="T1867" s="22"/>
    </row>
    <row r="1868" spans="1:20" ht="72" customHeight="1" x14ac:dyDescent="0.2">
      <c r="A1868" s="21">
        <v>1896</v>
      </c>
      <c r="B1868" s="12" t="s">
        <v>10011</v>
      </c>
      <c r="C1868" s="58"/>
      <c r="D1868" s="9" t="s">
        <v>10057</v>
      </c>
      <c r="E1868" s="72" t="s">
        <v>10239</v>
      </c>
      <c r="F1868" s="9" t="s">
        <v>3573</v>
      </c>
      <c r="G1868" s="285" t="s">
        <v>4296</v>
      </c>
      <c r="H1868" s="285" t="s">
        <v>3793</v>
      </c>
      <c r="I1868" s="9"/>
      <c r="J1868" s="285" t="s">
        <v>3136</v>
      </c>
      <c r="K1868" s="15">
        <v>44132</v>
      </c>
      <c r="L1868" s="285">
        <v>894</v>
      </c>
      <c r="M1868" s="15">
        <v>44105</v>
      </c>
      <c r="N1868" s="62">
        <v>1</v>
      </c>
      <c r="O1868" s="62">
        <v>91140</v>
      </c>
      <c r="P1868" s="178">
        <v>27878.240000000002</v>
      </c>
      <c r="Q1868" s="17">
        <f t="shared" si="43"/>
        <v>63261.759999999995</v>
      </c>
      <c r="R1868" s="285" t="s">
        <v>10143</v>
      </c>
      <c r="S1868" s="15">
        <v>44073</v>
      </c>
      <c r="T1868" s="22"/>
    </row>
    <row r="1869" spans="1:20" ht="72" customHeight="1" x14ac:dyDescent="0.2">
      <c r="A1869" s="21">
        <v>1897</v>
      </c>
      <c r="B1869" s="12" t="s">
        <v>10012</v>
      </c>
      <c r="C1869" s="58"/>
      <c r="D1869" s="9" t="s">
        <v>10058</v>
      </c>
      <c r="E1869" s="72" t="s">
        <v>10239</v>
      </c>
      <c r="F1869" s="9" t="s">
        <v>5680</v>
      </c>
      <c r="G1869" s="285" t="s">
        <v>4296</v>
      </c>
      <c r="H1869" s="285" t="s">
        <v>3793</v>
      </c>
      <c r="I1869" s="9"/>
      <c r="J1869" s="285" t="s">
        <v>3136</v>
      </c>
      <c r="K1869" s="15">
        <v>44132</v>
      </c>
      <c r="L1869" s="285">
        <v>894</v>
      </c>
      <c r="M1869" s="15">
        <v>44105</v>
      </c>
      <c r="N1869" s="62">
        <v>1</v>
      </c>
      <c r="O1869" s="62">
        <v>27840</v>
      </c>
      <c r="P1869" s="40">
        <v>27840</v>
      </c>
      <c r="Q1869" s="17">
        <f t="shared" si="43"/>
        <v>0</v>
      </c>
      <c r="R1869" s="285" t="s">
        <v>10143</v>
      </c>
      <c r="S1869" s="15">
        <v>44073</v>
      </c>
      <c r="T1869" s="22"/>
    </row>
    <row r="1870" spans="1:20" ht="72" customHeight="1" x14ac:dyDescent="0.2">
      <c r="A1870" s="21">
        <v>1898</v>
      </c>
      <c r="B1870" s="12" t="s">
        <v>10013</v>
      </c>
      <c r="C1870" s="58"/>
      <c r="D1870" s="9" t="s">
        <v>10059</v>
      </c>
      <c r="E1870" s="72" t="s">
        <v>10239</v>
      </c>
      <c r="F1870" s="9" t="s">
        <v>4203</v>
      </c>
      <c r="G1870" s="285" t="s">
        <v>4296</v>
      </c>
      <c r="H1870" s="285" t="s">
        <v>3793</v>
      </c>
      <c r="I1870" s="9"/>
      <c r="J1870" s="285" t="s">
        <v>3136</v>
      </c>
      <c r="K1870" s="15">
        <v>44132</v>
      </c>
      <c r="L1870" s="285">
        <v>894</v>
      </c>
      <c r="M1870" s="15">
        <v>44105</v>
      </c>
      <c r="N1870" s="62">
        <v>1</v>
      </c>
      <c r="O1870" s="62">
        <v>23200</v>
      </c>
      <c r="P1870" s="62">
        <v>23200</v>
      </c>
      <c r="Q1870" s="17">
        <f t="shared" si="43"/>
        <v>0</v>
      </c>
      <c r="R1870" s="285" t="s">
        <v>10143</v>
      </c>
      <c r="S1870" s="15">
        <v>44073</v>
      </c>
      <c r="T1870" s="22"/>
    </row>
    <row r="1871" spans="1:20" ht="72" customHeight="1" x14ac:dyDescent="0.2">
      <c r="A1871" s="21">
        <v>1899</v>
      </c>
      <c r="B1871" s="12" t="s">
        <v>10014</v>
      </c>
      <c r="C1871" s="58"/>
      <c r="D1871" s="9" t="s">
        <v>10060</v>
      </c>
      <c r="E1871" s="72" t="s">
        <v>10239</v>
      </c>
      <c r="F1871" s="9" t="s">
        <v>4204</v>
      </c>
      <c r="G1871" s="285" t="s">
        <v>4296</v>
      </c>
      <c r="H1871" s="285" t="s">
        <v>3793</v>
      </c>
      <c r="I1871" s="9"/>
      <c r="J1871" s="285" t="s">
        <v>3136</v>
      </c>
      <c r="K1871" s="15">
        <v>44132</v>
      </c>
      <c r="L1871" s="285">
        <v>894</v>
      </c>
      <c r="M1871" s="15">
        <v>44105</v>
      </c>
      <c r="N1871" s="62">
        <v>1</v>
      </c>
      <c r="O1871" s="62">
        <v>18910</v>
      </c>
      <c r="P1871" s="62">
        <v>18910</v>
      </c>
      <c r="Q1871" s="17">
        <f t="shared" ref="Q1871:Q1899" si="44">O1871-P1871</f>
        <v>0</v>
      </c>
      <c r="R1871" s="285" t="s">
        <v>10143</v>
      </c>
      <c r="S1871" s="15">
        <v>44073</v>
      </c>
      <c r="T1871" s="22"/>
    </row>
    <row r="1872" spans="1:20" ht="72" customHeight="1" x14ac:dyDescent="0.2">
      <c r="A1872" s="21">
        <v>1900</v>
      </c>
      <c r="B1872" s="12" t="s">
        <v>10015</v>
      </c>
      <c r="C1872" s="58"/>
      <c r="D1872" s="9" t="s">
        <v>10061</v>
      </c>
      <c r="E1872" s="72">
        <v>2012</v>
      </c>
      <c r="F1872" s="9" t="s">
        <v>2237</v>
      </c>
      <c r="G1872" s="285" t="s">
        <v>4296</v>
      </c>
      <c r="H1872" s="285" t="s">
        <v>3793</v>
      </c>
      <c r="I1872" s="9"/>
      <c r="J1872" s="285" t="s">
        <v>3136</v>
      </c>
      <c r="K1872" s="15">
        <v>44132</v>
      </c>
      <c r="L1872" s="285">
        <v>894</v>
      </c>
      <c r="M1872" s="15">
        <v>44105</v>
      </c>
      <c r="N1872" s="62">
        <v>1</v>
      </c>
      <c r="O1872" s="62">
        <v>43130</v>
      </c>
      <c r="P1872" s="179">
        <v>6195.54</v>
      </c>
      <c r="Q1872" s="17">
        <f t="shared" si="44"/>
        <v>36934.46</v>
      </c>
      <c r="R1872" s="285" t="s">
        <v>10143</v>
      </c>
      <c r="S1872" s="15">
        <v>44073</v>
      </c>
      <c r="T1872" s="22"/>
    </row>
    <row r="1873" spans="1:20" ht="72" customHeight="1" x14ac:dyDescent="0.2">
      <c r="A1873" s="21">
        <v>1901</v>
      </c>
      <c r="B1873" s="12" t="s">
        <v>10016</v>
      </c>
      <c r="C1873" s="58"/>
      <c r="D1873" s="9" t="s">
        <v>10062</v>
      </c>
      <c r="E1873" s="72" t="s">
        <v>10239</v>
      </c>
      <c r="F1873" s="9" t="s">
        <v>1625</v>
      </c>
      <c r="G1873" s="285" t="s">
        <v>4296</v>
      </c>
      <c r="H1873" s="285" t="s">
        <v>3793</v>
      </c>
      <c r="I1873" s="9"/>
      <c r="J1873" s="285" t="s">
        <v>3136</v>
      </c>
      <c r="K1873" s="15">
        <v>44132</v>
      </c>
      <c r="L1873" s="285">
        <v>894</v>
      </c>
      <c r="M1873" s="15">
        <v>44105</v>
      </c>
      <c r="N1873" s="40">
        <v>1</v>
      </c>
      <c r="O1873" s="40">
        <v>42000</v>
      </c>
      <c r="P1873" s="178">
        <v>12847.12</v>
      </c>
      <c r="Q1873" s="17">
        <f t="shared" si="44"/>
        <v>29152.879999999997</v>
      </c>
      <c r="R1873" s="285" t="s">
        <v>10143</v>
      </c>
      <c r="S1873" s="15">
        <v>44073</v>
      </c>
      <c r="T1873" s="22"/>
    </row>
    <row r="1874" spans="1:20" ht="72" customHeight="1" x14ac:dyDescent="0.2">
      <c r="A1874" s="21">
        <v>1903</v>
      </c>
      <c r="B1874" s="12" t="s">
        <v>10063</v>
      </c>
      <c r="C1874" s="58"/>
      <c r="D1874" s="9" t="s">
        <v>10598</v>
      </c>
      <c r="E1874" s="72" t="s">
        <v>10239</v>
      </c>
      <c r="F1874" s="9" t="s">
        <v>10244</v>
      </c>
      <c r="G1874" s="285" t="s">
        <v>4296</v>
      </c>
      <c r="H1874" s="285" t="s">
        <v>3793</v>
      </c>
      <c r="I1874" s="9"/>
      <c r="J1874" s="285" t="s">
        <v>3136</v>
      </c>
      <c r="K1874" s="15">
        <v>44132</v>
      </c>
      <c r="L1874" s="285">
        <v>894</v>
      </c>
      <c r="M1874" s="15">
        <v>44105</v>
      </c>
      <c r="N1874" s="40">
        <v>1</v>
      </c>
      <c r="O1874" s="40">
        <v>3160946</v>
      </c>
      <c r="P1874" s="178">
        <v>273038.48</v>
      </c>
      <c r="Q1874" s="17">
        <f t="shared" si="44"/>
        <v>2887907.52</v>
      </c>
      <c r="R1874" s="285" t="s">
        <v>10143</v>
      </c>
      <c r="S1874" s="15">
        <v>44074</v>
      </c>
      <c r="T1874" s="22"/>
    </row>
    <row r="1875" spans="1:20" ht="90.6" customHeight="1" x14ac:dyDescent="0.2">
      <c r="A1875" s="21">
        <v>1904</v>
      </c>
      <c r="B1875" s="12" t="s">
        <v>10064</v>
      </c>
      <c r="C1875" s="58"/>
      <c r="D1875" s="9" t="s">
        <v>3701</v>
      </c>
      <c r="E1875" s="72" t="s">
        <v>10239</v>
      </c>
      <c r="F1875" s="9" t="s">
        <v>10245</v>
      </c>
      <c r="G1875" s="285" t="s">
        <v>4296</v>
      </c>
      <c r="H1875" s="285" t="s">
        <v>3793</v>
      </c>
      <c r="I1875" s="9"/>
      <c r="J1875" s="285" t="s">
        <v>3136</v>
      </c>
      <c r="K1875" s="15">
        <v>44132</v>
      </c>
      <c r="L1875" s="285">
        <v>894</v>
      </c>
      <c r="M1875" s="15">
        <v>44105</v>
      </c>
      <c r="N1875" s="40">
        <v>1</v>
      </c>
      <c r="O1875" s="40">
        <v>11672586</v>
      </c>
      <c r="P1875" s="178">
        <v>1008263.36</v>
      </c>
      <c r="Q1875" s="17">
        <f t="shared" si="44"/>
        <v>10664322.640000001</v>
      </c>
      <c r="R1875" s="285" t="s">
        <v>10143</v>
      </c>
      <c r="S1875" s="15">
        <v>44073</v>
      </c>
      <c r="T1875" s="22"/>
    </row>
    <row r="1876" spans="1:20" ht="92.25" customHeight="1" x14ac:dyDescent="0.2">
      <c r="A1876" s="21">
        <v>1906</v>
      </c>
      <c r="B1876" s="12" t="s">
        <v>10065</v>
      </c>
      <c r="C1876" s="58"/>
      <c r="D1876" s="9" t="s">
        <v>4442</v>
      </c>
      <c r="E1876" s="72" t="s">
        <v>10239</v>
      </c>
      <c r="F1876" s="9" t="s">
        <v>10246</v>
      </c>
      <c r="G1876" s="285" t="s">
        <v>4296</v>
      </c>
      <c r="H1876" s="285" t="s">
        <v>3793</v>
      </c>
      <c r="I1876" s="9"/>
      <c r="J1876" s="285" t="s">
        <v>3136</v>
      </c>
      <c r="K1876" s="15">
        <v>44132</v>
      </c>
      <c r="L1876" s="285">
        <v>894</v>
      </c>
      <c r="M1876" s="15">
        <v>44105</v>
      </c>
      <c r="N1876" s="62">
        <v>1</v>
      </c>
      <c r="O1876" s="62">
        <v>3718816</v>
      </c>
      <c r="P1876" s="178">
        <v>321226.62</v>
      </c>
      <c r="Q1876" s="17">
        <f t="shared" si="44"/>
        <v>3397589.38</v>
      </c>
      <c r="R1876" s="285" t="s">
        <v>10143</v>
      </c>
      <c r="S1876" s="15">
        <v>44073</v>
      </c>
      <c r="T1876" s="22"/>
    </row>
    <row r="1877" spans="1:20" ht="72" customHeight="1" x14ac:dyDescent="0.2">
      <c r="A1877" s="21">
        <v>1907</v>
      </c>
      <c r="B1877" s="12" t="s">
        <v>10066</v>
      </c>
      <c r="C1877" s="58"/>
      <c r="D1877" s="9" t="s">
        <v>10107</v>
      </c>
      <c r="E1877" s="72" t="s">
        <v>10239</v>
      </c>
      <c r="F1877" s="9" t="s">
        <v>10247</v>
      </c>
      <c r="G1877" s="285" t="s">
        <v>4296</v>
      </c>
      <c r="H1877" s="285" t="s">
        <v>3793</v>
      </c>
      <c r="I1877" s="9"/>
      <c r="J1877" s="285" t="s">
        <v>3136</v>
      </c>
      <c r="K1877" s="15">
        <v>44132</v>
      </c>
      <c r="L1877" s="285">
        <v>894</v>
      </c>
      <c r="M1877" s="15">
        <v>44105</v>
      </c>
      <c r="N1877" s="62">
        <v>1</v>
      </c>
      <c r="O1877" s="62">
        <v>104690</v>
      </c>
      <c r="P1877" s="179">
        <v>9043.06</v>
      </c>
      <c r="Q1877" s="17">
        <f t="shared" si="44"/>
        <v>95646.94</v>
      </c>
      <c r="R1877" s="285" t="s">
        <v>10143</v>
      </c>
      <c r="S1877" s="15">
        <v>44073</v>
      </c>
      <c r="T1877" s="22"/>
    </row>
    <row r="1878" spans="1:20" ht="105.75" customHeight="1" x14ac:dyDescent="0.2">
      <c r="A1878" s="21">
        <v>1908</v>
      </c>
      <c r="B1878" s="12" t="s">
        <v>10067</v>
      </c>
      <c r="C1878" s="58"/>
      <c r="D1878" s="9" t="s">
        <v>2327</v>
      </c>
      <c r="E1878" s="72" t="s">
        <v>10239</v>
      </c>
      <c r="F1878" s="9" t="s">
        <v>10248</v>
      </c>
      <c r="G1878" s="285" t="s">
        <v>4296</v>
      </c>
      <c r="H1878" s="285" t="s">
        <v>3793</v>
      </c>
      <c r="I1878" s="9"/>
      <c r="J1878" s="285" t="s">
        <v>3136</v>
      </c>
      <c r="K1878" s="15">
        <v>44132</v>
      </c>
      <c r="L1878" s="285">
        <v>894</v>
      </c>
      <c r="M1878" s="15">
        <v>44105</v>
      </c>
      <c r="N1878" s="62">
        <v>3</v>
      </c>
      <c r="O1878" s="62">
        <v>50190</v>
      </c>
      <c r="P1878" s="62">
        <v>50190</v>
      </c>
      <c r="Q1878" s="17">
        <f t="shared" si="44"/>
        <v>0</v>
      </c>
      <c r="R1878" s="285" t="s">
        <v>10143</v>
      </c>
      <c r="S1878" s="15">
        <v>44073</v>
      </c>
      <c r="T1878" s="22"/>
    </row>
    <row r="1879" spans="1:20" ht="71.25" customHeight="1" x14ac:dyDescent="0.2">
      <c r="A1879" s="21">
        <v>1909</v>
      </c>
      <c r="B1879" s="12" t="s">
        <v>10068</v>
      </c>
      <c r="C1879" s="58"/>
      <c r="D1879" s="9" t="s">
        <v>2328</v>
      </c>
      <c r="E1879" s="72" t="s">
        <v>10239</v>
      </c>
      <c r="F1879" s="9" t="s">
        <v>10249</v>
      </c>
      <c r="G1879" s="285" t="s">
        <v>4296</v>
      </c>
      <c r="H1879" s="285" t="s">
        <v>3793</v>
      </c>
      <c r="I1879" s="9"/>
      <c r="J1879" s="285" t="s">
        <v>3136</v>
      </c>
      <c r="K1879" s="15">
        <v>44132</v>
      </c>
      <c r="L1879" s="285">
        <v>894</v>
      </c>
      <c r="M1879" s="15">
        <v>44105</v>
      </c>
      <c r="N1879" s="62">
        <v>2</v>
      </c>
      <c r="O1879" s="62">
        <v>53880</v>
      </c>
      <c r="P1879" s="62">
        <v>53880</v>
      </c>
      <c r="Q1879" s="17">
        <f t="shared" si="44"/>
        <v>0</v>
      </c>
      <c r="R1879" s="285" t="s">
        <v>10143</v>
      </c>
      <c r="S1879" s="15">
        <v>44073</v>
      </c>
      <c r="T1879" s="22"/>
    </row>
    <row r="1880" spans="1:20" ht="71.25" customHeight="1" x14ac:dyDescent="0.2">
      <c r="A1880" s="21">
        <v>1910</v>
      </c>
      <c r="B1880" s="12" t="s">
        <v>10069</v>
      </c>
      <c r="C1880" s="58"/>
      <c r="D1880" s="9" t="s">
        <v>10108</v>
      </c>
      <c r="E1880" s="72" t="s">
        <v>10239</v>
      </c>
      <c r="F1880" s="9" t="s">
        <v>10250</v>
      </c>
      <c r="G1880" s="285" t="s">
        <v>4296</v>
      </c>
      <c r="H1880" s="285" t="s">
        <v>3793</v>
      </c>
      <c r="I1880" s="9"/>
      <c r="J1880" s="285" t="s">
        <v>3136</v>
      </c>
      <c r="K1880" s="15">
        <v>44132</v>
      </c>
      <c r="L1880" s="285">
        <v>894</v>
      </c>
      <c r="M1880" s="15">
        <v>44105</v>
      </c>
      <c r="N1880" s="62">
        <v>1</v>
      </c>
      <c r="O1880" s="62">
        <v>43110</v>
      </c>
      <c r="P1880" s="179">
        <v>13186.68</v>
      </c>
      <c r="Q1880" s="17">
        <f t="shared" si="44"/>
        <v>29923.32</v>
      </c>
      <c r="R1880" s="285" t="s">
        <v>10143</v>
      </c>
      <c r="S1880" s="15">
        <v>44073</v>
      </c>
      <c r="T1880" s="22"/>
    </row>
    <row r="1881" spans="1:20" ht="71.25" customHeight="1" x14ac:dyDescent="0.2">
      <c r="A1881" s="21">
        <v>1911</v>
      </c>
      <c r="B1881" s="12" t="s">
        <v>10070</v>
      </c>
      <c r="C1881" s="58"/>
      <c r="D1881" s="9" t="s">
        <v>10109</v>
      </c>
      <c r="E1881" s="72" t="s">
        <v>10239</v>
      </c>
      <c r="F1881" s="9" t="s">
        <v>10251</v>
      </c>
      <c r="G1881" s="285" t="s">
        <v>4296</v>
      </c>
      <c r="H1881" s="285" t="s">
        <v>3793</v>
      </c>
      <c r="I1881" s="9"/>
      <c r="J1881" s="285" t="s">
        <v>3136</v>
      </c>
      <c r="K1881" s="15">
        <v>44132</v>
      </c>
      <c r="L1881" s="285">
        <v>894</v>
      </c>
      <c r="M1881" s="15">
        <v>44105</v>
      </c>
      <c r="N1881" s="62">
        <v>1</v>
      </c>
      <c r="O1881" s="62">
        <v>13660</v>
      </c>
      <c r="P1881" s="62">
        <v>13660</v>
      </c>
      <c r="Q1881" s="17">
        <f t="shared" si="44"/>
        <v>0</v>
      </c>
      <c r="R1881" s="285" t="s">
        <v>10143</v>
      </c>
      <c r="S1881" s="15">
        <v>44073</v>
      </c>
      <c r="T1881" s="22"/>
    </row>
    <row r="1882" spans="1:20" ht="71.25" customHeight="1" x14ac:dyDescent="0.2">
      <c r="A1882" s="21">
        <v>1912</v>
      </c>
      <c r="B1882" s="12" t="s">
        <v>10071</v>
      </c>
      <c r="C1882" s="58"/>
      <c r="D1882" s="9" t="s">
        <v>10110</v>
      </c>
      <c r="E1882" s="72" t="s">
        <v>10239</v>
      </c>
      <c r="F1882" s="9" t="s">
        <v>10252</v>
      </c>
      <c r="G1882" s="285" t="s">
        <v>4296</v>
      </c>
      <c r="H1882" s="285" t="s">
        <v>3793</v>
      </c>
      <c r="I1882" s="9"/>
      <c r="J1882" s="285" t="s">
        <v>3136</v>
      </c>
      <c r="K1882" s="15">
        <v>44132</v>
      </c>
      <c r="L1882" s="285">
        <v>894</v>
      </c>
      <c r="M1882" s="15">
        <v>44105</v>
      </c>
      <c r="N1882" s="62">
        <v>1</v>
      </c>
      <c r="O1882" s="62">
        <v>43110</v>
      </c>
      <c r="P1882" s="179">
        <v>13186.68</v>
      </c>
      <c r="Q1882" s="17">
        <f t="shared" si="44"/>
        <v>29923.32</v>
      </c>
      <c r="R1882" s="285" t="s">
        <v>10143</v>
      </c>
      <c r="S1882" s="15">
        <v>44073</v>
      </c>
      <c r="T1882" s="22"/>
    </row>
    <row r="1883" spans="1:20" ht="71.25" customHeight="1" x14ac:dyDescent="0.2">
      <c r="A1883" s="21">
        <v>1913</v>
      </c>
      <c r="B1883" s="12" t="s">
        <v>10072</v>
      </c>
      <c r="C1883" s="58"/>
      <c r="D1883" s="9" t="s">
        <v>10111</v>
      </c>
      <c r="E1883" s="72" t="s">
        <v>10239</v>
      </c>
      <c r="F1883" s="9" t="s">
        <v>10253</v>
      </c>
      <c r="G1883" s="285" t="s">
        <v>4296</v>
      </c>
      <c r="H1883" s="285" t="s">
        <v>3793</v>
      </c>
      <c r="I1883" s="9"/>
      <c r="J1883" s="285" t="s">
        <v>3136</v>
      </c>
      <c r="K1883" s="15">
        <v>44132</v>
      </c>
      <c r="L1883" s="285">
        <v>894</v>
      </c>
      <c r="M1883" s="15">
        <v>44105</v>
      </c>
      <c r="N1883" s="62">
        <v>6</v>
      </c>
      <c r="O1883" s="62">
        <v>369500</v>
      </c>
      <c r="P1883" s="179">
        <v>114368.8</v>
      </c>
      <c r="Q1883" s="17">
        <f t="shared" si="44"/>
        <v>255131.2</v>
      </c>
      <c r="R1883" s="285" t="s">
        <v>10143</v>
      </c>
      <c r="S1883" s="15">
        <v>44073</v>
      </c>
      <c r="T1883" s="22"/>
    </row>
    <row r="1884" spans="1:20" ht="71.25" customHeight="1" x14ac:dyDescent="0.2">
      <c r="A1884" s="21">
        <v>1914</v>
      </c>
      <c r="B1884" s="12" t="s">
        <v>10073</v>
      </c>
      <c r="C1884" s="58"/>
      <c r="D1884" s="9" t="s">
        <v>10112</v>
      </c>
      <c r="E1884" s="72" t="s">
        <v>10239</v>
      </c>
      <c r="F1884" s="9" t="s">
        <v>10254</v>
      </c>
      <c r="G1884" s="285" t="s">
        <v>4296</v>
      </c>
      <c r="H1884" s="285" t="s">
        <v>3793</v>
      </c>
      <c r="I1884" s="9"/>
      <c r="J1884" s="285" t="s">
        <v>3136</v>
      </c>
      <c r="K1884" s="15">
        <v>44132</v>
      </c>
      <c r="L1884" s="285">
        <v>894</v>
      </c>
      <c r="M1884" s="15">
        <v>44105</v>
      </c>
      <c r="N1884" s="62">
        <v>1</v>
      </c>
      <c r="O1884" s="62">
        <v>11080</v>
      </c>
      <c r="P1884" s="62">
        <v>11080</v>
      </c>
      <c r="Q1884" s="17">
        <f t="shared" si="44"/>
        <v>0</v>
      </c>
      <c r="R1884" s="285" t="s">
        <v>10143</v>
      </c>
      <c r="S1884" s="15">
        <v>44073</v>
      </c>
      <c r="T1884" s="22"/>
    </row>
    <row r="1885" spans="1:20" ht="107.25" customHeight="1" x14ac:dyDescent="0.2">
      <c r="A1885" s="21">
        <v>1915</v>
      </c>
      <c r="B1885" s="12" t="s">
        <v>10074</v>
      </c>
      <c r="C1885" s="58"/>
      <c r="D1885" s="9" t="s">
        <v>10113</v>
      </c>
      <c r="E1885" s="72" t="s">
        <v>10239</v>
      </c>
      <c r="F1885" s="9" t="s">
        <v>10255</v>
      </c>
      <c r="G1885" s="285" t="s">
        <v>4296</v>
      </c>
      <c r="H1885" s="285" t="s">
        <v>3793</v>
      </c>
      <c r="I1885" s="9"/>
      <c r="J1885" s="285" t="s">
        <v>3136</v>
      </c>
      <c r="K1885" s="15">
        <v>44132</v>
      </c>
      <c r="L1885" s="285">
        <v>894</v>
      </c>
      <c r="M1885" s="15">
        <v>44105</v>
      </c>
      <c r="N1885" s="62">
        <v>1</v>
      </c>
      <c r="O1885" s="62">
        <v>1301760</v>
      </c>
      <c r="P1885" s="179">
        <v>112444.28</v>
      </c>
      <c r="Q1885" s="17">
        <f t="shared" si="44"/>
        <v>1189315.72</v>
      </c>
      <c r="R1885" s="285" t="s">
        <v>10143</v>
      </c>
      <c r="S1885" s="15">
        <v>44073</v>
      </c>
      <c r="T1885" s="22"/>
    </row>
    <row r="1886" spans="1:20" ht="114.75" customHeight="1" x14ac:dyDescent="0.2">
      <c r="A1886" s="21">
        <v>1916</v>
      </c>
      <c r="B1886" s="12" t="s">
        <v>10075</v>
      </c>
      <c r="C1886" s="58"/>
      <c r="D1886" s="9" t="s">
        <v>10114</v>
      </c>
      <c r="E1886" s="72" t="s">
        <v>10239</v>
      </c>
      <c r="F1886" s="9" t="s">
        <v>10256</v>
      </c>
      <c r="G1886" s="285" t="s">
        <v>4296</v>
      </c>
      <c r="H1886" s="285" t="s">
        <v>3793</v>
      </c>
      <c r="I1886" s="9"/>
      <c r="J1886" s="285" t="s">
        <v>3136</v>
      </c>
      <c r="K1886" s="15">
        <v>44132</v>
      </c>
      <c r="L1886" s="285">
        <v>894</v>
      </c>
      <c r="M1886" s="15">
        <v>44105</v>
      </c>
      <c r="N1886" s="62">
        <v>1</v>
      </c>
      <c r="O1886" s="62">
        <v>1486780</v>
      </c>
      <c r="P1886" s="179">
        <v>128426.22</v>
      </c>
      <c r="Q1886" s="17">
        <f t="shared" si="44"/>
        <v>1358353.78</v>
      </c>
      <c r="R1886" s="285" t="s">
        <v>10143</v>
      </c>
      <c r="S1886" s="15">
        <v>44073</v>
      </c>
      <c r="T1886" s="22"/>
    </row>
    <row r="1887" spans="1:20" ht="71.25" customHeight="1" x14ac:dyDescent="0.2">
      <c r="A1887" s="21">
        <v>1918</v>
      </c>
      <c r="B1887" s="12" t="s">
        <v>10076</v>
      </c>
      <c r="C1887" s="58"/>
      <c r="D1887" s="9" t="s">
        <v>10115</v>
      </c>
      <c r="E1887" s="72" t="s">
        <v>10239</v>
      </c>
      <c r="F1887" s="9" t="s">
        <v>10257</v>
      </c>
      <c r="G1887" s="285" t="s">
        <v>4296</v>
      </c>
      <c r="H1887" s="285" t="s">
        <v>3793</v>
      </c>
      <c r="I1887" s="9"/>
      <c r="J1887" s="285" t="s">
        <v>3136</v>
      </c>
      <c r="K1887" s="15">
        <v>44132</v>
      </c>
      <c r="L1887" s="285">
        <v>894</v>
      </c>
      <c r="M1887" s="15">
        <v>44105</v>
      </c>
      <c r="N1887" s="40">
        <v>1</v>
      </c>
      <c r="O1887" s="40">
        <v>1126080</v>
      </c>
      <c r="P1887" s="178">
        <v>97269.38</v>
      </c>
      <c r="Q1887" s="17">
        <f t="shared" si="44"/>
        <v>1028810.62</v>
      </c>
      <c r="R1887" s="285" t="s">
        <v>10143</v>
      </c>
      <c r="S1887" s="15">
        <v>44073</v>
      </c>
      <c r="T1887" s="22"/>
    </row>
    <row r="1888" spans="1:20" ht="71.25" customHeight="1" x14ac:dyDescent="0.2">
      <c r="A1888" s="21">
        <v>1919</v>
      </c>
      <c r="B1888" s="12" t="s">
        <v>10077</v>
      </c>
      <c r="C1888" s="58"/>
      <c r="D1888" s="9" t="s">
        <v>10116</v>
      </c>
      <c r="E1888" s="72" t="s">
        <v>10239</v>
      </c>
      <c r="F1888" s="9" t="s">
        <v>10258</v>
      </c>
      <c r="G1888" s="285" t="s">
        <v>4296</v>
      </c>
      <c r="H1888" s="285" t="s">
        <v>3793</v>
      </c>
      <c r="I1888" s="9"/>
      <c r="J1888" s="285" t="s">
        <v>3136</v>
      </c>
      <c r="K1888" s="15">
        <v>44132</v>
      </c>
      <c r="L1888" s="285">
        <v>894</v>
      </c>
      <c r="M1888" s="15">
        <v>44105</v>
      </c>
      <c r="N1888" s="40">
        <v>2</v>
      </c>
      <c r="O1888" s="40">
        <v>46190</v>
      </c>
      <c r="P1888" s="40">
        <v>46190</v>
      </c>
      <c r="Q1888" s="17">
        <f t="shared" si="44"/>
        <v>0</v>
      </c>
      <c r="R1888" s="285" t="s">
        <v>10143</v>
      </c>
      <c r="S1888" s="15">
        <v>44073</v>
      </c>
      <c r="T1888" s="22"/>
    </row>
    <row r="1889" spans="1:20" ht="71.25" customHeight="1" x14ac:dyDescent="0.2">
      <c r="A1889" s="21">
        <v>1920</v>
      </c>
      <c r="B1889" s="12" t="s">
        <v>10078</v>
      </c>
      <c r="C1889" s="58"/>
      <c r="D1889" s="9" t="s">
        <v>3845</v>
      </c>
      <c r="E1889" s="72" t="s">
        <v>10239</v>
      </c>
      <c r="F1889" s="9" t="s">
        <v>10259</v>
      </c>
      <c r="G1889" s="285" t="s">
        <v>4296</v>
      </c>
      <c r="H1889" s="285" t="s">
        <v>3793</v>
      </c>
      <c r="I1889" s="9"/>
      <c r="J1889" s="285" t="s">
        <v>3136</v>
      </c>
      <c r="K1889" s="15">
        <v>44132</v>
      </c>
      <c r="L1889" s="285">
        <v>894</v>
      </c>
      <c r="M1889" s="15">
        <v>44105</v>
      </c>
      <c r="N1889" s="40">
        <v>2</v>
      </c>
      <c r="O1889" s="40">
        <v>83140</v>
      </c>
      <c r="P1889" s="178">
        <v>36027.160000000003</v>
      </c>
      <c r="Q1889" s="17">
        <f t="shared" si="44"/>
        <v>47112.84</v>
      </c>
      <c r="R1889" s="285" t="s">
        <v>10143</v>
      </c>
      <c r="S1889" s="15">
        <v>44073</v>
      </c>
      <c r="T1889" s="22"/>
    </row>
    <row r="1890" spans="1:20" ht="71.25" customHeight="1" x14ac:dyDescent="0.2">
      <c r="A1890" s="21">
        <v>1921</v>
      </c>
      <c r="B1890" s="12" t="s">
        <v>10079</v>
      </c>
      <c r="C1890" s="58"/>
      <c r="D1890" s="9" t="s">
        <v>2316</v>
      </c>
      <c r="E1890" s="72" t="s">
        <v>10239</v>
      </c>
      <c r="F1890" s="9" t="s">
        <v>10260</v>
      </c>
      <c r="G1890" s="285" t="s">
        <v>4296</v>
      </c>
      <c r="H1890" s="285" t="s">
        <v>3793</v>
      </c>
      <c r="I1890" s="9"/>
      <c r="J1890" s="285" t="s">
        <v>3136</v>
      </c>
      <c r="K1890" s="15">
        <v>44132</v>
      </c>
      <c r="L1890" s="285">
        <v>894</v>
      </c>
      <c r="M1890" s="15">
        <v>44105</v>
      </c>
      <c r="N1890" s="62">
        <v>1</v>
      </c>
      <c r="O1890" s="62">
        <v>386120</v>
      </c>
      <c r="P1890" s="178">
        <v>55772.86</v>
      </c>
      <c r="Q1890" s="17">
        <f t="shared" si="44"/>
        <v>330347.14</v>
      </c>
      <c r="R1890" s="285" t="s">
        <v>10143</v>
      </c>
      <c r="S1890" s="15">
        <v>44073</v>
      </c>
      <c r="T1890" s="22"/>
    </row>
    <row r="1891" spans="1:20" ht="71.25" customHeight="1" x14ac:dyDescent="0.2">
      <c r="A1891" s="21">
        <v>1922</v>
      </c>
      <c r="B1891" s="12" t="s">
        <v>10080</v>
      </c>
      <c r="C1891" s="58"/>
      <c r="D1891" s="9" t="s">
        <v>6354</v>
      </c>
      <c r="E1891" s="72" t="s">
        <v>10239</v>
      </c>
      <c r="F1891" s="9" t="s">
        <v>10261</v>
      </c>
      <c r="G1891" s="285" t="s">
        <v>4296</v>
      </c>
      <c r="H1891" s="285" t="s">
        <v>3793</v>
      </c>
      <c r="I1891" s="9"/>
      <c r="J1891" s="285" t="s">
        <v>3136</v>
      </c>
      <c r="K1891" s="15">
        <v>44132</v>
      </c>
      <c r="L1891" s="285">
        <v>894</v>
      </c>
      <c r="M1891" s="15">
        <v>44105</v>
      </c>
      <c r="N1891" s="62">
        <v>1</v>
      </c>
      <c r="O1891" s="62">
        <v>51110</v>
      </c>
      <c r="P1891" s="178">
        <v>22147.58</v>
      </c>
      <c r="Q1891" s="17">
        <f t="shared" si="44"/>
        <v>28962.42</v>
      </c>
      <c r="R1891" s="285" t="s">
        <v>10143</v>
      </c>
      <c r="S1891" s="15">
        <v>44073</v>
      </c>
      <c r="T1891" s="22"/>
    </row>
    <row r="1892" spans="1:20" ht="67.5" customHeight="1" x14ac:dyDescent="0.2">
      <c r="A1892" s="21">
        <v>1923</v>
      </c>
      <c r="B1892" s="12" t="s">
        <v>10081</v>
      </c>
      <c r="C1892" s="58"/>
      <c r="D1892" s="9" t="s">
        <v>1916</v>
      </c>
      <c r="E1892" s="72" t="s">
        <v>10239</v>
      </c>
      <c r="F1892" s="9" t="s">
        <v>3539</v>
      </c>
      <c r="G1892" s="285" t="s">
        <v>4296</v>
      </c>
      <c r="H1892" s="285" t="s">
        <v>3793</v>
      </c>
      <c r="I1892" s="9"/>
      <c r="J1892" s="285" t="s">
        <v>3136</v>
      </c>
      <c r="K1892" s="15">
        <v>44132</v>
      </c>
      <c r="L1892" s="285">
        <v>894</v>
      </c>
      <c r="M1892" s="15">
        <v>44105</v>
      </c>
      <c r="N1892" s="62">
        <v>1</v>
      </c>
      <c r="O1892" s="62">
        <v>56300</v>
      </c>
      <c r="P1892" s="179">
        <v>23996.7</v>
      </c>
      <c r="Q1892" s="17">
        <f t="shared" si="44"/>
        <v>32303.3</v>
      </c>
      <c r="R1892" s="285" t="s">
        <v>10143</v>
      </c>
      <c r="S1892" s="15">
        <v>44073</v>
      </c>
      <c r="T1892" s="22"/>
    </row>
    <row r="1893" spans="1:20" ht="112.5" customHeight="1" x14ac:dyDescent="0.2">
      <c r="A1893" s="21">
        <v>1924</v>
      </c>
      <c r="B1893" s="12" t="s">
        <v>10082</v>
      </c>
      <c r="C1893" s="58"/>
      <c r="D1893" s="9" t="s">
        <v>1916</v>
      </c>
      <c r="E1893" s="72" t="s">
        <v>10239</v>
      </c>
      <c r="F1893" s="9" t="s">
        <v>3540</v>
      </c>
      <c r="G1893" s="285" t="s">
        <v>4296</v>
      </c>
      <c r="H1893" s="285" t="s">
        <v>3793</v>
      </c>
      <c r="I1893" s="9"/>
      <c r="J1893" s="285" t="s">
        <v>3136</v>
      </c>
      <c r="K1893" s="15">
        <v>44132</v>
      </c>
      <c r="L1893" s="285">
        <v>894</v>
      </c>
      <c r="M1893" s="15">
        <v>44105</v>
      </c>
      <c r="N1893" s="62">
        <v>1</v>
      </c>
      <c r="O1893" s="62">
        <v>84460</v>
      </c>
      <c r="P1893" s="179">
        <v>35999.339999999997</v>
      </c>
      <c r="Q1893" s="17">
        <f t="shared" si="44"/>
        <v>48460.66</v>
      </c>
      <c r="R1893" s="285" t="s">
        <v>10143</v>
      </c>
      <c r="S1893" s="15">
        <v>44073</v>
      </c>
      <c r="T1893" s="22"/>
    </row>
    <row r="1894" spans="1:20" ht="65.25" customHeight="1" x14ac:dyDescent="0.2">
      <c r="A1894" s="21">
        <v>1925</v>
      </c>
      <c r="B1894" s="12" t="s">
        <v>10083</v>
      </c>
      <c r="C1894" s="58"/>
      <c r="D1894" s="9" t="s">
        <v>1916</v>
      </c>
      <c r="E1894" s="72" t="s">
        <v>10239</v>
      </c>
      <c r="F1894" s="9" t="s">
        <v>10262</v>
      </c>
      <c r="G1894" s="285" t="s">
        <v>4296</v>
      </c>
      <c r="H1894" s="285" t="s">
        <v>3793</v>
      </c>
      <c r="I1894" s="9"/>
      <c r="J1894" s="285" t="s">
        <v>3136</v>
      </c>
      <c r="K1894" s="15">
        <v>44132</v>
      </c>
      <c r="L1894" s="285">
        <v>894</v>
      </c>
      <c r="M1894" s="15">
        <v>44105</v>
      </c>
      <c r="N1894" s="62">
        <v>4</v>
      </c>
      <c r="O1894" s="62">
        <v>78120</v>
      </c>
      <c r="P1894" s="62">
        <v>78120</v>
      </c>
      <c r="Q1894" s="17">
        <f t="shared" si="44"/>
        <v>0</v>
      </c>
      <c r="R1894" s="285" t="s">
        <v>10143</v>
      </c>
      <c r="S1894" s="15">
        <v>44073</v>
      </c>
      <c r="T1894" s="22"/>
    </row>
    <row r="1895" spans="1:20" ht="63.75" customHeight="1" x14ac:dyDescent="0.2">
      <c r="A1895" s="21">
        <v>1926</v>
      </c>
      <c r="B1895" s="12" t="s">
        <v>10084</v>
      </c>
      <c r="C1895" s="58"/>
      <c r="D1895" s="9" t="s">
        <v>10117</v>
      </c>
      <c r="E1895" s="72" t="s">
        <v>10239</v>
      </c>
      <c r="F1895" s="9" t="s">
        <v>10263</v>
      </c>
      <c r="G1895" s="285" t="s">
        <v>4296</v>
      </c>
      <c r="H1895" s="285" t="s">
        <v>3793</v>
      </c>
      <c r="I1895" s="9"/>
      <c r="J1895" s="285" t="s">
        <v>3136</v>
      </c>
      <c r="K1895" s="15">
        <v>44132</v>
      </c>
      <c r="L1895" s="285">
        <v>894</v>
      </c>
      <c r="M1895" s="15">
        <v>44105</v>
      </c>
      <c r="N1895" s="62">
        <v>1</v>
      </c>
      <c r="O1895" s="62">
        <v>19710</v>
      </c>
      <c r="P1895" s="62">
        <v>19710</v>
      </c>
      <c r="Q1895" s="17">
        <f t="shared" si="44"/>
        <v>0</v>
      </c>
      <c r="R1895" s="285" t="s">
        <v>10143</v>
      </c>
      <c r="S1895" s="15">
        <v>44073</v>
      </c>
      <c r="T1895" s="22"/>
    </row>
    <row r="1896" spans="1:20" ht="63.75" customHeight="1" x14ac:dyDescent="0.2">
      <c r="A1896" s="21">
        <v>1927</v>
      </c>
      <c r="B1896" s="12" t="s">
        <v>10085</v>
      </c>
      <c r="C1896" s="58"/>
      <c r="D1896" s="9" t="s">
        <v>10118</v>
      </c>
      <c r="E1896" s="72">
        <v>2014</v>
      </c>
      <c r="F1896" s="9" t="s">
        <v>3338</v>
      </c>
      <c r="G1896" s="285" t="s">
        <v>4296</v>
      </c>
      <c r="H1896" s="285" t="s">
        <v>3793</v>
      </c>
      <c r="I1896" s="9"/>
      <c r="J1896" s="285" t="s">
        <v>3136</v>
      </c>
      <c r="K1896" s="15">
        <v>44132</v>
      </c>
      <c r="L1896" s="285">
        <v>894</v>
      </c>
      <c r="M1896" s="15">
        <v>44105</v>
      </c>
      <c r="N1896" s="62">
        <v>1</v>
      </c>
      <c r="O1896" s="62">
        <v>10360</v>
      </c>
      <c r="P1896" s="62">
        <v>10360</v>
      </c>
      <c r="Q1896" s="17">
        <f t="shared" si="44"/>
        <v>0</v>
      </c>
      <c r="R1896" s="285" t="s">
        <v>10143</v>
      </c>
      <c r="S1896" s="15">
        <v>44073</v>
      </c>
      <c r="T1896" s="22"/>
    </row>
    <row r="1897" spans="1:20" ht="69" customHeight="1" x14ac:dyDescent="0.2">
      <c r="A1897" s="21">
        <v>1928</v>
      </c>
      <c r="B1897" s="12" t="s">
        <v>10086</v>
      </c>
      <c r="C1897" s="58"/>
      <c r="D1897" s="9" t="s">
        <v>10119</v>
      </c>
      <c r="E1897" s="72" t="s">
        <v>10239</v>
      </c>
      <c r="F1897" s="9" t="s">
        <v>4865</v>
      </c>
      <c r="G1897" s="285" t="s">
        <v>4296</v>
      </c>
      <c r="H1897" s="285" t="s">
        <v>3793</v>
      </c>
      <c r="I1897" s="9"/>
      <c r="J1897" s="285" t="s">
        <v>3136</v>
      </c>
      <c r="K1897" s="15">
        <v>44132</v>
      </c>
      <c r="L1897" s="285">
        <v>894</v>
      </c>
      <c r="M1897" s="15">
        <v>44105</v>
      </c>
      <c r="N1897" s="62">
        <v>1</v>
      </c>
      <c r="O1897" s="62">
        <v>27710</v>
      </c>
      <c r="P1897" s="62">
        <v>27710</v>
      </c>
      <c r="Q1897" s="17">
        <f t="shared" si="44"/>
        <v>0</v>
      </c>
      <c r="R1897" s="285" t="s">
        <v>10143</v>
      </c>
      <c r="S1897" s="15">
        <v>44073</v>
      </c>
      <c r="T1897" s="22"/>
    </row>
    <row r="1898" spans="1:20" ht="69" customHeight="1" x14ac:dyDescent="0.2">
      <c r="A1898" s="21">
        <v>1929</v>
      </c>
      <c r="B1898" s="12" t="s">
        <v>10087</v>
      </c>
      <c r="C1898" s="58"/>
      <c r="D1898" s="9" t="s">
        <v>10120</v>
      </c>
      <c r="E1898" s="72" t="s">
        <v>10239</v>
      </c>
      <c r="F1898" s="9" t="s">
        <v>10264</v>
      </c>
      <c r="G1898" s="285" t="s">
        <v>4296</v>
      </c>
      <c r="H1898" s="285" t="s">
        <v>3793</v>
      </c>
      <c r="I1898" s="9"/>
      <c r="J1898" s="285" t="s">
        <v>3136</v>
      </c>
      <c r="K1898" s="15">
        <v>44132</v>
      </c>
      <c r="L1898" s="285">
        <v>894</v>
      </c>
      <c r="M1898" s="15">
        <v>44105</v>
      </c>
      <c r="N1898" s="62">
        <v>1</v>
      </c>
      <c r="O1898" s="62">
        <v>13220</v>
      </c>
      <c r="P1898" s="62">
        <v>13220</v>
      </c>
      <c r="Q1898" s="17">
        <f t="shared" si="44"/>
        <v>0</v>
      </c>
      <c r="R1898" s="285" t="s">
        <v>10143</v>
      </c>
      <c r="S1898" s="15">
        <v>44073</v>
      </c>
      <c r="T1898" s="22"/>
    </row>
    <row r="1899" spans="1:20" ht="69" customHeight="1" x14ac:dyDescent="0.2">
      <c r="A1899" s="21">
        <v>1930</v>
      </c>
      <c r="B1899" s="12" t="s">
        <v>10088</v>
      </c>
      <c r="C1899" s="58"/>
      <c r="D1899" s="9" t="s">
        <v>10121</v>
      </c>
      <c r="E1899" s="72" t="s">
        <v>10239</v>
      </c>
      <c r="F1899" s="9" t="s">
        <v>10265</v>
      </c>
      <c r="G1899" s="285" t="s">
        <v>4296</v>
      </c>
      <c r="H1899" s="285" t="s">
        <v>3793</v>
      </c>
      <c r="I1899" s="9"/>
      <c r="J1899" s="285" t="s">
        <v>3136</v>
      </c>
      <c r="K1899" s="15">
        <v>44132</v>
      </c>
      <c r="L1899" s="285">
        <v>894</v>
      </c>
      <c r="M1899" s="15">
        <v>44105</v>
      </c>
      <c r="N1899" s="62">
        <v>1</v>
      </c>
      <c r="O1899" s="62">
        <v>23840</v>
      </c>
      <c r="P1899" s="62">
        <v>23840</v>
      </c>
      <c r="Q1899" s="17">
        <f t="shared" si="44"/>
        <v>0</v>
      </c>
      <c r="R1899" s="285" t="s">
        <v>10143</v>
      </c>
      <c r="S1899" s="15">
        <v>44073</v>
      </c>
      <c r="T1899" s="22"/>
    </row>
    <row r="1900" spans="1:20" ht="69" customHeight="1" x14ac:dyDescent="0.2">
      <c r="A1900" s="21">
        <v>1931</v>
      </c>
      <c r="B1900" s="12" t="s">
        <v>10089</v>
      </c>
      <c r="C1900" s="58"/>
      <c r="D1900" s="9" t="s">
        <v>10122</v>
      </c>
      <c r="E1900" s="72" t="s">
        <v>10239</v>
      </c>
      <c r="F1900" s="9" t="s">
        <v>10266</v>
      </c>
      <c r="G1900" s="285" t="s">
        <v>4296</v>
      </c>
      <c r="H1900" s="285" t="s">
        <v>3793</v>
      </c>
      <c r="I1900" s="9"/>
      <c r="J1900" s="285" t="s">
        <v>3136</v>
      </c>
      <c r="K1900" s="15">
        <v>44132</v>
      </c>
      <c r="L1900" s="285">
        <v>894</v>
      </c>
      <c r="M1900" s="15">
        <v>44105</v>
      </c>
      <c r="N1900" s="62">
        <v>1</v>
      </c>
      <c r="O1900" s="62">
        <v>141960</v>
      </c>
      <c r="P1900" s="179">
        <v>43940</v>
      </c>
      <c r="Q1900" s="17">
        <f t="shared" ref="Q1900:Q1930" si="45">O1900-P1900</f>
        <v>98020</v>
      </c>
      <c r="R1900" s="285" t="s">
        <v>10143</v>
      </c>
      <c r="S1900" s="15">
        <v>44073</v>
      </c>
      <c r="T1900" s="22"/>
    </row>
    <row r="1901" spans="1:20" ht="65.25" customHeight="1" x14ac:dyDescent="0.2">
      <c r="A1901" s="21">
        <v>1932</v>
      </c>
      <c r="B1901" s="12" t="s">
        <v>10090</v>
      </c>
      <c r="C1901" s="58"/>
      <c r="D1901" s="9" t="s">
        <v>10123</v>
      </c>
      <c r="E1901" s="72" t="s">
        <v>10239</v>
      </c>
      <c r="F1901" s="9" t="s">
        <v>10267</v>
      </c>
      <c r="G1901" s="285" t="s">
        <v>4296</v>
      </c>
      <c r="H1901" s="285" t="s">
        <v>3793</v>
      </c>
      <c r="I1901" s="9"/>
      <c r="J1901" s="285" t="s">
        <v>3136</v>
      </c>
      <c r="K1901" s="15">
        <v>44132</v>
      </c>
      <c r="L1901" s="285">
        <v>894</v>
      </c>
      <c r="M1901" s="15">
        <v>44105</v>
      </c>
      <c r="N1901" s="40">
        <v>1</v>
      </c>
      <c r="O1901" s="40">
        <v>310810</v>
      </c>
      <c r="P1901" s="179">
        <v>96203.12</v>
      </c>
      <c r="Q1901" s="17">
        <f t="shared" si="45"/>
        <v>214606.88</v>
      </c>
      <c r="R1901" s="285" t="s">
        <v>10143</v>
      </c>
      <c r="S1901" s="15">
        <v>44073</v>
      </c>
      <c r="T1901" s="22"/>
    </row>
    <row r="1902" spans="1:20" ht="65.25" customHeight="1" x14ac:dyDescent="0.2">
      <c r="A1902" s="21">
        <v>1933</v>
      </c>
      <c r="B1902" s="12" t="s">
        <v>10091</v>
      </c>
      <c r="C1902" s="58"/>
      <c r="D1902" s="46" t="s">
        <v>10124</v>
      </c>
      <c r="E1902" s="72" t="s">
        <v>10239</v>
      </c>
      <c r="F1902" s="9" t="s">
        <v>10268</v>
      </c>
      <c r="G1902" s="285" t="s">
        <v>4296</v>
      </c>
      <c r="H1902" s="285" t="s">
        <v>3793</v>
      </c>
      <c r="I1902" s="9"/>
      <c r="J1902" s="285" t="s">
        <v>3136</v>
      </c>
      <c r="K1902" s="15">
        <v>44132</v>
      </c>
      <c r="L1902" s="285">
        <v>894</v>
      </c>
      <c r="M1902" s="15">
        <v>44105</v>
      </c>
      <c r="N1902" s="40">
        <v>1</v>
      </c>
      <c r="O1902" s="40">
        <v>178210</v>
      </c>
      <c r="P1902" s="179">
        <v>55160.3</v>
      </c>
      <c r="Q1902" s="17">
        <f t="shared" si="45"/>
        <v>123049.7</v>
      </c>
      <c r="R1902" s="285" t="s">
        <v>10143</v>
      </c>
      <c r="S1902" s="15">
        <v>44073</v>
      </c>
      <c r="T1902" s="22"/>
    </row>
    <row r="1903" spans="1:20" ht="63.75" customHeight="1" x14ac:dyDescent="0.2">
      <c r="A1903" s="21">
        <v>1934</v>
      </c>
      <c r="B1903" s="12" t="s">
        <v>10092</v>
      </c>
      <c r="C1903" s="58"/>
      <c r="D1903" s="46" t="s">
        <v>10125</v>
      </c>
      <c r="E1903" s="72" t="s">
        <v>10239</v>
      </c>
      <c r="F1903" s="9" t="s">
        <v>10269</v>
      </c>
      <c r="G1903" s="285" t="s">
        <v>4296</v>
      </c>
      <c r="H1903" s="285" t="s">
        <v>3793</v>
      </c>
      <c r="I1903" s="9"/>
      <c r="J1903" s="285" t="s">
        <v>3136</v>
      </c>
      <c r="K1903" s="15">
        <v>44132</v>
      </c>
      <c r="L1903" s="285">
        <v>894</v>
      </c>
      <c r="M1903" s="15">
        <v>44105</v>
      </c>
      <c r="N1903" s="40">
        <v>2</v>
      </c>
      <c r="O1903" s="40">
        <v>33440</v>
      </c>
      <c r="P1903" s="40">
        <v>33440</v>
      </c>
      <c r="Q1903" s="17">
        <f t="shared" si="45"/>
        <v>0</v>
      </c>
      <c r="R1903" s="285" t="s">
        <v>10143</v>
      </c>
      <c r="S1903" s="15">
        <v>44073</v>
      </c>
      <c r="T1903" s="22"/>
    </row>
    <row r="1904" spans="1:20" ht="71.25" customHeight="1" x14ac:dyDescent="0.2">
      <c r="A1904" s="21">
        <v>1935</v>
      </c>
      <c r="B1904" s="12" t="s">
        <v>10093</v>
      </c>
      <c r="C1904" s="58"/>
      <c r="D1904" s="9" t="s">
        <v>10126</v>
      </c>
      <c r="E1904" s="72" t="s">
        <v>10239</v>
      </c>
      <c r="F1904" s="9" t="s">
        <v>10270</v>
      </c>
      <c r="G1904" s="285" t="s">
        <v>4296</v>
      </c>
      <c r="H1904" s="285" t="s">
        <v>3793</v>
      </c>
      <c r="I1904" s="9"/>
      <c r="J1904" s="285" t="s">
        <v>3136</v>
      </c>
      <c r="K1904" s="15">
        <v>44132</v>
      </c>
      <c r="L1904" s="285">
        <v>894</v>
      </c>
      <c r="M1904" s="15">
        <v>44105</v>
      </c>
      <c r="N1904" s="40">
        <v>1</v>
      </c>
      <c r="O1904" s="40">
        <v>13060</v>
      </c>
      <c r="P1904" s="62">
        <v>13060</v>
      </c>
      <c r="Q1904" s="17">
        <f t="shared" si="45"/>
        <v>0</v>
      </c>
      <c r="R1904" s="285" t="s">
        <v>10143</v>
      </c>
      <c r="S1904" s="15">
        <v>44073</v>
      </c>
      <c r="T1904" s="22"/>
    </row>
    <row r="1905" spans="1:20" ht="64.5" customHeight="1" x14ac:dyDescent="0.2">
      <c r="A1905" s="21">
        <v>1936</v>
      </c>
      <c r="B1905" s="12" t="s">
        <v>10094</v>
      </c>
      <c r="C1905" s="58"/>
      <c r="D1905" s="9" t="s">
        <v>10127</v>
      </c>
      <c r="E1905" s="72" t="s">
        <v>10239</v>
      </c>
      <c r="F1905" s="9" t="s">
        <v>10271</v>
      </c>
      <c r="G1905" s="285" t="s">
        <v>4296</v>
      </c>
      <c r="H1905" s="285" t="s">
        <v>3793</v>
      </c>
      <c r="I1905" s="9"/>
      <c r="J1905" s="285" t="s">
        <v>3136</v>
      </c>
      <c r="K1905" s="15">
        <v>44132</v>
      </c>
      <c r="L1905" s="285">
        <v>894</v>
      </c>
      <c r="M1905" s="15">
        <v>44105</v>
      </c>
      <c r="N1905" s="40">
        <v>1</v>
      </c>
      <c r="O1905" s="40">
        <v>41610</v>
      </c>
      <c r="P1905" s="62">
        <v>5977.14</v>
      </c>
      <c r="Q1905" s="17">
        <f t="shared" si="45"/>
        <v>35632.86</v>
      </c>
      <c r="R1905" s="285" t="s">
        <v>10143</v>
      </c>
      <c r="S1905" s="15">
        <v>44073</v>
      </c>
      <c r="T1905" s="22"/>
    </row>
    <row r="1906" spans="1:20" ht="67.5" customHeight="1" x14ac:dyDescent="0.2">
      <c r="A1906" s="21">
        <v>1937</v>
      </c>
      <c r="B1906" s="12" t="s">
        <v>10095</v>
      </c>
      <c r="C1906" s="58"/>
      <c r="D1906" s="9" t="s">
        <v>10128</v>
      </c>
      <c r="E1906" s="72" t="s">
        <v>10239</v>
      </c>
      <c r="F1906" s="9" t="s">
        <v>10272</v>
      </c>
      <c r="G1906" s="285" t="s">
        <v>4296</v>
      </c>
      <c r="H1906" s="285" t="s">
        <v>3793</v>
      </c>
      <c r="I1906" s="9"/>
      <c r="J1906" s="285" t="s">
        <v>3136</v>
      </c>
      <c r="K1906" s="15">
        <v>44132</v>
      </c>
      <c r="L1906" s="285">
        <v>894</v>
      </c>
      <c r="M1906" s="15">
        <v>44105</v>
      </c>
      <c r="N1906" s="40">
        <v>1</v>
      </c>
      <c r="O1906" s="40">
        <v>12580</v>
      </c>
      <c r="P1906" s="62">
        <v>12580</v>
      </c>
      <c r="Q1906" s="17">
        <f t="shared" si="45"/>
        <v>0</v>
      </c>
      <c r="R1906" s="285" t="s">
        <v>10143</v>
      </c>
      <c r="S1906" s="15">
        <v>44073</v>
      </c>
      <c r="T1906" s="22"/>
    </row>
    <row r="1907" spans="1:20" ht="68.25" customHeight="1" x14ac:dyDescent="0.2">
      <c r="A1907" s="21">
        <v>1938</v>
      </c>
      <c r="B1907" s="12" t="s">
        <v>10096</v>
      </c>
      <c r="C1907" s="58"/>
      <c r="D1907" s="9" t="s">
        <v>10129</v>
      </c>
      <c r="E1907" s="72" t="s">
        <v>10239</v>
      </c>
      <c r="F1907" s="9" t="s">
        <v>5231</v>
      </c>
      <c r="G1907" s="285" t="s">
        <v>4296</v>
      </c>
      <c r="H1907" s="285" t="s">
        <v>3793</v>
      </c>
      <c r="I1907" s="9"/>
      <c r="J1907" s="285" t="s">
        <v>3136</v>
      </c>
      <c r="K1907" s="15">
        <v>44132</v>
      </c>
      <c r="L1907" s="285">
        <v>894</v>
      </c>
      <c r="M1907" s="15">
        <v>44105</v>
      </c>
      <c r="N1907" s="62">
        <v>1</v>
      </c>
      <c r="O1907" s="62">
        <v>16010</v>
      </c>
      <c r="P1907" s="62">
        <v>16010</v>
      </c>
      <c r="Q1907" s="17">
        <f t="shared" si="45"/>
        <v>0</v>
      </c>
      <c r="R1907" s="285" t="s">
        <v>10143</v>
      </c>
      <c r="S1907" s="15">
        <v>44073</v>
      </c>
      <c r="T1907" s="22"/>
    </row>
    <row r="1908" spans="1:20" ht="68.25" customHeight="1" x14ac:dyDescent="0.2">
      <c r="A1908" s="21">
        <v>1939</v>
      </c>
      <c r="B1908" s="12" t="s">
        <v>10097</v>
      </c>
      <c r="C1908" s="58"/>
      <c r="D1908" s="9" t="s">
        <v>4705</v>
      </c>
      <c r="E1908" s="72" t="s">
        <v>10239</v>
      </c>
      <c r="F1908" s="9" t="s">
        <v>10273</v>
      </c>
      <c r="G1908" s="285" t="s">
        <v>4296</v>
      </c>
      <c r="H1908" s="285" t="s">
        <v>3793</v>
      </c>
      <c r="I1908" s="9"/>
      <c r="J1908" s="285" t="s">
        <v>3136</v>
      </c>
      <c r="K1908" s="15">
        <v>44132</v>
      </c>
      <c r="L1908" s="285">
        <v>894</v>
      </c>
      <c r="M1908" s="15">
        <v>44105</v>
      </c>
      <c r="N1908" s="62">
        <v>1</v>
      </c>
      <c r="O1908" s="62">
        <v>24020</v>
      </c>
      <c r="P1908" s="62">
        <v>24020</v>
      </c>
      <c r="Q1908" s="17">
        <f t="shared" si="45"/>
        <v>0</v>
      </c>
      <c r="R1908" s="285" t="s">
        <v>10143</v>
      </c>
      <c r="S1908" s="15">
        <v>44073</v>
      </c>
      <c r="T1908" s="22"/>
    </row>
    <row r="1909" spans="1:20" ht="68.25" customHeight="1" x14ac:dyDescent="0.2">
      <c r="A1909" s="21">
        <v>1940</v>
      </c>
      <c r="B1909" s="12" t="s">
        <v>10098</v>
      </c>
      <c r="C1909" s="58"/>
      <c r="D1909" s="9" t="s">
        <v>10130</v>
      </c>
      <c r="E1909" s="72" t="s">
        <v>10239</v>
      </c>
      <c r="F1909" s="9" t="s">
        <v>10274</v>
      </c>
      <c r="G1909" s="285" t="s">
        <v>4296</v>
      </c>
      <c r="H1909" s="285" t="s">
        <v>3793</v>
      </c>
      <c r="I1909" s="9"/>
      <c r="J1909" s="285" t="s">
        <v>3136</v>
      </c>
      <c r="K1909" s="15">
        <v>44132</v>
      </c>
      <c r="L1909" s="285">
        <v>894</v>
      </c>
      <c r="M1909" s="15">
        <v>44105</v>
      </c>
      <c r="N1909" s="62">
        <v>1</v>
      </c>
      <c r="O1909" s="62">
        <v>19680</v>
      </c>
      <c r="P1909" s="62">
        <v>19680</v>
      </c>
      <c r="Q1909" s="17">
        <f t="shared" si="45"/>
        <v>0</v>
      </c>
      <c r="R1909" s="285" t="s">
        <v>10143</v>
      </c>
      <c r="S1909" s="15">
        <v>44073</v>
      </c>
      <c r="T1909" s="22"/>
    </row>
    <row r="1910" spans="1:20" ht="68.25" customHeight="1" x14ac:dyDescent="0.2">
      <c r="A1910" s="21">
        <v>1941</v>
      </c>
      <c r="B1910" s="12" t="s">
        <v>10099</v>
      </c>
      <c r="C1910" s="58"/>
      <c r="D1910" s="9" t="s">
        <v>10131</v>
      </c>
      <c r="E1910" s="72" t="s">
        <v>10239</v>
      </c>
      <c r="F1910" s="9" t="s">
        <v>10275</v>
      </c>
      <c r="G1910" s="285" t="s">
        <v>4296</v>
      </c>
      <c r="H1910" s="285" t="s">
        <v>3793</v>
      </c>
      <c r="I1910" s="9"/>
      <c r="J1910" s="285" t="s">
        <v>3136</v>
      </c>
      <c r="K1910" s="15">
        <v>44132</v>
      </c>
      <c r="L1910" s="285">
        <v>894</v>
      </c>
      <c r="M1910" s="15">
        <v>44105</v>
      </c>
      <c r="N1910" s="62">
        <v>1</v>
      </c>
      <c r="O1910" s="62">
        <v>11120</v>
      </c>
      <c r="P1910" s="62">
        <v>11120</v>
      </c>
      <c r="Q1910" s="17">
        <f t="shared" si="45"/>
        <v>0</v>
      </c>
      <c r="R1910" s="285" t="s">
        <v>10143</v>
      </c>
      <c r="S1910" s="15">
        <v>44073</v>
      </c>
      <c r="T1910" s="22"/>
    </row>
    <row r="1911" spans="1:20" ht="68.25" customHeight="1" x14ac:dyDescent="0.2">
      <c r="A1911" s="21">
        <v>1942</v>
      </c>
      <c r="B1911" s="12" t="s">
        <v>10100</v>
      </c>
      <c r="C1911" s="58"/>
      <c r="D1911" s="9" t="s">
        <v>4202</v>
      </c>
      <c r="E1911" s="72" t="s">
        <v>10239</v>
      </c>
      <c r="F1911" s="9" t="s">
        <v>10276</v>
      </c>
      <c r="G1911" s="285" t="s">
        <v>4296</v>
      </c>
      <c r="H1911" s="285" t="s">
        <v>3793</v>
      </c>
      <c r="I1911" s="9"/>
      <c r="J1911" s="285" t="s">
        <v>3136</v>
      </c>
      <c r="K1911" s="15">
        <v>44132</v>
      </c>
      <c r="L1911" s="285">
        <v>894</v>
      </c>
      <c r="M1911" s="15">
        <v>44105</v>
      </c>
      <c r="N1911" s="62">
        <v>1</v>
      </c>
      <c r="O1911" s="62">
        <v>43550</v>
      </c>
      <c r="P1911" s="179">
        <v>18562.18</v>
      </c>
      <c r="Q1911" s="17">
        <f t="shared" si="45"/>
        <v>24987.82</v>
      </c>
      <c r="R1911" s="285" t="s">
        <v>10143</v>
      </c>
      <c r="S1911" s="15">
        <v>44073</v>
      </c>
      <c r="T1911" s="22"/>
    </row>
    <row r="1912" spans="1:20" ht="69.75" customHeight="1" x14ac:dyDescent="0.2">
      <c r="A1912" s="21">
        <v>1943</v>
      </c>
      <c r="B1912" s="12" t="s">
        <v>10101</v>
      </c>
      <c r="C1912" s="58"/>
      <c r="D1912" s="9" t="s">
        <v>10132</v>
      </c>
      <c r="E1912" s="72" t="s">
        <v>10239</v>
      </c>
      <c r="F1912" s="9" t="s">
        <v>10277</v>
      </c>
      <c r="G1912" s="285" t="s">
        <v>4296</v>
      </c>
      <c r="H1912" s="285" t="s">
        <v>3793</v>
      </c>
      <c r="I1912" s="9"/>
      <c r="J1912" s="285" t="s">
        <v>3136</v>
      </c>
      <c r="K1912" s="15">
        <v>44132</v>
      </c>
      <c r="L1912" s="285">
        <v>894</v>
      </c>
      <c r="M1912" s="15">
        <v>44105</v>
      </c>
      <c r="N1912" s="62">
        <v>1</v>
      </c>
      <c r="O1912" s="62">
        <v>174520</v>
      </c>
      <c r="P1912" s="179">
        <v>53382.68</v>
      </c>
      <c r="Q1912" s="17">
        <f t="shared" si="45"/>
        <v>121137.32</v>
      </c>
      <c r="R1912" s="285" t="s">
        <v>10143</v>
      </c>
      <c r="S1912" s="15">
        <v>44073</v>
      </c>
      <c r="T1912" s="22"/>
    </row>
    <row r="1913" spans="1:20" ht="69.75" customHeight="1" x14ac:dyDescent="0.2">
      <c r="A1913" s="21">
        <v>1944</v>
      </c>
      <c r="B1913" s="12" t="s">
        <v>10102</v>
      </c>
      <c r="C1913" s="58"/>
      <c r="D1913" s="9" t="s">
        <v>10133</v>
      </c>
      <c r="E1913" s="72" t="s">
        <v>10239</v>
      </c>
      <c r="F1913" s="9" t="s">
        <v>10278</v>
      </c>
      <c r="G1913" s="285" t="s">
        <v>4296</v>
      </c>
      <c r="H1913" s="285" t="s">
        <v>3793</v>
      </c>
      <c r="I1913" s="9"/>
      <c r="J1913" s="285" t="s">
        <v>3136</v>
      </c>
      <c r="K1913" s="15">
        <v>44132</v>
      </c>
      <c r="L1913" s="285">
        <v>894</v>
      </c>
      <c r="M1913" s="15">
        <v>44105</v>
      </c>
      <c r="N1913" s="62">
        <v>2</v>
      </c>
      <c r="O1913" s="62">
        <v>20750</v>
      </c>
      <c r="P1913" s="62">
        <v>20750</v>
      </c>
      <c r="Q1913" s="17">
        <f t="shared" si="45"/>
        <v>0</v>
      </c>
      <c r="R1913" s="285" t="s">
        <v>10143</v>
      </c>
      <c r="S1913" s="15">
        <v>44073</v>
      </c>
      <c r="T1913" s="22"/>
    </row>
    <row r="1914" spans="1:20" ht="69.75" customHeight="1" x14ac:dyDescent="0.2">
      <c r="A1914" s="21">
        <v>1945</v>
      </c>
      <c r="B1914" s="12" t="s">
        <v>10103</v>
      </c>
      <c r="C1914" s="58"/>
      <c r="D1914" s="9" t="s">
        <v>10134</v>
      </c>
      <c r="E1914" s="72" t="s">
        <v>10239</v>
      </c>
      <c r="F1914" s="9" t="s">
        <v>10279</v>
      </c>
      <c r="G1914" s="285" t="s">
        <v>4296</v>
      </c>
      <c r="H1914" s="285" t="s">
        <v>3793</v>
      </c>
      <c r="I1914" s="9"/>
      <c r="J1914" s="285" t="s">
        <v>3136</v>
      </c>
      <c r="K1914" s="15">
        <v>44132</v>
      </c>
      <c r="L1914" s="285">
        <v>894</v>
      </c>
      <c r="M1914" s="15">
        <v>44105</v>
      </c>
      <c r="N1914" s="62">
        <v>1</v>
      </c>
      <c r="O1914" s="62">
        <v>143880</v>
      </c>
      <c r="P1914" s="179">
        <v>103913.42</v>
      </c>
      <c r="Q1914" s="17">
        <f t="shared" si="45"/>
        <v>39966.58</v>
      </c>
      <c r="R1914" s="285" t="s">
        <v>10143</v>
      </c>
      <c r="S1914" s="15">
        <v>44073</v>
      </c>
      <c r="T1914" s="22"/>
    </row>
    <row r="1915" spans="1:20" ht="69.75" customHeight="1" x14ac:dyDescent="0.2">
      <c r="A1915" s="21">
        <v>1946</v>
      </c>
      <c r="B1915" s="12" t="s">
        <v>10104</v>
      </c>
      <c r="C1915" s="58"/>
      <c r="D1915" s="9" t="s">
        <v>10135</v>
      </c>
      <c r="E1915" s="72" t="s">
        <v>10239</v>
      </c>
      <c r="F1915" s="9" t="s">
        <v>10280</v>
      </c>
      <c r="G1915" s="285" t="s">
        <v>4296</v>
      </c>
      <c r="H1915" s="285" t="s">
        <v>3793</v>
      </c>
      <c r="I1915" s="9"/>
      <c r="J1915" s="285" t="s">
        <v>3136</v>
      </c>
      <c r="K1915" s="15">
        <v>44132</v>
      </c>
      <c r="L1915" s="285">
        <v>894</v>
      </c>
      <c r="M1915" s="15">
        <v>44105</v>
      </c>
      <c r="N1915" s="62">
        <v>1</v>
      </c>
      <c r="O1915" s="62">
        <v>209420</v>
      </c>
      <c r="P1915" s="179">
        <v>64057.760000000002</v>
      </c>
      <c r="Q1915" s="17">
        <f t="shared" si="45"/>
        <v>145362.23999999999</v>
      </c>
      <c r="R1915" s="285" t="s">
        <v>10143</v>
      </c>
      <c r="S1915" s="15">
        <v>44073</v>
      </c>
      <c r="T1915" s="22"/>
    </row>
    <row r="1916" spans="1:20" ht="69.75" customHeight="1" x14ac:dyDescent="0.2">
      <c r="A1916" s="21">
        <v>1947</v>
      </c>
      <c r="B1916" s="12" t="s">
        <v>10105</v>
      </c>
      <c r="C1916" s="58"/>
      <c r="D1916" s="9" t="s">
        <v>10136</v>
      </c>
      <c r="E1916" s="72" t="s">
        <v>10239</v>
      </c>
      <c r="F1916" s="9" t="s">
        <v>10281</v>
      </c>
      <c r="G1916" s="285" t="s">
        <v>4296</v>
      </c>
      <c r="H1916" s="285" t="s">
        <v>3793</v>
      </c>
      <c r="I1916" s="9"/>
      <c r="J1916" s="285" t="s">
        <v>3136</v>
      </c>
      <c r="K1916" s="15">
        <v>44132</v>
      </c>
      <c r="L1916" s="285">
        <v>894</v>
      </c>
      <c r="M1916" s="15">
        <v>44105</v>
      </c>
      <c r="N1916" s="62">
        <v>1</v>
      </c>
      <c r="O1916" s="62">
        <v>125360</v>
      </c>
      <c r="P1916" s="179">
        <v>38345.32</v>
      </c>
      <c r="Q1916" s="17">
        <f t="shared" si="45"/>
        <v>87014.68</v>
      </c>
      <c r="R1916" s="285" t="s">
        <v>10143</v>
      </c>
      <c r="S1916" s="15">
        <v>44073</v>
      </c>
      <c r="T1916" s="22"/>
    </row>
    <row r="1917" spans="1:20" ht="69.75" customHeight="1" x14ac:dyDescent="0.2">
      <c r="A1917" s="21">
        <v>1948</v>
      </c>
      <c r="B1917" s="12" t="s">
        <v>10106</v>
      </c>
      <c r="C1917" s="58"/>
      <c r="D1917" s="9" t="s">
        <v>5389</v>
      </c>
      <c r="E1917" s="72" t="s">
        <v>10239</v>
      </c>
      <c r="F1917" s="9" t="s">
        <v>10282</v>
      </c>
      <c r="G1917" s="285" t="s">
        <v>4296</v>
      </c>
      <c r="H1917" s="285" t="s">
        <v>3793</v>
      </c>
      <c r="I1917" s="9"/>
      <c r="J1917" s="285" t="s">
        <v>3136</v>
      </c>
      <c r="K1917" s="15">
        <v>44132</v>
      </c>
      <c r="L1917" s="285">
        <v>894</v>
      </c>
      <c r="M1917" s="15">
        <v>44105</v>
      </c>
      <c r="N1917" s="62">
        <v>1</v>
      </c>
      <c r="O1917" s="62">
        <v>17470</v>
      </c>
      <c r="P1917" s="62">
        <v>17470</v>
      </c>
      <c r="Q1917" s="17">
        <f t="shared" si="45"/>
        <v>0</v>
      </c>
      <c r="R1917" s="285" t="s">
        <v>10143</v>
      </c>
      <c r="S1917" s="15">
        <v>44073</v>
      </c>
      <c r="T1917" s="22"/>
    </row>
    <row r="1918" spans="1:20" ht="69.75" customHeight="1" x14ac:dyDescent="0.2">
      <c r="A1918" s="21">
        <v>1949</v>
      </c>
      <c r="B1918" s="12" t="s">
        <v>10137</v>
      </c>
      <c r="C1918" s="58"/>
      <c r="D1918" s="9" t="s">
        <v>10138</v>
      </c>
      <c r="E1918" s="72" t="s">
        <v>10239</v>
      </c>
      <c r="F1918" s="9" t="s">
        <v>10283</v>
      </c>
      <c r="G1918" s="285" t="s">
        <v>4296</v>
      </c>
      <c r="H1918" s="285" t="s">
        <v>3793</v>
      </c>
      <c r="I1918" s="9"/>
      <c r="J1918" s="285" t="s">
        <v>3136</v>
      </c>
      <c r="K1918" s="15">
        <v>44132</v>
      </c>
      <c r="L1918" s="285">
        <v>894</v>
      </c>
      <c r="M1918" s="15">
        <v>44105</v>
      </c>
      <c r="N1918" s="62">
        <v>1</v>
      </c>
      <c r="O1918" s="62">
        <v>26120</v>
      </c>
      <c r="P1918" s="62">
        <v>26120</v>
      </c>
      <c r="Q1918" s="17">
        <f t="shared" si="45"/>
        <v>0</v>
      </c>
      <c r="R1918" s="285" t="s">
        <v>10143</v>
      </c>
      <c r="S1918" s="15">
        <v>44073</v>
      </c>
      <c r="T1918" s="22"/>
    </row>
    <row r="1919" spans="1:20" ht="69.75" customHeight="1" x14ac:dyDescent="0.2">
      <c r="A1919" s="21">
        <v>1950</v>
      </c>
      <c r="B1919" s="12" t="s">
        <v>10139</v>
      </c>
      <c r="C1919" s="58"/>
      <c r="D1919" s="9" t="s">
        <v>3974</v>
      </c>
      <c r="E1919" s="72">
        <v>2000</v>
      </c>
      <c r="F1919" s="9" t="s">
        <v>10284</v>
      </c>
      <c r="G1919" s="285" t="s">
        <v>4296</v>
      </c>
      <c r="H1919" s="285" t="s">
        <v>3793</v>
      </c>
      <c r="I1919" s="9"/>
      <c r="J1919" s="285" t="s">
        <v>3136</v>
      </c>
      <c r="K1919" s="15">
        <v>44132</v>
      </c>
      <c r="L1919" s="285">
        <v>894</v>
      </c>
      <c r="M1919" s="15">
        <v>44105</v>
      </c>
      <c r="N1919" s="40">
        <v>1</v>
      </c>
      <c r="O1919" s="40">
        <v>15150</v>
      </c>
      <c r="P1919" s="40">
        <v>15150</v>
      </c>
      <c r="Q1919" s="17">
        <f t="shared" si="45"/>
        <v>0</v>
      </c>
      <c r="R1919" s="285" t="s">
        <v>10143</v>
      </c>
      <c r="S1919" s="15">
        <v>44073</v>
      </c>
      <c r="T1919" s="22"/>
    </row>
    <row r="1920" spans="1:20" ht="69.75" customHeight="1" x14ac:dyDescent="0.2">
      <c r="A1920" s="21">
        <v>1951</v>
      </c>
      <c r="B1920" s="12" t="s">
        <v>10228</v>
      </c>
      <c r="C1920" s="58"/>
      <c r="D1920" s="9" t="s">
        <v>9469</v>
      </c>
      <c r="E1920" s="29">
        <v>2020</v>
      </c>
      <c r="F1920" s="9" t="s">
        <v>10148</v>
      </c>
      <c r="G1920" s="285" t="s">
        <v>4296</v>
      </c>
      <c r="H1920" s="285" t="s">
        <v>3793</v>
      </c>
      <c r="I1920" s="9"/>
      <c r="J1920" s="285" t="s">
        <v>3136</v>
      </c>
      <c r="K1920" s="15">
        <v>44140</v>
      </c>
      <c r="L1920" s="285">
        <v>913</v>
      </c>
      <c r="M1920" s="15">
        <v>44095</v>
      </c>
      <c r="N1920" s="40">
        <v>1</v>
      </c>
      <c r="O1920" s="40">
        <v>43447.66</v>
      </c>
      <c r="P1920" s="179">
        <v>18827.38</v>
      </c>
      <c r="Q1920" s="17">
        <f t="shared" si="45"/>
        <v>24620.280000000002</v>
      </c>
      <c r="R1920" s="285" t="s">
        <v>5110</v>
      </c>
      <c r="S1920" s="15">
        <v>44034</v>
      </c>
      <c r="T1920" s="22" t="s">
        <v>10149</v>
      </c>
    </row>
    <row r="1921" spans="1:20" ht="69.75" customHeight="1" x14ac:dyDescent="0.2">
      <c r="A1921" s="21">
        <v>1952</v>
      </c>
      <c r="B1921" s="12" t="s">
        <v>10144</v>
      </c>
      <c r="C1921" s="58"/>
      <c r="D1921" s="46" t="s">
        <v>10150</v>
      </c>
      <c r="E1921" s="29">
        <v>2020</v>
      </c>
      <c r="F1921" s="9" t="s">
        <v>10152</v>
      </c>
      <c r="G1921" s="285" t="s">
        <v>4296</v>
      </c>
      <c r="H1921" s="285" t="s">
        <v>3793</v>
      </c>
      <c r="I1921" s="9"/>
      <c r="J1921" s="285" t="s">
        <v>3136</v>
      </c>
      <c r="K1921" s="15">
        <v>44140</v>
      </c>
      <c r="L1921" s="285">
        <v>913</v>
      </c>
      <c r="M1921" s="15">
        <v>44095</v>
      </c>
      <c r="N1921" s="40">
        <v>1</v>
      </c>
      <c r="O1921" s="40">
        <v>48522.14</v>
      </c>
      <c r="P1921" s="179">
        <v>21026.2</v>
      </c>
      <c r="Q1921" s="17">
        <f t="shared" si="45"/>
        <v>27495.94</v>
      </c>
      <c r="R1921" s="285" t="s">
        <v>5110</v>
      </c>
      <c r="S1921" s="15">
        <v>44034</v>
      </c>
      <c r="T1921" s="22" t="s">
        <v>10149</v>
      </c>
    </row>
    <row r="1922" spans="1:20" ht="76.5" customHeight="1" x14ac:dyDescent="0.2">
      <c r="A1922" s="21">
        <v>1953</v>
      </c>
      <c r="B1922" s="12" t="s">
        <v>10145</v>
      </c>
      <c r="C1922" s="58"/>
      <c r="D1922" s="9" t="s">
        <v>10151</v>
      </c>
      <c r="E1922" s="29">
        <v>2020</v>
      </c>
      <c r="F1922" s="9" t="s">
        <v>10153</v>
      </c>
      <c r="G1922" s="285" t="s">
        <v>4296</v>
      </c>
      <c r="H1922" s="285" t="s">
        <v>3793</v>
      </c>
      <c r="I1922" s="9"/>
      <c r="J1922" s="285" t="s">
        <v>3136</v>
      </c>
      <c r="K1922" s="15">
        <v>44140</v>
      </c>
      <c r="L1922" s="285">
        <v>913</v>
      </c>
      <c r="M1922" s="15">
        <v>44120</v>
      </c>
      <c r="N1922" s="40">
        <v>1</v>
      </c>
      <c r="O1922" s="40">
        <v>31142.5</v>
      </c>
      <c r="P1922" s="62">
        <v>31142.5</v>
      </c>
      <c r="Q1922" s="17">
        <f t="shared" si="45"/>
        <v>0</v>
      </c>
      <c r="R1922" s="285" t="s">
        <v>5110</v>
      </c>
      <c r="S1922" s="15">
        <v>44097</v>
      </c>
      <c r="T1922" s="22" t="s">
        <v>10154</v>
      </c>
    </row>
    <row r="1923" spans="1:20" ht="62.25" customHeight="1" x14ac:dyDescent="0.2">
      <c r="A1923" s="21">
        <v>1954</v>
      </c>
      <c r="B1923" s="12" t="s">
        <v>10146</v>
      </c>
      <c r="C1923" s="58"/>
      <c r="D1923" s="9" t="s">
        <v>10155</v>
      </c>
      <c r="E1923" s="29">
        <v>2020</v>
      </c>
      <c r="F1923" s="9" t="s">
        <v>10156</v>
      </c>
      <c r="G1923" s="285" t="s">
        <v>4296</v>
      </c>
      <c r="H1923" s="285" t="s">
        <v>3793</v>
      </c>
      <c r="I1923" s="9"/>
      <c r="J1923" s="285" t="s">
        <v>3136</v>
      </c>
      <c r="K1923" s="15">
        <v>44140</v>
      </c>
      <c r="L1923" s="285">
        <v>913</v>
      </c>
      <c r="M1923" s="15">
        <v>44111</v>
      </c>
      <c r="N1923" s="40">
        <v>2</v>
      </c>
      <c r="O1923" s="40">
        <v>45515.01</v>
      </c>
      <c r="P1923" s="62">
        <v>45515.01</v>
      </c>
      <c r="Q1923" s="17">
        <f t="shared" si="45"/>
        <v>0</v>
      </c>
      <c r="R1923" s="285" t="s">
        <v>5110</v>
      </c>
      <c r="S1923" s="15">
        <v>44056</v>
      </c>
      <c r="T1923" s="22" t="s">
        <v>10157</v>
      </c>
    </row>
    <row r="1924" spans="1:20" ht="58.5" customHeight="1" x14ac:dyDescent="0.2">
      <c r="A1924" s="21">
        <v>1955</v>
      </c>
      <c r="B1924" s="12" t="s">
        <v>10147</v>
      </c>
      <c r="C1924" s="58"/>
      <c r="D1924" s="9" t="s">
        <v>10158</v>
      </c>
      <c r="E1924" s="29">
        <v>2020</v>
      </c>
      <c r="F1924" s="9" t="s">
        <v>10159</v>
      </c>
      <c r="G1924" s="285" t="s">
        <v>4296</v>
      </c>
      <c r="H1924" s="285" t="s">
        <v>3793</v>
      </c>
      <c r="I1924" s="9"/>
      <c r="J1924" s="285" t="s">
        <v>3136</v>
      </c>
      <c r="K1924" s="15">
        <v>44140</v>
      </c>
      <c r="L1924" s="285">
        <v>913</v>
      </c>
      <c r="M1924" s="15">
        <v>44111</v>
      </c>
      <c r="N1924" s="62">
        <v>2</v>
      </c>
      <c r="O1924" s="62">
        <v>79000</v>
      </c>
      <c r="P1924" s="62">
        <v>79000</v>
      </c>
      <c r="Q1924" s="17">
        <f t="shared" si="45"/>
        <v>0</v>
      </c>
      <c r="R1924" s="285" t="s">
        <v>5110</v>
      </c>
      <c r="S1924" s="15">
        <v>44056</v>
      </c>
      <c r="T1924" s="22" t="s">
        <v>10157</v>
      </c>
    </row>
    <row r="1925" spans="1:20" ht="39" customHeight="1" x14ac:dyDescent="0.2">
      <c r="A1925" s="21">
        <v>1956</v>
      </c>
      <c r="B1925" s="12" t="s">
        <v>10160</v>
      </c>
      <c r="C1925" s="58"/>
      <c r="D1925" s="9" t="s">
        <v>9939</v>
      </c>
      <c r="E1925" s="29">
        <v>2020</v>
      </c>
      <c r="F1925" s="9" t="s">
        <v>10161</v>
      </c>
      <c r="G1925" s="285" t="s">
        <v>2437</v>
      </c>
      <c r="H1925" s="285" t="s">
        <v>5127</v>
      </c>
      <c r="I1925" s="9"/>
      <c r="J1925" s="285" t="s">
        <v>3136</v>
      </c>
      <c r="K1925" s="15">
        <v>44144</v>
      </c>
      <c r="L1925" s="285">
        <v>921</v>
      </c>
      <c r="M1925" s="15">
        <v>44099</v>
      </c>
      <c r="N1925" s="62">
        <v>2</v>
      </c>
      <c r="O1925" s="62">
        <v>24700</v>
      </c>
      <c r="P1925" s="62">
        <v>24700</v>
      </c>
      <c r="Q1925" s="17">
        <f t="shared" si="45"/>
        <v>0</v>
      </c>
      <c r="R1925" s="285" t="s">
        <v>9940</v>
      </c>
      <c r="S1925" s="15">
        <v>44099</v>
      </c>
      <c r="T1925" s="22" t="s">
        <v>10162</v>
      </c>
    </row>
    <row r="1926" spans="1:20" ht="191.25" customHeight="1" x14ac:dyDescent="0.2">
      <c r="A1926" s="21">
        <v>1957</v>
      </c>
      <c r="B1926" s="12" t="s">
        <v>10166</v>
      </c>
      <c r="C1926" s="58"/>
      <c r="D1926" s="9" t="s">
        <v>9939</v>
      </c>
      <c r="E1926" s="29">
        <v>2020</v>
      </c>
      <c r="F1926" s="9"/>
      <c r="G1926" s="285" t="s">
        <v>2436</v>
      </c>
      <c r="H1926" s="285" t="s">
        <v>5127</v>
      </c>
      <c r="I1926" s="289"/>
      <c r="J1926" s="285" t="s">
        <v>3136</v>
      </c>
      <c r="K1926" s="15">
        <v>44144</v>
      </c>
      <c r="L1926" s="285">
        <v>924</v>
      </c>
      <c r="M1926" s="15">
        <v>44113</v>
      </c>
      <c r="N1926" s="62">
        <v>2</v>
      </c>
      <c r="O1926" s="62">
        <v>24700</v>
      </c>
      <c r="P1926" s="62">
        <v>24700</v>
      </c>
      <c r="Q1926" s="17">
        <f t="shared" si="45"/>
        <v>0</v>
      </c>
      <c r="R1926" s="285" t="s">
        <v>9940</v>
      </c>
      <c r="S1926" s="15">
        <v>44099</v>
      </c>
      <c r="T1926" s="22" t="s">
        <v>10167</v>
      </c>
    </row>
    <row r="1927" spans="1:20" ht="42.75" customHeight="1" x14ac:dyDescent="0.2">
      <c r="A1927" s="21">
        <v>1958</v>
      </c>
      <c r="B1927" s="12" t="s">
        <v>10168</v>
      </c>
      <c r="C1927" s="58"/>
      <c r="D1927" s="9" t="s">
        <v>10170</v>
      </c>
      <c r="E1927" s="29">
        <v>2020</v>
      </c>
      <c r="F1927" s="9" t="s">
        <v>10204</v>
      </c>
      <c r="G1927" s="285" t="s">
        <v>2437</v>
      </c>
      <c r="H1927" s="285" t="s">
        <v>5127</v>
      </c>
      <c r="I1927" s="9"/>
      <c r="J1927" s="285" t="s">
        <v>3136</v>
      </c>
      <c r="K1927" s="15">
        <v>44144</v>
      </c>
      <c r="L1927" s="285">
        <v>925</v>
      </c>
      <c r="M1927" s="15">
        <v>44131</v>
      </c>
      <c r="N1927" s="62">
        <v>2</v>
      </c>
      <c r="O1927" s="62">
        <v>54998</v>
      </c>
      <c r="P1927" s="62">
        <v>54998</v>
      </c>
      <c r="Q1927" s="17">
        <f t="shared" si="45"/>
        <v>0</v>
      </c>
      <c r="R1927" s="285" t="s">
        <v>3418</v>
      </c>
      <c r="S1927" s="15">
        <v>44123</v>
      </c>
      <c r="T1927" s="22" t="s">
        <v>10171</v>
      </c>
    </row>
    <row r="1928" spans="1:20" ht="106.5" customHeight="1" x14ac:dyDescent="0.2">
      <c r="A1928" s="21">
        <v>1959</v>
      </c>
      <c r="B1928" s="12" t="s">
        <v>10169</v>
      </c>
      <c r="C1928" s="58"/>
      <c r="D1928" s="9" t="s">
        <v>9939</v>
      </c>
      <c r="E1928" s="29">
        <v>2020</v>
      </c>
      <c r="F1928" s="9" t="s">
        <v>10172</v>
      </c>
      <c r="G1928" s="285" t="s">
        <v>8661</v>
      </c>
      <c r="H1928" s="285" t="s">
        <v>5127</v>
      </c>
      <c r="I1928" s="289"/>
      <c r="J1928" s="285" t="s">
        <v>3136</v>
      </c>
      <c r="K1928" s="15">
        <v>44144</v>
      </c>
      <c r="L1928" s="285">
        <v>928</v>
      </c>
      <c r="M1928" s="15">
        <v>44126</v>
      </c>
      <c r="N1928" s="62">
        <v>1</v>
      </c>
      <c r="O1928" s="62">
        <v>12500</v>
      </c>
      <c r="P1928" s="62">
        <v>12500</v>
      </c>
      <c r="Q1928" s="17">
        <f t="shared" si="45"/>
        <v>0</v>
      </c>
      <c r="R1928" s="285" t="s">
        <v>9940</v>
      </c>
      <c r="S1928" s="15">
        <v>44124</v>
      </c>
      <c r="T1928" s="22" t="s">
        <v>10173</v>
      </c>
    </row>
    <row r="1929" spans="1:20" ht="112.5" customHeight="1" x14ac:dyDescent="0.2">
      <c r="A1929" s="21">
        <v>1960</v>
      </c>
      <c r="B1929" s="12" t="s">
        <v>10285</v>
      </c>
      <c r="C1929" s="58"/>
      <c r="D1929" s="9" t="s">
        <v>9939</v>
      </c>
      <c r="E1929" s="29">
        <v>2020</v>
      </c>
      <c r="F1929" s="9" t="s">
        <v>10286</v>
      </c>
      <c r="G1929" s="285" t="s">
        <v>792</v>
      </c>
      <c r="H1929" s="285" t="s">
        <v>5127</v>
      </c>
      <c r="I1929" s="289"/>
      <c r="J1929" s="285" t="s">
        <v>3136</v>
      </c>
      <c r="K1929" s="15">
        <v>44151</v>
      </c>
      <c r="L1929" s="285">
        <v>942</v>
      </c>
      <c r="M1929" s="15">
        <v>44137</v>
      </c>
      <c r="N1929" s="62">
        <v>4</v>
      </c>
      <c r="O1929" s="62">
        <v>54000</v>
      </c>
      <c r="P1929" s="62">
        <v>54000</v>
      </c>
      <c r="Q1929" s="17">
        <f t="shared" si="45"/>
        <v>0</v>
      </c>
      <c r="R1929" s="285" t="s">
        <v>6017</v>
      </c>
      <c r="S1929" s="15">
        <v>44133</v>
      </c>
      <c r="T1929" s="22" t="s">
        <v>10287</v>
      </c>
    </row>
    <row r="1930" spans="1:20" ht="87" customHeight="1" x14ac:dyDescent="0.2">
      <c r="A1930" s="21">
        <v>1961</v>
      </c>
      <c r="B1930" s="12" t="s">
        <v>10288</v>
      </c>
      <c r="C1930" s="58"/>
      <c r="D1930" s="9" t="s">
        <v>10291</v>
      </c>
      <c r="E1930" s="29">
        <v>2020</v>
      </c>
      <c r="F1930" s="9" t="s">
        <v>10289</v>
      </c>
      <c r="G1930" s="285" t="s">
        <v>792</v>
      </c>
      <c r="H1930" s="285" t="s">
        <v>5127</v>
      </c>
      <c r="I1930" s="289"/>
      <c r="J1930" s="285" t="s">
        <v>3136</v>
      </c>
      <c r="K1930" s="15">
        <v>44151</v>
      </c>
      <c r="L1930" s="285">
        <v>941</v>
      </c>
      <c r="M1930" s="15">
        <v>44132</v>
      </c>
      <c r="N1930" s="62">
        <v>1</v>
      </c>
      <c r="O1930" s="62">
        <v>11899</v>
      </c>
      <c r="P1930" s="62">
        <v>11899</v>
      </c>
      <c r="Q1930" s="17">
        <f t="shared" si="45"/>
        <v>0</v>
      </c>
      <c r="R1930" s="285" t="s">
        <v>3418</v>
      </c>
      <c r="S1930" s="15">
        <v>44126</v>
      </c>
      <c r="T1930" s="22" t="s">
        <v>10290</v>
      </c>
    </row>
    <row r="1931" spans="1:20" ht="61.5" customHeight="1" x14ac:dyDescent="0.2">
      <c r="A1931" s="21">
        <v>1962</v>
      </c>
      <c r="B1931" s="12" t="s">
        <v>10292</v>
      </c>
      <c r="C1931" s="58"/>
      <c r="D1931" s="9" t="s">
        <v>10293</v>
      </c>
      <c r="E1931" s="29">
        <v>2020</v>
      </c>
      <c r="F1931" s="9" t="s">
        <v>3338</v>
      </c>
      <c r="G1931" s="285" t="s">
        <v>7982</v>
      </c>
      <c r="H1931" s="285" t="s">
        <v>5127</v>
      </c>
      <c r="I1931" s="289"/>
      <c r="J1931" s="285" t="s">
        <v>3136</v>
      </c>
      <c r="K1931" s="15">
        <v>44151</v>
      </c>
      <c r="L1931" s="285">
        <v>950</v>
      </c>
      <c r="M1931" s="15">
        <v>44144</v>
      </c>
      <c r="N1931" s="62">
        <v>1</v>
      </c>
      <c r="O1931" s="62">
        <v>22999</v>
      </c>
      <c r="P1931" s="62">
        <v>22999</v>
      </c>
      <c r="Q1931" s="17">
        <f>O1931-P1931</f>
        <v>0</v>
      </c>
      <c r="R1931" s="285" t="s">
        <v>3418</v>
      </c>
      <c r="S1931" s="15">
        <v>44141</v>
      </c>
      <c r="T1931" s="22" t="s">
        <v>10294</v>
      </c>
    </row>
    <row r="1932" spans="1:20" ht="87.75" customHeight="1" x14ac:dyDescent="0.2">
      <c r="A1932" s="21">
        <v>1963</v>
      </c>
      <c r="B1932" s="12" t="s">
        <v>10298</v>
      </c>
      <c r="C1932" s="58"/>
      <c r="D1932" s="9" t="s">
        <v>10299</v>
      </c>
      <c r="E1932" s="29">
        <v>2020</v>
      </c>
      <c r="F1932" s="9" t="s">
        <v>10300</v>
      </c>
      <c r="G1932" s="285" t="s">
        <v>7980</v>
      </c>
      <c r="H1932" s="285" t="s">
        <v>5127</v>
      </c>
      <c r="I1932" s="289"/>
      <c r="J1932" s="285" t="s">
        <v>3136</v>
      </c>
      <c r="K1932" s="15">
        <v>44152</v>
      </c>
      <c r="L1932" s="285">
        <v>954</v>
      </c>
      <c r="M1932" s="15">
        <v>44146</v>
      </c>
      <c r="N1932" s="62">
        <v>2</v>
      </c>
      <c r="O1932" s="62">
        <v>44160</v>
      </c>
      <c r="P1932" s="62">
        <v>44160</v>
      </c>
      <c r="Q1932" s="17">
        <f t="shared" ref="Q1932:Q1951" si="46">O1932-P1932</f>
        <v>0</v>
      </c>
      <c r="R1932" s="285" t="s">
        <v>5110</v>
      </c>
      <c r="S1932" s="15">
        <v>44140</v>
      </c>
      <c r="T1932" s="22" t="s">
        <v>10301</v>
      </c>
    </row>
    <row r="1933" spans="1:20" ht="62.25" customHeight="1" x14ac:dyDescent="0.2">
      <c r="A1933" s="21">
        <v>1964</v>
      </c>
      <c r="B1933" s="12" t="s">
        <v>10330</v>
      </c>
      <c r="C1933" s="58"/>
      <c r="D1933" s="9" t="s">
        <v>9939</v>
      </c>
      <c r="E1933" s="29">
        <v>2020</v>
      </c>
      <c r="F1933" s="9" t="s">
        <v>10172</v>
      </c>
      <c r="G1933" s="285" t="s">
        <v>8661</v>
      </c>
      <c r="H1933" s="285" t="s">
        <v>5127</v>
      </c>
      <c r="I1933" s="289"/>
      <c r="J1933" s="285" t="s">
        <v>3136</v>
      </c>
      <c r="K1933" s="15">
        <v>44158</v>
      </c>
      <c r="L1933" s="285">
        <v>971</v>
      </c>
      <c r="M1933" s="15">
        <v>44146</v>
      </c>
      <c r="N1933" s="62">
        <v>1</v>
      </c>
      <c r="O1933" s="62">
        <v>13500</v>
      </c>
      <c r="P1933" s="62">
        <v>13500</v>
      </c>
      <c r="Q1933" s="17">
        <f t="shared" si="46"/>
        <v>0</v>
      </c>
      <c r="R1933" s="285" t="s">
        <v>9940</v>
      </c>
      <c r="S1933" s="15">
        <v>44138</v>
      </c>
      <c r="T1933" s="22" t="s">
        <v>10331</v>
      </c>
    </row>
    <row r="1934" spans="1:20" ht="36" x14ac:dyDescent="0.2">
      <c r="A1934" s="21">
        <v>1965</v>
      </c>
      <c r="B1934" s="12" t="s">
        <v>10332</v>
      </c>
      <c r="C1934" s="58"/>
      <c r="D1934" s="9" t="s">
        <v>10333</v>
      </c>
      <c r="E1934" s="29">
        <v>2020</v>
      </c>
      <c r="F1934" s="9" t="s">
        <v>10334</v>
      </c>
      <c r="G1934" s="285" t="s">
        <v>4296</v>
      </c>
      <c r="H1934" s="285" t="s">
        <v>3793</v>
      </c>
      <c r="I1934" s="9"/>
      <c r="J1934" s="285" t="s">
        <v>3136</v>
      </c>
      <c r="K1934" s="15">
        <v>44159</v>
      </c>
      <c r="L1934" s="285">
        <v>981</v>
      </c>
      <c r="M1934" s="15">
        <v>44151</v>
      </c>
      <c r="N1934" s="62">
        <v>1</v>
      </c>
      <c r="O1934" s="62">
        <v>83764.5</v>
      </c>
      <c r="P1934" s="179">
        <v>58169.75</v>
      </c>
      <c r="Q1934" s="17">
        <f t="shared" si="46"/>
        <v>25594.75</v>
      </c>
      <c r="R1934" s="285" t="s">
        <v>5110</v>
      </c>
      <c r="S1934" s="15">
        <v>44092</v>
      </c>
      <c r="T1934" s="22" t="s">
        <v>10335</v>
      </c>
    </row>
    <row r="1935" spans="1:20" ht="105" customHeight="1" x14ac:dyDescent="0.2">
      <c r="A1935" s="21">
        <v>1966</v>
      </c>
      <c r="B1935" s="12" t="s">
        <v>10336</v>
      </c>
      <c r="C1935" s="58"/>
      <c r="D1935" s="9" t="s">
        <v>10337</v>
      </c>
      <c r="E1935" s="231">
        <v>44159</v>
      </c>
      <c r="F1935" s="9" t="s">
        <v>10339</v>
      </c>
      <c r="G1935" s="285"/>
      <c r="H1935" s="285" t="s">
        <v>2042</v>
      </c>
      <c r="I1935" s="9" t="s">
        <v>2207</v>
      </c>
      <c r="J1935" s="285" t="s">
        <v>3136</v>
      </c>
      <c r="K1935" s="15">
        <v>44159</v>
      </c>
      <c r="L1935" s="285">
        <v>976</v>
      </c>
      <c r="M1935" s="15">
        <v>44159</v>
      </c>
      <c r="N1935" s="40">
        <v>10</v>
      </c>
      <c r="O1935" s="40">
        <v>10</v>
      </c>
      <c r="P1935" s="62">
        <v>0</v>
      </c>
      <c r="Q1935" s="17">
        <f t="shared" si="46"/>
        <v>10</v>
      </c>
      <c r="R1935" s="285" t="s">
        <v>10338</v>
      </c>
      <c r="S1935" s="15">
        <v>44159</v>
      </c>
      <c r="T1935" s="22"/>
    </row>
    <row r="1936" spans="1:20" ht="61.5" customHeight="1" x14ac:dyDescent="0.2">
      <c r="A1936" s="21">
        <v>1967</v>
      </c>
      <c r="B1936" s="12" t="s">
        <v>10345</v>
      </c>
      <c r="C1936" s="58"/>
      <c r="D1936" s="9" t="s">
        <v>9725</v>
      </c>
      <c r="E1936" s="109" t="s">
        <v>9378</v>
      </c>
      <c r="F1936" s="9" t="s">
        <v>10343</v>
      </c>
      <c r="G1936" s="285" t="s">
        <v>7464</v>
      </c>
      <c r="H1936" s="285" t="s">
        <v>5127</v>
      </c>
      <c r="I1936" s="289"/>
      <c r="J1936" s="285" t="s">
        <v>3136</v>
      </c>
      <c r="K1936" s="15">
        <v>44167</v>
      </c>
      <c r="L1936" s="22">
        <v>1002</v>
      </c>
      <c r="M1936" s="15">
        <v>44153</v>
      </c>
      <c r="N1936" s="40">
        <v>2</v>
      </c>
      <c r="O1936" s="40">
        <v>48800</v>
      </c>
      <c r="P1936" s="62">
        <v>48800</v>
      </c>
      <c r="Q1936" s="17">
        <f t="shared" si="46"/>
        <v>0</v>
      </c>
      <c r="R1936" s="285" t="s">
        <v>8148</v>
      </c>
      <c r="S1936" s="14">
        <v>44153</v>
      </c>
      <c r="T1936" s="275" t="s">
        <v>10344</v>
      </c>
    </row>
    <row r="1937" spans="1:20" ht="86.25" customHeight="1" x14ac:dyDescent="0.2">
      <c r="A1937" s="21">
        <v>1968</v>
      </c>
      <c r="B1937" s="12" t="s">
        <v>10347</v>
      </c>
      <c r="C1937" s="18"/>
      <c r="D1937" s="9" t="s">
        <v>10350</v>
      </c>
      <c r="E1937" s="22" t="s">
        <v>9378</v>
      </c>
      <c r="F1937" s="9" t="s">
        <v>10348</v>
      </c>
      <c r="G1937" s="285" t="s">
        <v>792</v>
      </c>
      <c r="H1937" s="285" t="s">
        <v>5127</v>
      </c>
      <c r="I1937" s="289"/>
      <c r="J1937" s="285" t="s">
        <v>3136</v>
      </c>
      <c r="K1937" s="15">
        <v>44168</v>
      </c>
      <c r="L1937" s="285">
        <v>1007</v>
      </c>
      <c r="M1937" s="15">
        <v>44137</v>
      </c>
      <c r="N1937" s="40">
        <v>2</v>
      </c>
      <c r="O1937" s="40">
        <v>27000</v>
      </c>
      <c r="P1937" s="40">
        <v>27000</v>
      </c>
      <c r="Q1937" s="17">
        <f t="shared" si="46"/>
        <v>0</v>
      </c>
      <c r="R1937" s="285" t="s">
        <v>9940</v>
      </c>
      <c r="S1937" s="14">
        <v>44161</v>
      </c>
      <c r="T1937" s="275" t="s">
        <v>10349</v>
      </c>
    </row>
    <row r="1938" spans="1:20" ht="64.5" customHeight="1" x14ac:dyDescent="0.2">
      <c r="A1938" s="21">
        <v>1969</v>
      </c>
      <c r="B1938" s="12" t="s">
        <v>10588</v>
      </c>
      <c r="C1938" s="58"/>
      <c r="D1938" s="9" t="s">
        <v>10495</v>
      </c>
      <c r="E1938" s="109" t="s">
        <v>9378</v>
      </c>
      <c r="F1938" s="9" t="s">
        <v>10450</v>
      </c>
      <c r="G1938" s="285" t="s">
        <v>4877</v>
      </c>
      <c r="H1938" s="285" t="s">
        <v>10494</v>
      </c>
      <c r="I1938" s="9"/>
      <c r="J1938" s="14" t="s">
        <v>3136</v>
      </c>
      <c r="K1938" s="15">
        <v>44173</v>
      </c>
      <c r="L1938" s="22" t="s">
        <v>9231</v>
      </c>
      <c r="M1938" s="15">
        <v>44167</v>
      </c>
      <c r="N1938" s="40">
        <v>1</v>
      </c>
      <c r="O1938" s="40">
        <v>82465</v>
      </c>
      <c r="P1938" s="62">
        <v>82465</v>
      </c>
      <c r="Q1938" s="17">
        <f t="shared" si="46"/>
        <v>0</v>
      </c>
      <c r="R1938" s="285" t="s">
        <v>10448</v>
      </c>
      <c r="S1938" s="14">
        <v>44160</v>
      </c>
      <c r="T1938" s="275" t="s">
        <v>10449</v>
      </c>
    </row>
    <row r="1939" spans="1:20" ht="33.75" customHeight="1" x14ac:dyDescent="0.2">
      <c r="A1939" s="21">
        <v>1970</v>
      </c>
      <c r="B1939" s="12" t="s">
        <v>10353</v>
      </c>
      <c r="C1939" s="58"/>
      <c r="D1939" s="9" t="s">
        <v>10351</v>
      </c>
      <c r="E1939" s="72">
        <v>2020</v>
      </c>
      <c r="F1939" s="18"/>
      <c r="G1939" s="285" t="s">
        <v>2437</v>
      </c>
      <c r="H1939" s="285" t="s">
        <v>5127</v>
      </c>
      <c r="I1939" s="18"/>
      <c r="J1939" s="14" t="s">
        <v>3136</v>
      </c>
      <c r="K1939" s="15">
        <v>44173</v>
      </c>
      <c r="L1939" s="22">
        <v>1018</v>
      </c>
      <c r="M1939" s="15">
        <v>44162</v>
      </c>
      <c r="N1939" s="40">
        <v>1</v>
      </c>
      <c r="O1939" s="40">
        <v>5999</v>
      </c>
      <c r="P1939" s="62">
        <v>5999</v>
      </c>
      <c r="Q1939" s="17">
        <f t="shared" si="46"/>
        <v>0</v>
      </c>
      <c r="R1939" s="285" t="s">
        <v>10355</v>
      </c>
      <c r="S1939" s="15">
        <v>44119</v>
      </c>
      <c r="T1939" s="285">
        <v>1401</v>
      </c>
    </row>
    <row r="1940" spans="1:20" ht="33.75" customHeight="1" x14ac:dyDescent="0.2">
      <c r="A1940" s="21">
        <v>1971</v>
      </c>
      <c r="B1940" s="12" t="s">
        <v>10354</v>
      </c>
      <c r="C1940" s="58"/>
      <c r="D1940" s="9" t="s">
        <v>10352</v>
      </c>
      <c r="E1940" s="72">
        <v>2020</v>
      </c>
      <c r="F1940" s="18"/>
      <c r="G1940" s="285" t="s">
        <v>2437</v>
      </c>
      <c r="H1940" s="285" t="s">
        <v>5127</v>
      </c>
      <c r="I1940" s="18"/>
      <c r="J1940" s="14" t="s">
        <v>3136</v>
      </c>
      <c r="K1940" s="15">
        <v>44173</v>
      </c>
      <c r="L1940" s="22">
        <v>1018</v>
      </c>
      <c r="M1940" s="15">
        <v>44162</v>
      </c>
      <c r="N1940" s="62">
        <v>2</v>
      </c>
      <c r="O1940" s="62">
        <v>18860</v>
      </c>
      <c r="P1940" s="62">
        <v>18860</v>
      </c>
      <c r="Q1940" s="17">
        <f t="shared" si="46"/>
        <v>0</v>
      </c>
      <c r="R1940" s="285" t="s">
        <v>10355</v>
      </c>
      <c r="S1940" s="15">
        <v>44119</v>
      </c>
      <c r="T1940" s="285">
        <v>1401</v>
      </c>
    </row>
    <row r="1941" spans="1:20" ht="33.75" customHeight="1" x14ac:dyDescent="0.2">
      <c r="A1941" s="21">
        <v>1972</v>
      </c>
      <c r="B1941" s="12" t="s">
        <v>10368</v>
      </c>
      <c r="C1941" s="58"/>
      <c r="D1941" s="9" t="s">
        <v>9784</v>
      </c>
      <c r="E1941" s="72">
        <v>2020</v>
      </c>
      <c r="F1941" s="18"/>
      <c r="G1941" s="285" t="s">
        <v>2437</v>
      </c>
      <c r="H1941" s="285" t="s">
        <v>5127</v>
      </c>
      <c r="I1941" s="18"/>
      <c r="J1941" s="14" t="s">
        <v>3136</v>
      </c>
      <c r="K1941" s="15">
        <v>44173</v>
      </c>
      <c r="L1941" s="22">
        <v>1018</v>
      </c>
      <c r="M1941" s="15">
        <v>44162</v>
      </c>
      <c r="N1941" s="62">
        <v>1</v>
      </c>
      <c r="O1941" s="62">
        <v>12098</v>
      </c>
      <c r="P1941" s="62">
        <v>12098</v>
      </c>
      <c r="Q1941" s="17">
        <f t="shared" si="46"/>
        <v>0</v>
      </c>
      <c r="R1941" s="285" t="s">
        <v>10355</v>
      </c>
      <c r="S1941" s="15">
        <v>44119</v>
      </c>
      <c r="T1941" s="285">
        <v>1401</v>
      </c>
    </row>
    <row r="1942" spans="1:20" ht="38.25" customHeight="1" x14ac:dyDescent="0.2">
      <c r="A1942" s="21">
        <v>1973</v>
      </c>
      <c r="B1942" s="12" t="s">
        <v>10369</v>
      </c>
      <c r="C1942" s="58"/>
      <c r="D1942" s="9" t="s">
        <v>10370</v>
      </c>
      <c r="E1942" s="72">
        <v>2020</v>
      </c>
      <c r="F1942" s="18"/>
      <c r="G1942" s="285" t="s">
        <v>2437</v>
      </c>
      <c r="H1942" s="285" t="s">
        <v>5127</v>
      </c>
      <c r="I1942" s="18"/>
      <c r="J1942" s="14" t="s">
        <v>3136</v>
      </c>
      <c r="K1942" s="15">
        <v>44173</v>
      </c>
      <c r="L1942" s="22">
        <v>1018</v>
      </c>
      <c r="M1942" s="15">
        <v>44162</v>
      </c>
      <c r="N1942" s="62">
        <v>10</v>
      </c>
      <c r="O1942" s="62">
        <v>284160</v>
      </c>
      <c r="P1942" s="62">
        <v>284160</v>
      </c>
      <c r="Q1942" s="17">
        <f t="shared" si="46"/>
        <v>0</v>
      </c>
      <c r="R1942" s="285" t="s">
        <v>10355</v>
      </c>
      <c r="S1942" s="15">
        <v>44119</v>
      </c>
      <c r="T1942" s="285">
        <v>1401</v>
      </c>
    </row>
    <row r="1943" spans="1:20" ht="38.25" customHeight="1" x14ac:dyDescent="0.2">
      <c r="A1943" s="21">
        <v>1974</v>
      </c>
      <c r="B1943" s="12" t="s">
        <v>10371</v>
      </c>
      <c r="C1943" s="58"/>
      <c r="D1943" s="9" t="s">
        <v>10436</v>
      </c>
      <c r="E1943" s="72">
        <v>2020</v>
      </c>
      <c r="F1943" s="9" t="s">
        <v>10372</v>
      </c>
      <c r="G1943" s="285" t="s">
        <v>2437</v>
      </c>
      <c r="H1943" s="285" t="s">
        <v>5127</v>
      </c>
      <c r="I1943" s="18"/>
      <c r="J1943" s="14" t="s">
        <v>3136</v>
      </c>
      <c r="K1943" s="15">
        <v>44173</v>
      </c>
      <c r="L1943" s="22">
        <v>1018</v>
      </c>
      <c r="M1943" s="15">
        <v>44162</v>
      </c>
      <c r="N1943" s="62">
        <v>1</v>
      </c>
      <c r="O1943" s="62">
        <v>79330.5</v>
      </c>
      <c r="P1943" s="62">
        <v>79330.5</v>
      </c>
      <c r="Q1943" s="17">
        <f t="shared" si="46"/>
        <v>0</v>
      </c>
      <c r="R1943" s="285" t="s">
        <v>10355</v>
      </c>
      <c r="S1943" s="15">
        <v>44119</v>
      </c>
      <c r="T1943" s="285">
        <v>1401</v>
      </c>
    </row>
    <row r="1944" spans="1:20" ht="38.25" customHeight="1" x14ac:dyDescent="0.2">
      <c r="A1944" s="21">
        <v>1975</v>
      </c>
      <c r="B1944" s="12" t="s">
        <v>10373</v>
      </c>
      <c r="C1944" s="58"/>
      <c r="D1944" s="9" t="s">
        <v>10435</v>
      </c>
      <c r="E1944" s="72">
        <v>2020</v>
      </c>
      <c r="F1944" s="9"/>
      <c r="G1944" s="285" t="s">
        <v>2437</v>
      </c>
      <c r="H1944" s="285" t="s">
        <v>5127</v>
      </c>
      <c r="I1944" s="18"/>
      <c r="J1944" s="14" t="s">
        <v>3136</v>
      </c>
      <c r="K1944" s="15">
        <v>44173</v>
      </c>
      <c r="L1944" s="22">
        <v>1018</v>
      </c>
      <c r="M1944" s="15">
        <v>44162</v>
      </c>
      <c r="N1944" s="62">
        <v>1</v>
      </c>
      <c r="O1944" s="62">
        <v>16901.240000000002</v>
      </c>
      <c r="P1944" s="62">
        <v>16901.240000000002</v>
      </c>
      <c r="Q1944" s="17">
        <f t="shared" si="46"/>
        <v>0</v>
      </c>
      <c r="R1944" s="285" t="s">
        <v>10355</v>
      </c>
      <c r="S1944" s="15">
        <v>44119</v>
      </c>
      <c r="T1944" s="285">
        <v>1401</v>
      </c>
    </row>
    <row r="1945" spans="1:20" ht="38.25" customHeight="1" x14ac:dyDescent="0.2">
      <c r="A1945" s="21">
        <v>1976</v>
      </c>
      <c r="B1945" s="12" t="s">
        <v>10398</v>
      </c>
      <c r="C1945" s="58"/>
      <c r="D1945" s="9" t="s">
        <v>10399</v>
      </c>
      <c r="E1945" s="72">
        <v>2020</v>
      </c>
      <c r="F1945" s="9"/>
      <c r="G1945" s="285" t="s">
        <v>2437</v>
      </c>
      <c r="H1945" s="285" t="s">
        <v>5127</v>
      </c>
      <c r="I1945" s="18"/>
      <c r="J1945" s="14" t="s">
        <v>3136</v>
      </c>
      <c r="K1945" s="15">
        <v>44173</v>
      </c>
      <c r="L1945" s="22">
        <v>1018</v>
      </c>
      <c r="M1945" s="15">
        <v>44162</v>
      </c>
      <c r="N1945" s="62">
        <v>1</v>
      </c>
      <c r="O1945" s="62">
        <v>26383.37</v>
      </c>
      <c r="P1945" s="62">
        <v>26383.37</v>
      </c>
      <c r="Q1945" s="17">
        <f t="shared" si="46"/>
        <v>0</v>
      </c>
      <c r="R1945" s="285" t="s">
        <v>10355</v>
      </c>
      <c r="S1945" s="15">
        <v>44119</v>
      </c>
      <c r="T1945" s="285">
        <v>1401</v>
      </c>
    </row>
    <row r="1946" spans="1:20" ht="38.25" customHeight="1" x14ac:dyDescent="0.2">
      <c r="A1946" s="21">
        <v>1977</v>
      </c>
      <c r="B1946" s="12" t="s">
        <v>10401</v>
      </c>
      <c r="C1946" s="58"/>
      <c r="D1946" s="9" t="s">
        <v>10402</v>
      </c>
      <c r="E1946" s="72">
        <v>2020</v>
      </c>
      <c r="F1946" s="9"/>
      <c r="G1946" s="285" t="s">
        <v>2437</v>
      </c>
      <c r="H1946" s="285" t="s">
        <v>5127</v>
      </c>
      <c r="I1946" s="18"/>
      <c r="J1946" s="14" t="s">
        <v>3136</v>
      </c>
      <c r="K1946" s="15">
        <v>44173</v>
      </c>
      <c r="L1946" s="22">
        <v>1018</v>
      </c>
      <c r="M1946" s="15">
        <v>44162</v>
      </c>
      <c r="N1946" s="62">
        <v>1</v>
      </c>
      <c r="O1946" s="62">
        <v>83646.55</v>
      </c>
      <c r="P1946" s="62">
        <v>83646.55</v>
      </c>
      <c r="Q1946" s="17">
        <f t="shared" si="46"/>
        <v>0</v>
      </c>
      <c r="R1946" s="285" t="s">
        <v>10355</v>
      </c>
      <c r="S1946" s="15">
        <v>44119</v>
      </c>
      <c r="T1946" s="285">
        <v>1401</v>
      </c>
    </row>
    <row r="1947" spans="1:20" ht="38.25" customHeight="1" x14ac:dyDescent="0.2">
      <c r="A1947" s="21">
        <v>1978</v>
      </c>
      <c r="B1947" s="12" t="s">
        <v>10410</v>
      </c>
      <c r="C1947" s="58"/>
      <c r="D1947" s="9" t="s">
        <v>10411</v>
      </c>
      <c r="E1947" s="72">
        <v>2020</v>
      </c>
      <c r="F1947" s="9"/>
      <c r="G1947" s="285" t="s">
        <v>2437</v>
      </c>
      <c r="H1947" s="285" t="s">
        <v>5127</v>
      </c>
      <c r="I1947" s="18"/>
      <c r="J1947" s="14" t="s">
        <v>3136</v>
      </c>
      <c r="K1947" s="15">
        <v>44173</v>
      </c>
      <c r="L1947" s="22">
        <v>1018</v>
      </c>
      <c r="M1947" s="15">
        <v>44162</v>
      </c>
      <c r="N1947" s="62">
        <v>2</v>
      </c>
      <c r="O1947" s="62">
        <v>12729.68</v>
      </c>
      <c r="P1947" s="62">
        <v>12729.68</v>
      </c>
      <c r="Q1947" s="17">
        <f t="shared" si="46"/>
        <v>0</v>
      </c>
      <c r="R1947" s="285" t="s">
        <v>10355</v>
      </c>
      <c r="S1947" s="15">
        <v>44119</v>
      </c>
      <c r="T1947" s="285">
        <v>1401</v>
      </c>
    </row>
    <row r="1948" spans="1:20" ht="38.25" customHeight="1" x14ac:dyDescent="0.2">
      <c r="A1948" s="21">
        <v>1979</v>
      </c>
      <c r="B1948" s="12" t="s">
        <v>10424</v>
      </c>
      <c r="C1948" s="58"/>
      <c r="D1948" s="9" t="s">
        <v>10425</v>
      </c>
      <c r="E1948" s="72">
        <v>2020</v>
      </c>
      <c r="F1948" s="9"/>
      <c r="G1948" s="285" t="s">
        <v>2437</v>
      </c>
      <c r="H1948" s="285" t="s">
        <v>5127</v>
      </c>
      <c r="I1948" s="18"/>
      <c r="J1948" s="14" t="s">
        <v>3136</v>
      </c>
      <c r="K1948" s="15">
        <v>44173</v>
      </c>
      <c r="L1948" s="22">
        <v>1018</v>
      </c>
      <c r="M1948" s="15">
        <v>44162</v>
      </c>
      <c r="N1948" s="62">
        <v>1</v>
      </c>
      <c r="O1948" s="62">
        <v>3529</v>
      </c>
      <c r="P1948" s="62">
        <v>3529</v>
      </c>
      <c r="Q1948" s="17">
        <f t="shared" si="46"/>
        <v>0</v>
      </c>
      <c r="R1948" s="285" t="s">
        <v>10355</v>
      </c>
      <c r="S1948" s="15">
        <v>44119</v>
      </c>
      <c r="T1948" s="285">
        <v>1401</v>
      </c>
    </row>
    <row r="1949" spans="1:20" ht="38.25" customHeight="1" x14ac:dyDescent="0.2">
      <c r="A1949" s="21">
        <v>1980</v>
      </c>
      <c r="B1949" s="12" t="s">
        <v>10426</v>
      </c>
      <c r="C1949" s="58"/>
      <c r="D1949" s="9" t="s">
        <v>10442</v>
      </c>
      <c r="E1949" s="72">
        <v>2020</v>
      </c>
      <c r="F1949" s="9"/>
      <c r="G1949" s="285" t="s">
        <v>2437</v>
      </c>
      <c r="H1949" s="285" t="s">
        <v>5127</v>
      </c>
      <c r="I1949" s="18"/>
      <c r="J1949" s="14" t="s">
        <v>3136</v>
      </c>
      <c r="K1949" s="15">
        <v>44173</v>
      </c>
      <c r="L1949" s="22">
        <v>1018</v>
      </c>
      <c r="M1949" s="15">
        <v>44162</v>
      </c>
      <c r="N1949" s="62">
        <v>3</v>
      </c>
      <c r="O1949" s="62">
        <v>4005</v>
      </c>
      <c r="P1949" s="62">
        <v>4005</v>
      </c>
      <c r="Q1949" s="17">
        <f t="shared" si="46"/>
        <v>0</v>
      </c>
      <c r="R1949" s="285" t="s">
        <v>10355</v>
      </c>
      <c r="S1949" s="15">
        <v>44119</v>
      </c>
      <c r="T1949" s="285">
        <v>1401</v>
      </c>
    </row>
    <row r="1950" spans="1:20" ht="72.75" customHeight="1" x14ac:dyDescent="0.2">
      <c r="A1950" s="21">
        <v>1981</v>
      </c>
      <c r="B1950" s="12" t="s">
        <v>10427</v>
      </c>
      <c r="C1950" s="58"/>
      <c r="D1950" s="9" t="s">
        <v>10440</v>
      </c>
      <c r="E1950" s="72">
        <v>2020</v>
      </c>
      <c r="F1950" s="9"/>
      <c r="G1950" s="285" t="s">
        <v>2436</v>
      </c>
      <c r="H1950" s="285" t="s">
        <v>5127</v>
      </c>
      <c r="I1950" s="18"/>
      <c r="J1950" s="14" t="s">
        <v>3136</v>
      </c>
      <c r="K1950" s="15">
        <v>44173</v>
      </c>
      <c r="L1950" s="22">
        <v>1021</v>
      </c>
      <c r="M1950" s="15">
        <v>44158</v>
      </c>
      <c r="N1950" s="62">
        <v>1</v>
      </c>
      <c r="O1950" s="62">
        <v>37853</v>
      </c>
      <c r="P1950" s="62">
        <v>37853</v>
      </c>
      <c r="Q1950" s="17">
        <f t="shared" si="46"/>
        <v>0</v>
      </c>
      <c r="R1950" s="285" t="s">
        <v>10447</v>
      </c>
      <c r="S1950" s="15">
        <v>44158</v>
      </c>
      <c r="T1950" s="285">
        <v>46</v>
      </c>
    </row>
    <row r="1951" spans="1:20" ht="75.75" customHeight="1" x14ac:dyDescent="0.2">
      <c r="A1951" s="21">
        <v>1982</v>
      </c>
      <c r="B1951" s="12" t="s">
        <v>10439</v>
      </c>
      <c r="C1951" s="58"/>
      <c r="D1951" s="9" t="s">
        <v>10441</v>
      </c>
      <c r="E1951" s="72">
        <v>2020</v>
      </c>
      <c r="F1951" s="9"/>
      <c r="G1951" s="285" t="s">
        <v>2436</v>
      </c>
      <c r="H1951" s="285" t="s">
        <v>5127</v>
      </c>
      <c r="I1951" s="18"/>
      <c r="J1951" s="14" t="s">
        <v>3136</v>
      </c>
      <c r="K1951" s="15">
        <v>44173</v>
      </c>
      <c r="L1951" s="22">
        <v>1021</v>
      </c>
      <c r="M1951" s="15">
        <v>44158</v>
      </c>
      <c r="N1951" s="62">
        <v>1</v>
      </c>
      <c r="O1951" s="62">
        <v>27080</v>
      </c>
      <c r="P1951" s="62">
        <v>27080</v>
      </c>
      <c r="Q1951" s="17">
        <f t="shared" si="46"/>
        <v>0</v>
      </c>
      <c r="R1951" s="285" t="s">
        <v>10447</v>
      </c>
      <c r="S1951" s="15">
        <v>44158</v>
      </c>
      <c r="T1951" s="285">
        <v>46</v>
      </c>
    </row>
    <row r="1952" spans="1:20" ht="71.25" customHeight="1" x14ac:dyDescent="0.2">
      <c r="A1952" s="21">
        <v>1983</v>
      </c>
      <c r="B1952" s="12" t="s">
        <v>10443</v>
      </c>
      <c r="C1952" s="58"/>
      <c r="D1952" s="9" t="s">
        <v>10444</v>
      </c>
      <c r="E1952" s="72">
        <v>2020</v>
      </c>
      <c r="F1952" s="9" t="s">
        <v>10452</v>
      </c>
      <c r="G1952" s="285" t="s">
        <v>792</v>
      </c>
      <c r="H1952" s="285" t="s">
        <v>5127</v>
      </c>
      <c r="I1952" s="18"/>
      <c r="J1952" s="14" t="s">
        <v>3136</v>
      </c>
      <c r="K1952" s="15">
        <v>44173</v>
      </c>
      <c r="L1952" s="22" t="s">
        <v>10453</v>
      </c>
      <c r="M1952" s="15">
        <v>44165</v>
      </c>
      <c r="N1952" s="40">
        <v>1</v>
      </c>
      <c r="O1952" s="40">
        <v>24999</v>
      </c>
      <c r="P1952" s="62">
        <v>24999</v>
      </c>
      <c r="Q1952" s="17">
        <f t="shared" ref="Q1952:Q1957" si="47">O1952-P1952</f>
        <v>0</v>
      </c>
      <c r="R1952" s="285" t="s">
        <v>10447</v>
      </c>
      <c r="S1952" s="15">
        <v>44165</v>
      </c>
      <c r="T1952" s="285" t="s">
        <v>10454</v>
      </c>
    </row>
    <row r="1953" spans="1:20" ht="76.5" customHeight="1" x14ac:dyDescent="0.2">
      <c r="A1953" s="21">
        <v>1984</v>
      </c>
      <c r="B1953" s="12" t="s">
        <v>10474</v>
      </c>
      <c r="C1953" s="58"/>
      <c r="D1953" s="9" t="s">
        <v>10475</v>
      </c>
      <c r="E1953" s="72">
        <v>2020</v>
      </c>
      <c r="F1953" s="9" t="s">
        <v>10476</v>
      </c>
      <c r="G1953" s="285" t="s">
        <v>7983</v>
      </c>
      <c r="H1953" s="285" t="s">
        <v>5127</v>
      </c>
      <c r="I1953" s="18"/>
      <c r="J1953" s="14" t="s">
        <v>10461</v>
      </c>
      <c r="K1953" s="15">
        <v>44187</v>
      </c>
      <c r="L1953" s="289" t="s">
        <v>10497</v>
      </c>
      <c r="M1953" s="15">
        <v>44176</v>
      </c>
      <c r="N1953" s="40">
        <v>1</v>
      </c>
      <c r="O1953" s="40">
        <v>19199</v>
      </c>
      <c r="P1953" s="62">
        <v>19199</v>
      </c>
      <c r="Q1953" s="17">
        <f t="shared" si="47"/>
        <v>0</v>
      </c>
      <c r="R1953" s="285" t="s">
        <v>10477</v>
      </c>
      <c r="S1953" s="15">
        <v>44176</v>
      </c>
      <c r="T1953" s="285" t="s">
        <v>10471</v>
      </c>
    </row>
    <row r="1954" spans="1:20" ht="78" customHeight="1" x14ac:dyDescent="0.2">
      <c r="A1954" s="21">
        <v>1985</v>
      </c>
      <c r="B1954" s="12" t="s">
        <v>10478</v>
      </c>
      <c r="C1954" s="58"/>
      <c r="D1954" s="9" t="s">
        <v>10479</v>
      </c>
      <c r="E1954" s="72">
        <v>2020</v>
      </c>
      <c r="F1954" s="9" t="s">
        <v>10482</v>
      </c>
      <c r="G1954" s="285" t="s">
        <v>101</v>
      </c>
      <c r="H1954" s="285" t="s">
        <v>5127</v>
      </c>
      <c r="I1954" s="18"/>
      <c r="J1954" s="14" t="s">
        <v>10461</v>
      </c>
      <c r="K1954" s="15">
        <v>44187</v>
      </c>
      <c r="L1954" s="289" t="s">
        <v>10498</v>
      </c>
      <c r="M1954" s="15">
        <v>44176</v>
      </c>
      <c r="N1954" s="40">
        <v>1</v>
      </c>
      <c r="O1954" s="40">
        <v>12500</v>
      </c>
      <c r="P1954" s="62">
        <v>12500</v>
      </c>
      <c r="Q1954" s="17">
        <f t="shared" si="47"/>
        <v>0</v>
      </c>
      <c r="R1954" s="285" t="s">
        <v>10480</v>
      </c>
      <c r="S1954" s="15">
        <v>44167</v>
      </c>
      <c r="T1954" s="285" t="s">
        <v>10481</v>
      </c>
    </row>
    <row r="1955" spans="1:20" ht="110.25" customHeight="1" x14ac:dyDescent="0.2">
      <c r="A1955" s="21">
        <v>1986</v>
      </c>
      <c r="B1955" s="12" t="s">
        <v>10483</v>
      </c>
      <c r="C1955" s="58"/>
      <c r="D1955" s="9" t="s">
        <v>10484</v>
      </c>
      <c r="E1955" s="72">
        <v>2020</v>
      </c>
      <c r="F1955" s="9" t="s">
        <v>10496</v>
      </c>
      <c r="G1955" s="285" t="s">
        <v>4296</v>
      </c>
      <c r="H1955" s="285" t="s">
        <v>10494</v>
      </c>
      <c r="I1955" s="18"/>
      <c r="J1955" s="14" t="s">
        <v>10461</v>
      </c>
      <c r="K1955" s="15">
        <v>44187</v>
      </c>
      <c r="L1955" s="289">
        <v>1086</v>
      </c>
      <c r="M1955" s="15">
        <v>44176</v>
      </c>
      <c r="N1955" s="40">
        <v>1</v>
      </c>
      <c r="O1955" s="40">
        <v>24181.919999999998</v>
      </c>
      <c r="P1955" s="40">
        <v>24181.919999999998</v>
      </c>
      <c r="Q1955" s="17">
        <f t="shared" si="47"/>
        <v>0</v>
      </c>
      <c r="R1955" s="285" t="s">
        <v>10501</v>
      </c>
      <c r="S1955" s="15">
        <v>44161</v>
      </c>
      <c r="T1955" s="285" t="s">
        <v>10502</v>
      </c>
    </row>
    <row r="1956" spans="1:20" ht="51.75" customHeight="1" x14ac:dyDescent="0.2">
      <c r="A1956" s="21">
        <v>1987</v>
      </c>
      <c r="B1956" s="12" t="s">
        <v>10486</v>
      </c>
      <c r="C1956" s="58"/>
      <c r="D1956" s="9" t="s">
        <v>10489</v>
      </c>
      <c r="E1956" s="72">
        <v>2020</v>
      </c>
      <c r="F1956" s="9" t="s">
        <v>10560</v>
      </c>
      <c r="G1956" s="285" t="s">
        <v>4296</v>
      </c>
      <c r="H1956" s="285" t="s">
        <v>10494</v>
      </c>
      <c r="I1956" s="18"/>
      <c r="J1956" s="14" t="s">
        <v>10461</v>
      </c>
      <c r="K1956" s="15">
        <v>44190</v>
      </c>
      <c r="L1956" s="289" t="s">
        <v>10556</v>
      </c>
      <c r="M1956" s="15">
        <v>44169</v>
      </c>
      <c r="N1956" s="40">
        <v>1</v>
      </c>
      <c r="O1956" s="62">
        <v>245405</v>
      </c>
      <c r="P1956" s="62">
        <v>98161.919999999998</v>
      </c>
      <c r="Q1956" s="17">
        <f t="shared" si="47"/>
        <v>147243.08000000002</v>
      </c>
      <c r="R1956" s="285" t="s">
        <v>10501</v>
      </c>
      <c r="S1956" s="15">
        <v>43882</v>
      </c>
      <c r="T1956" s="285" t="s">
        <v>10557</v>
      </c>
    </row>
    <row r="1957" spans="1:20" ht="44.25" customHeight="1" x14ac:dyDescent="0.2">
      <c r="A1957" s="21">
        <v>1988</v>
      </c>
      <c r="B1957" s="12" t="s">
        <v>10488</v>
      </c>
      <c r="C1957" s="58"/>
      <c r="D1957" s="9" t="s">
        <v>10487</v>
      </c>
      <c r="E1957" s="72">
        <v>2020</v>
      </c>
      <c r="F1957" s="9" t="s">
        <v>10559</v>
      </c>
      <c r="G1957" s="285" t="s">
        <v>4296</v>
      </c>
      <c r="H1957" s="285" t="s">
        <v>10494</v>
      </c>
      <c r="I1957" s="18"/>
      <c r="J1957" s="14" t="s">
        <v>10461</v>
      </c>
      <c r="K1957" s="15">
        <v>44190</v>
      </c>
      <c r="L1957" s="289" t="s">
        <v>10556</v>
      </c>
      <c r="M1957" s="15">
        <v>44169</v>
      </c>
      <c r="N1957" s="40">
        <v>1</v>
      </c>
      <c r="O1957" s="62">
        <v>60167.87</v>
      </c>
      <c r="P1957" s="62">
        <v>24067.200000000001</v>
      </c>
      <c r="Q1957" s="17">
        <f t="shared" si="47"/>
        <v>36100.67</v>
      </c>
      <c r="R1957" s="285" t="s">
        <v>10501</v>
      </c>
      <c r="S1957" s="15">
        <v>44077</v>
      </c>
      <c r="T1957" s="285" t="s">
        <v>10558</v>
      </c>
    </row>
    <row r="1958" spans="1:20" ht="65.25" customHeight="1" x14ac:dyDescent="0.2">
      <c r="A1958" s="21">
        <v>1989</v>
      </c>
      <c r="B1958" s="12" t="s">
        <v>10490</v>
      </c>
      <c r="C1958" s="58"/>
      <c r="D1958" s="9" t="s">
        <v>10491</v>
      </c>
      <c r="E1958" s="72">
        <v>2020</v>
      </c>
      <c r="F1958" s="9"/>
      <c r="G1958" s="285" t="s">
        <v>258</v>
      </c>
      <c r="H1958" s="285" t="s">
        <v>10499</v>
      </c>
      <c r="I1958" s="18"/>
      <c r="J1958" s="14" t="s">
        <v>10461</v>
      </c>
      <c r="K1958" s="15">
        <v>44190</v>
      </c>
      <c r="L1958" s="289" t="s">
        <v>10500</v>
      </c>
      <c r="M1958" s="15">
        <v>44179</v>
      </c>
      <c r="N1958" s="40">
        <v>1</v>
      </c>
      <c r="O1958" s="62">
        <v>10000</v>
      </c>
      <c r="P1958" s="62">
        <v>10000</v>
      </c>
      <c r="Q1958" s="17">
        <f>O1958-P1958</f>
        <v>0</v>
      </c>
      <c r="R1958" s="285" t="s">
        <v>10503</v>
      </c>
      <c r="S1958" s="15">
        <v>44179</v>
      </c>
      <c r="T1958" s="285" t="s">
        <v>10504</v>
      </c>
    </row>
    <row r="1959" spans="1:20" ht="65.25" customHeight="1" x14ac:dyDescent="0.2">
      <c r="A1959" s="21">
        <v>1990</v>
      </c>
      <c r="B1959" s="12" t="s">
        <v>10492</v>
      </c>
      <c r="C1959" s="58"/>
      <c r="D1959" s="9" t="s">
        <v>10493</v>
      </c>
      <c r="E1959" s="72"/>
      <c r="F1959" s="9"/>
      <c r="G1959" s="285" t="s">
        <v>258</v>
      </c>
      <c r="H1959" s="285" t="s">
        <v>10499</v>
      </c>
      <c r="I1959" s="18"/>
      <c r="J1959" s="14" t="s">
        <v>10461</v>
      </c>
      <c r="K1959" s="15">
        <v>44190</v>
      </c>
      <c r="L1959" s="289" t="s">
        <v>10500</v>
      </c>
      <c r="M1959" s="15">
        <v>44179</v>
      </c>
      <c r="N1959" s="40">
        <v>1</v>
      </c>
      <c r="O1959" s="62">
        <v>10000</v>
      </c>
      <c r="P1959" s="62">
        <v>10000</v>
      </c>
      <c r="Q1959" s="17">
        <f>O1959-P1959</f>
        <v>0</v>
      </c>
      <c r="R1959" s="285" t="s">
        <v>10503</v>
      </c>
      <c r="S1959" s="15">
        <v>44179</v>
      </c>
      <c r="T1959" s="285" t="s">
        <v>10504</v>
      </c>
    </row>
    <row r="1960" spans="1:20" ht="60" customHeight="1" x14ac:dyDescent="0.2">
      <c r="A1960" s="21">
        <v>1991</v>
      </c>
      <c r="B1960" s="12" t="s">
        <v>10506</v>
      </c>
      <c r="C1960" s="58"/>
      <c r="D1960" s="9" t="s">
        <v>10561</v>
      </c>
      <c r="E1960" s="72">
        <v>2020</v>
      </c>
      <c r="F1960" s="289">
        <v>2061086</v>
      </c>
      <c r="G1960" s="285" t="s">
        <v>7846</v>
      </c>
      <c r="H1960" s="285" t="s">
        <v>10499</v>
      </c>
      <c r="I1960" s="18"/>
      <c r="J1960" s="14" t="s">
        <v>10461</v>
      </c>
      <c r="K1960" s="15">
        <v>44193</v>
      </c>
      <c r="L1960" s="289" t="s">
        <v>10562</v>
      </c>
      <c r="M1960" s="15">
        <v>44182</v>
      </c>
      <c r="N1960" s="40">
        <v>1</v>
      </c>
      <c r="O1960" s="62">
        <v>37990</v>
      </c>
      <c r="P1960" s="62">
        <v>37990</v>
      </c>
      <c r="Q1960" s="17">
        <f t="shared" ref="Q1960:Q1995" si="48">O1960-P1960</f>
        <v>0</v>
      </c>
      <c r="R1960" s="285" t="s">
        <v>10563</v>
      </c>
      <c r="S1960" s="15">
        <v>44182</v>
      </c>
      <c r="T1960" s="285" t="s">
        <v>10564</v>
      </c>
    </row>
    <row r="1961" spans="1:20" ht="64.5" customHeight="1" x14ac:dyDescent="0.2">
      <c r="A1961" s="21">
        <v>1992</v>
      </c>
      <c r="B1961" s="12" t="s">
        <v>10507</v>
      </c>
      <c r="C1961" s="58"/>
      <c r="D1961" s="9" t="s">
        <v>10508</v>
      </c>
      <c r="E1961" s="72">
        <v>2020</v>
      </c>
      <c r="F1961" s="289">
        <v>3120340</v>
      </c>
      <c r="G1961" s="285" t="s">
        <v>101</v>
      </c>
      <c r="H1961" s="285" t="s">
        <v>10499</v>
      </c>
      <c r="I1961" s="18"/>
      <c r="J1961" s="14" t="s">
        <v>10461</v>
      </c>
      <c r="K1961" s="15">
        <v>44193</v>
      </c>
      <c r="L1961" s="289" t="s">
        <v>10583</v>
      </c>
      <c r="M1961" s="15">
        <v>44166</v>
      </c>
      <c r="N1961" s="40">
        <v>1</v>
      </c>
      <c r="O1961" s="62">
        <v>15199</v>
      </c>
      <c r="P1961" s="62">
        <v>15199</v>
      </c>
      <c r="Q1961" s="17">
        <f t="shared" si="48"/>
        <v>0</v>
      </c>
      <c r="R1961" s="285" t="s">
        <v>10346</v>
      </c>
      <c r="S1961" s="15">
        <v>44155</v>
      </c>
      <c r="T1961" s="285" t="s">
        <v>10584</v>
      </c>
    </row>
    <row r="1962" spans="1:20" ht="82.5" customHeight="1" x14ac:dyDescent="0.2">
      <c r="A1962" s="21">
        <v>1993</v>
      </c>
      <c r="B1962" s="12" t="s">
        <v>10509</v>
      </c>
      <c r="C1962" s="58"/>
      <c r="D1962" s="9" t="s">
        <v>10479</v>
      </c>
      <c r="E1962" s="72">
        <v>2020</v>
      </c>
      <c r="F1962" s="9" t="s">
        <v>10553</v>
      </c>
      <c r="G1962" s="285" t="s">
        <v>2437</v>
      </c>
      <c r="H1962" s="285" t="s">
        <v>10499</v>
      </c>
      <c r="I1962" s="18"/>
      <c r="J1962" s="14" t="s">
        <v>10461</v>
      </c>
      <c r="K1962" s="15">
        <v>44193</v>
      </c>
      <c r="L1962" s="289" t="s">
        <v>10551</v>
      </c>
      <c r="M1962" s="15">
        <v>44176</v>
      </c>
      <c r="N1962" s="62">
        <v>5</v>
      </c>
      <c r="O1962" s="62">
        <v>60975.6</v>
      </c>
      <c r="P1962" s="62">
        <v>60975.6</v>
      </c>
      <c r="Q1962" s="17">
        <f t="shared" si="48"/>
        <v>0</v>
      </c>
      <c r="R1962" s="285" t="s">
        <v>10554</v>
      </c>
      <c r="S1962" s="15">
        <v>44176</v>
      </c>
      <c r="T1962" s="285" t="s">
        <v>10555</v>
      </c>
    </row>
    <row r="1963" spans="1:20" ht="62.25" customHeight="1" x14ac:dyDescent="0.2">
      <c r="A1963" s="21">
        <v>1994</v>
      </c>
      <c r="B1963" s="12" t="s">
        <v>10511</v>
      </c>
      <c r="C1963" s="58"/>
      <c r="D1963" s="9" t="s">
        <v>10510</v>
      </c>
      <c r="E1963" s="72">
        <v>2020</v>
      </c>
      <c r="F1963" s="9" t="s">
        <v>10517</v>
      </c>
      <c r="G1963" s="285" t="s">
        <v>2437</v>
      </c>
      <c r="H1963" s="285" t="s">
        <v>10499</v>
      </c>
      <c r="I1963" s="18"/>
      <c r="J1963" s="14" t="s">
        <v>10461</v>
      </c>
      <c r="K1963" s="15">
        <v>44193</v>
      </c>
      <c r="L1963" s="289" t="s">
        <v>10551</v>
      </c>
      <c r="M1963" s="15">
        <v>44176</v>
      </c>
      <c r="N1963" s="62">
        <v>1</v>
      </c>
      <c r="O1963" s="62">
        <v>12195.12</v>
      </c>
      <c r="P1963" s="62">
        <v>12195.12</v>
      </c>
      <c r="Q1963" s="17">
        <f t="shared" si="48"/>
        <v>0</v>
      </c>
      <c r="R1963" s="285" t="s">
        <v>10554</v>
      </c>
      <c r="S1963" s="15">
        <v>44176</v>
      </c>
      <c r="T1963" s="285" t="s">
        <v>10555</v>
      </c>
    </row>
    <row r="1964" spans="1:20" ht="63.75" customHeight="1" x14ac:dyDescent="0.2">
      <c r="A1964" s="21">
        <v>1995</v>
      </c>
      <c r="B1964" s="12" t="s">
        <v>10515</v>
      </c>
      <c r="C1964" s="58"/>
      <c r="D1964" s="9" t="s">
        <v>10479</v>
      </c>
      <c r="E1964" s="72">
        <v>2020</v>
      </c>
      <c r="F1964" s="9" t="s">
        <v>10568</v>
      </c>
      <c r="G1964" s="285" t="s">
        <v>792</v>
      </c>
      <c r="H1964" s="285" t="s">
        <v>10499</v>
      </c>
      <c r="I1964" s="18"/>
      <c r="J1964" s="14" t="s">
        <v>10461</v>
      </c>
      <c r="K1964" s="15">
        <v>44193</v>
      </c>
      <c r="L1964" s="289" t="s">
        <v>10565</v>
      </c>
      <c r="M1964" s="15">
        <v>44176</v>
      </c>
      <c r="N1964" s="62">
        <v>2</v>
      </c>
      <c r="O1964" s="62">
        <v>24390.32</v>
      </c>
      <c r="P1964" s="62">
        <v>24390.32</v>
      </c>
      <c r="Q1964" s="17">
        <f t="shared" si="48"/>
        <v>0</v>
      </c>
      <c r="R1964" s="285" t="s">
        <v>10554</v>
      </c>
      <c r="S1964" s="15">
        <v>44176</v>
      </c>
      <c r="T1964" s="285" t="s">
        <v>10566</v>
      </c>
    </row>
    <row r="1965" spans="1:20" ht="70.5" customHeight="1" x14ac:dyDescent="0.2">
      <c r="A1965" s="21">
        <v>1996</v>
      </c>
      <c r="B1965" s="12" t="s">
        <v>10516</v>
      </c>
      <c r="C1965" s="58"/>
      <c r="D1965" s="9" t="s">
        <v>10510</v>
      </c>
      <c r="E1965" s="72">
        <v>2020</v>
      </c>
      <c r="F1965" s="9" t="s">
        <v>10567</v>
      </c>
      <c r="G1965" s="285" t="s">
        <v>792</v>
      </c>
      <c r="H1965" s="285" t="s">
        <v>10499</v>
      </c>
      <c r="I1965" s="18"/>
      <c r="J1965" s="14" t="s">
        <v>10461</v>
      </c>
      <c r="K1965" s="15">
        <v>44193</v>
      </c>
      <c r="L1965" s="289" t="s">
        <v>10565</v>
      </c>
      <c r="M1965" s="15">
        <v>44176</v>
      </c>
      <c r="N1965" s="62">
        <v>1</v>
      </c>
      <c r="O1965" s="62">
        <v>12195.16</v>
      </c>
      <c r="P1965" s="62">
        <v>12195.16</v>
      </c>
      <c r="Q1965" s="17">
        <f t="shared" si="48"/>
        <v>0</v>
      </c>
      <c r="R1965" s="285" t="s">
        <v>10554</v>
      </c>
      <c r="S1965" s="15">
        <v>44176</v>
      </c>
      <c r="T1965" s="285" t="s">
        <v>10566</v>
      </c>
    </row>
    <row r="1966" spans="1:20" ht="70.5" customHeight="1" x14ac:dyDescent="0.2">
      <c r="A1966" s="21">
        <v>1997</v>
      </c>
      <c r="B1966" s="12" t="s">
        <v>10519</v>
      </c>
      <c r="C1966" s="58"/>
      <c r="D1966" s="9" t="s">
        <v>10578</v>
      </c>
      <c r="E1966" s="72">
        <v>2020</v>
      </c>
      <c r="F1966" s="9" t="s">
        <v>10579</v>
      </c>
      <c r="G1966" s="285" t="s">
        <v>515</v>
      </c>
      <c r="H1966" s="285" t="s">
        <v>10499</v>
      </c>
      <c r="I1966" s="18"/>
      <c r="J1966" s="14" t="s">
        <v>10461</v>
      </c>
      <c r="K1966" s="15">
        <v>44193</v>
      </c>
      <c r="L1966" s="289" t="s">
        <v>10580</v>
      </c>
      <c r="M1966" s="15">
        <v>44174</v>
      </c>
      <c r="N1966" s="62">
        <v>1</v>
      </c>
      <c r="O1966" s="62">
        <v>43343</v>
      </c>
      <c r="P1966" s="62">
        <v>43343</v>
      </c>
      <c r="Q1966" s="17">
        <f t="shared" si="48"/>
        <v>0</v>
      </c>
      <c r="R1966" s="285" t="s">
        <v>10346</v>
      </c>
      <c r="S1966" s="15">
        <v>44174</v>
      </c>
      <c r="T1966" s="285" t="s">
        <v>10581</v>
      </c>
    </row>
    <row r="1967" spans="1:20" ht="73.5" customHeight="1" x14ac:dyDescent="0.2">
      <c r="A1967" s="21">
        <v>1998</v>
      </c>
      <c r="B1967" s="12" t="s">
        <v>10520</v>
      </c>
      <c r="C1967" s="58"/>
      <c r="D1967" s="9" t="s">
        <v>10510</v>
      </c>
      <c r="E1967" s="72">
        <v>2020</v>
      </c>
      <c r="F1967" s="9" t="s">
        <v>10518</v>
      </c>
      <c r="G1967" s="285" t="s">
        <v>258</v>
      </c>
      <c r="H1967" s="285" t="s">
        <v>10499</v>
      </c>
      <c r="I1967" s="18"/>
      <c r="J1967" s="14" t="s">
        <v>10461</v>
      </c>
      <c r="K1967" s="15">
        <v>44193</v>
      </c>
      <c r="L1967" s="289" t="s">
        <v>7918</v>
      </c>
      <c r="M1967" s="15">
        <v>44180</v>
      </c>
      <c r="N1967" s="40">
        <v>1</v>
      </c>
      <c r="O1967" s="40">
        <v>12195.12</v>
      </c>
      <c r="P1967" s="40">
        <v>12195.12</v>
      </c>
      <c r="Q1967" s="17">
        <f t="shared" si="48"/>
        <v>0</v>
      </c>
      <c r="R1967" s="285" t="s">
        <v>10570</v>
      </c>
      <c r="S1967" s="15">
        <v>44176</v>
      </c>
      <c r="T1967" s="285" t="s">
        <v>10582</v>
      </c>
    </row>
    <row r="1968" spans="1:20" ht="66.75" customHeight="1" x14ac:dyDescent="0.2">
      <c r="A1968" s="21">
        <v>1999</v>
      </c>
      <c r="B1968" s="12" t="s">
        <v>10521</v>
      </c>
      <c r="C1968" s="58"/>
      <c r="D1968" s="9" t="s">
        <v>10479</v>
      </c>
      <c r="E1968" s="72">
        <v>2020</v>
      </c>
      <c r="F1968" s="9"/>
      <c r="G1968" s="285" t="s">
        <v>258</v>
      </c>
      <c r="H1968" s="285" t="s">
        <v>10499</v>
      </c>
      <c r="I1968" s="18"/>
      <c r="J1968" s="14" t="s">
        <v>10461</v>
      </c>
      <c r="K1968" s="15">
        <v>44193</v>
      </c>
      <c r="L1968" s="289" t="s">
        <v>7918</v>
      </c>
      <c r="M1968" s="15">
        <v>44180</v>
      </c>
      <c r="N1968" s="40">
        <v>5</v>
      </c>
      <c r="O1968" s="40">
        <v>60975.6</v>
      </c>
      <c r="P1968" s="40">
        <v>60975.6</v>
      </c>
      <c r="Q1968" s="17">
        <f t="shared" si="48"/>
        <v>0</v>
      </c>
      <c r="R1968" s="285" t="s">
        <v>10570</v>
      </c>
      <c r="S1968" s="15">
        <v>44176</v>
      </c>
      <c r="T1968" s="285" t="s">
        <v>10582</v>
      </c>
    </row>
    <row r="1969" spans="1:20" ht="65.25" customHeight="1" x14ac:dyDescent="0.2">
      <c r="A1969" s="21">
        <v>2000</v>
      </c>
      <c r="B1969" s="12" t="s">
        <v>10522</v>
      </c>
      <c r="C1969" s="58"/>
      <c r="D1969" s="9" t="s">
        <v>10479</v>
      </c>
      <c r="E1969" s="72">
        <v>2020</v>
      </c>
      <c r="F1969" s="9"/>
      <c r="G1969" s="285" t="s">
        <v>7980</v>
      </c>
      <c r="H1969" s="285" t="s">
        <v>10499</v>
      </c>
      <c r="I1969" s="18"/>
      <c r="J1969" s="14" t="s">
        <v>10461</v>
      </c>
      <c r="K1969" s="15">
        <v>44193</v>
      </c>
      <c r="L1969" s="289" t="s">
        <v>10569</v>
      </c>
      <c r="M1969" s="15">
        <v>44189</v>
      </c>
      <c r="N1969" s="40">
        <v>4</v>
      </c>
      <c r="O1969" s="40">
        <v>48780.480000000003</v>
      </c>
      <c r="P1969" s="40">
        <v>48780.480000000003</v>
      </c>
      <c r="Q1969" s="17">
        <f t="shared" si="48"/>
        <v>0</v>
      </c>
      <c r="R1969" s="285" t="s">
        <v>10570</v>
      </c>
      <c r="S1969" s="15">
        <v>44176</v>
      </c>
      <c r="T1969" s="285" t="s">
        <v>10571</v>
      </c>
    </row>
    <row r="1970" spans="1:20" ht="67.5" customHeight="1" x14ac:dyDescent="0.2">
      <c r="A1970" s="21">
        <v>2001</v>
      </c>
      <c r="B1970" s="12" t="s">
        <v>10523</v>
      </c>
      <c r="C1970" s="58"/>
      <c r="D1970" s="9" t="s">
        <v>10510</v>
      </c>
      <c r="E1970" s="72">
        <v>2020</v>
      </c>
      <c r="F1970" s="9" t="s">
        <v>10518</v>
      </c>
      <c r="G1970" s="285" t="s">
        <v>7980</v>
      </c>
      <c r="H1970" s="285" t="s">
        <v>10499</v>
      </c>
      <c r="I1970" s="18"/>
      <c r="J1970" s="14" t="s">
        <v>10461</v>
      </c>
      <c r="K1970" s="15">
        <v>44193</v>
      </c>
      <c r="L1970" s="289" t="s">
        <v>10569</v>
      </c>
      <c r="M1970" s="15">
        <v>44189</v>
      </c>
      <c r="N1970" s="40">
        <v>1</v>
      </c>
      <c r="O1970" s="40">
        <v>12195.12</v>
      </c>
      <c r="P1970" s="40">
        <v>12195.12</v>
      </c>
      <c r="Q1970" s="17">
        <f t="shared" si="48"/>
        <v>0</v>
      </c>
      <c r="R1970" s="285" t="s">
        <v>10570</v>
      </c>
      <c r="S1970" s="15">
        <v>44176</v>
      </c>
      <c r="T1970" s="285" t="s">
        <v>10571</v>
      </c>
    </row>
    <row r="1971" spans="1:20" ht="63" customHeight="1" x14ac:dyDescent="0.2">
      <c r="A1971" s="21">
        <v>2002</v>
      </c>
      <c r="B1971" s="12" t="s">
        <v>10524</v>
      </c>
      <c r="C1971" s="18"/>
      <c r="D1971" s="9" t="s">
        <v>10479</v>
      </c>
      <c r="E1971" s="72">
        <v>2020</v>
      </c>
      <c r="F1971" s="9"/>
      <c r="G1971" s="285" t="s">
        <v>3699</v>
      </c>
      <c r="H1971" s="285" t="s">
        <v>10499</v>
      </c>
      <c r="I1971" s="18"/>
      <c r="J1971" s="14" t="s">
        <v>10461</v>
      </c>
      <c r="K1971" s="15">
        <v>44193</v>
      </c>
      <c r="L1971" s="289">
        <v>1118</v>
      </c>
      <c r="M1971" s="15">
        <v>44176</v>
      </c>
      <c r="N1971" s="40">
        <v>4</v>
      </c>
      <c r="O1971" s="40">
        <v>48780.480000000003</v>
      </c>
      <c r="P1971" s="40">
        <v>48780.480000000003</v>
      </c>
      <c r="Q1971" s="17">
        <f t="shared" si="48"/>
        <v>0</v>
      </c>
      <c r="R1971" s="285" t="s">
        <v>10570</v>
      </c>
      <c r="S1971" s="15">
        <v>44176</v>
      </c>
      <c r="T1971" s="285" t="s">
        <v>10572</v>
      </c>
    </row>
    <row r="1972" spans="1:20" ht="55.5" customHeight="1" x14ac:dyDescent="0.2">
      <c r="A1972" s="21">
        <v>2003</v>
      </c>
      <c r="B1972" s="12" t="s">
        <v>10525</v>
      </c>
      <c r="C1972" s="18"/>
      <c r="D1972" s="9" t="s">
        <v>10510</v>
      </c>
      <c r="E1972" s="289">
        <v>2020</v>
      </c>
      <c r="F1972" s="9" t="s">
        <v>10518</v>
      </c>
      <c r="G1972" s="285" t="s">
        <v>3699</v>
      </c>
      <c r="H1972" s="285" t="s">
        <v>10499</v>
      </c>
      <c r="I1972" s="18"/>
      <c r="J1972" s="14" t="s">
        <v>10461</v>
      </c>
      <c r="K1972" s="15">
        <v>44193</v>
      </c>
      <c r="L1972" s="289">
        <v>1118</v>
      </c>
      <c r="M1972" s="15">
        <v>44176</v>
      </c>
      <c r="N1972" s="40">
        <v>1</v>
      </c>
      <c r="O1972" s="40">
        <v>12195.12</v>
      </c>
      <c r="P1972" s="40">
        <v>12195.12</v>
      </c>
      <c r="Q1972" s="17">
        <f t="shared" si="48"/>
        <v>0</v>
      </c>
      <c r="R1972" s="285" t="s">
        <v>10570</v>
      </c>
      <c r="S1972" s="15">
        <v>44176</v>
      </c>
      <c r="T1972" s="285" t="s">
        <v>10572</v>
      </c>
    </row>
    <row r="1973" spans="1:20" ht="54" customHeight="1" x14ac:dyDescent="0.2">
      <c r="A1973" s="21">
        <v>2004</v>
      </c>
      <c r="B1973" s="12" t="s">
        <v>10540</v>
      </c>
      <c r="C1973" s="18"/>
      <c r="D1973" s="9" t="s">
        <v>10541</v>
      </c>
      <c r="E1973" s="289">
        <v>2020</v>
      </c>
      <c r="F1973" s="277" t="s">
        <v>10546</v>
      </c>
      <c r="G1973" s="285" t="s">
        <v>7983</v>
      </c>
      <c r="H1973" s="285" t="s">
        <v>10499</v>
      </c>
      <c r="I1973" s="18"/>
      <c r="J1973" s="14" t="s">
        <v>10461</v>
      </c>
      <c r="K1973" s="15">
        <v>44194</v>
      </c>
      <c r="L1973" s="289" t="s">
        <v>10548</v>
      </c>
      <c r="M1973" s="15">
        <v>44188</v>
      </c>
      <c r="N1973" s="40">
        <v>3</v>
      </c>
      <c r="O1973" s="40">
        <v>90660</v>
      </c>
      <c r="P1973" s="40">
        <v>90660</v>
      </c>
      <c r="Q1973" s="17">
        <f t="shared" si="48"/>
        <v>0</v>
      </c>
      <c r="R1973" s="285" t="s">
        <v>10456</v>
      </c>
      <c r="S1973" s="15">
        <v>44188</v>
      </c>
      <c r="T1973" s="285" t="s">
        <v>10550</v>
      </c>
    </row>
    <row r="1974" spans="1:20" ht="33" customHeight="1" x14ac:dyDescent="0.2">
      <c r="A1974" s="21">
        <v>2005</v>
      </c>
      <c r="B1974" s="12" t="s">
        <v>10543</v>
      </c>
      <c r="C1974" s="18"/>
      <c r="D1974" s="9" t="s">
        <v>10545</v>
      </c>
      <c r="E1974" s="289">
        <v>2020</v>
      </c>
      <c r="F1974" s="9" t="s">
        <v>10883</v>
      </c>
      <c r="G1974" s="285" t="s">
        <v>7983</v>
      </c>
      <c r="H1974" s="285" t="s">
        <v>10499</v>
      </c>
      <c r="I1974" s="18"/>
      <c r="J1974" s="14" t="s">
        <v>10461</v>
      </c>
      <c r="K1974" s="24" t="s">
        <v>10881</v>
      </c>
      <c r="L1974" s="289" t="s">
        <v>10882</v>
      </c>
      <c r="M1974" s="15">
        <v>44188</v>
      </c>
      <c r="N1974" s="40">
        <f>3-1</f>
        <v>2</v>
      </c>
      <c r="O1974" s="40">
        <f>60597-20199</f>
        <v>40398</v>
      </c>
      <c r="P1974" s="40">
        <f>60597-20199</f>
        <v>40398</v>
      </c>
      <c r="Q1974" s="17">
        <f t="shared" si="48"/>
        <v>0</v>
      </c>
      <c r="R1974" s="285" t="s">
        <v>10456</v>
      </c>
      <c r="S1974" s="15">
        <v>44188</v>
      </c>
      <c r="T1974" s="285" t="s">
        <v>10550</v>
      </c>
    </row>
    <row r="1975" spans="1:20" ht="57.75" customHeight="1" x14ac:dyDescent="0.2">
      <c r="A1975" s="21">
        <v>2006</v>
      </c>
      <c r="B1975" s="12" t="s">
        <v>10544</v>
      </c>
      <c r="C1975" s="18"/>
      <c r="D1975" s="9" t="s">
        <v>10541</v>
      </c>
      <c r="E1975" s="289">
        <v>2020</v>
      </c>
      <c r="F1975" s="277" t="s">
        <v>10542</v>
      </c>
      <c r="G1975" s="285" t="s">
        <v>4720</v>
      </c>
      <c r="H1975" s="285" t="s">
        <v>10499</v>
      </c>
      <c r="I1975" s="18"/>
      <c r="J1975" s="14" t="s">
        <v>10461</v>
      </c>
      <c r="K1975" s="15">
        <v>44194</v>
      </c>
      <c r="L1975" s="289" t="s">
        <v>10587</v>
      </c>
      <c r="M1975" s="15">
        <v>44188</v>
      </c>
      <c r="N1975" s="40">
        <v>1</v>
      </c>
      <c r="O1975" s="40">
        <v>30220</v>
      </c>
      <c r="P1975" s="40">
        <v>30220</v>
      </c>
      <c r="Q1975" s="17">
        <f t="shared" si="48"/>
        <v>0</v>
      </c>
      <c r="R1975" s="285" t="s">
        <v>10456</v>
      </c>
      <c r="S1975" s="15">
        <v>44188</v>
      </c>
      <c r="T1975" s="285" t="s">
        <v>10550</v>
      </c>
    </row>
    <row r="1976" spans="1:20" ht="57" customHeight="1" x14ac:dyDescent="0.2">
      <c r="A1976" s="21">
        <v>2007</v>
      </c>
      <c r="B1976" s="12" t="s">
        <v>10599</v>
      </c>
      <c r="C1976" s="18"/>
      <c r="D1976" s="9" t="s">
        <v>10510</v>
      </c>
      <c r="E1976" s="289">
        <v>2020</v>
      </c>
      <c r="F1976" s="9" t="s">
        <v>10600</v>
      </c>
      <c r="G1976" s="285" t="s">
        <v>515</v>
      </c>
      <c r="H1976" s="285" t="s">
        <v>10499</v>
      </c>
      <c r="I1976" s="18"/>
      <c r="J1976" s="14" t="s">
        <v>10461</v>
      </c>
      <c r="K1976" s="15">
        <v>44224</v>
      </c>
      <c r="L1976" s="289">
        <v>47</v>
      </c>
      <c r="M1976" s="15">
        <v>44180</v>
      </c>
      <c r="N1976" s="40">
        <v>1</v>
      </c>
      <c r="O1976" s="40">
        <v>12195.12</v>
      </c>
      <c r="P1976" s="40">
        <v>12195.12</v>
      </c>
      <c r="Q1976" s="17">
        <f t="shared" si="48"/>
        <v>0</v>
      </c>
      <c r="R1976" s="285" t="s">
        <v>10480</v>
      </c>
      <c r="S1976" s="14">
        <v>44176</v>
      </c>
      <c r="T1976" s="14" t="s">
        <v>10601</v>
      </c>
    </row>
    <row r="1977" spans="1:20" ht="57" customHeight="1" x14ac:dyDescent="0.2">
      <c r="A1977" s="21">
        <v>2008</v>
      </c>
      <c r="B1977" s="12" t="s">
        <v>10602</v>
      </c>
      <c r="C1977" s="18"/>
      <c r="D1977" s="9" t="s">
        <v>10479</v>
      </c>
      <c r="E1977" s="289">
        <v>2020</v>
      </c>
      <c r="F1977" s="9" t="s">
        <v>10603</v>
      </c>
      <c r="G1977" s="285" t="s">
        <v>515</v>
      </c>
      <c r="H1977" s="285" t="s">
        <v>10499</v>
      </c>
      <c r="I1977" s="18"/>
      <c r="J1977" s="14" t="s">
        <v>10461</v>
      </c>
      <c r="K1977" s="15">
        <v>44224</v>
      </c>
      <c r="L1977" s="289">
        <v>47</v>
      </c>
      <c r="M1977" s="15">
        <v>44180</v>
      </c>
      <c r="N1977" s="40">
        <v>4</v>
      </c>
      <c r="O1977" s="40">
        <v>48780.480000000003</v>
      </c>
      <c r="P1977" s="40">
        <v>48780.483</v>
      </c>
      <c r="Q1977" s="17">
        <f t="shared" si="48"/>
        <v>-2.9999999969732016E-3</v>
      </c>
      <c r="R1977" s="285" t="s">
        <v>10480</v>
      </c>
      <c r="S1977" s="14">
        <v>44176</v>
      </c>
      <c r="T1977" s="14" t="s">
        <v>10601</v>
      </c>
    </row>
    <row r="1978" spans="1:20" ht="53.25" customHeight="1" x14ac:dyDescent="0.2">
      <c r="A1978" s="21">
        <v>2009</v>
      </c>
      <c r="B1978" s="12" t="s">
        <v>10604</v>
      </c>
      <c r="C1978" s="18"/>
      <c r="D1978" s="9" t="s">
        <v>10510</v>
      </c>
      <c r="E1978" s="289">
        <v>2020</v>
      </c>
      <c r="F1978" s="9" t="s">
        <v>10600</v>
      </c>
      <c r="G1978" s="285" t="s">
        <v>2436</v>
      </c>
      <c r="H1978" s="285" t="s">
        <v>10499</v>
      </c>
      <c r="I1978" s="18"/>
      <c r="J1978" s="14" t="s">
        <v>10461</v>
      </c>
      <c r="K1978" s="15">
        <v>44224</v>
      </c>
      <c r="L1978" s="289">
        <v>45</v>
      </c>
      <c r="M1978" s="14">
        <v>44188</v>
      </c>
      <c r="N1978" s="62">
        <v>1</v>
      </c>
      <c r="O1978" s="62">
        <v>12195.12</v>
      </c>
      <c r="P1978" s="62">
        <v>12195.12</v>
      </c>
      <c r="Q1978" s="17">
        <f t="shared" si="48"/>
        <v>0</v>
      </c>
      <c r="R1978" s="285" t="s">
        <v>10480</v>
      </c>
      <c r="S1978" s="14">
        <v>44176</v>
      </c>
      <c r="T1978" s="14" t="s">
        <v>10605</v>
      </c>
    </row>
    <row r="1979" spans="1:20" ht="85.5" customHeight="1" x14ac:dyDescent="0.2">
      <c r="A1979" s="21">
        <v>2010</v>
      </c>
      <c r="B1979" s="12" t="s">
        <v>10606</v>
      </c>
      <c r="C1979" s="18"/>
      <c r="D1979" s="9" t="s">
        <v>10479</v>
      </c>
      <c r="E1979" s="289">
        <v>2020</v>
      </c>
      <c r="F1979" s="9" t="s">
        <v>10607</v>
      </c>
      <c r="G1979" s="285" t="s">
        <v>2436</v>
      </c>
      <c r="H1979" s="285" t="s">
        <v>10499</v>
      </c>
      <c r="I1979" s="18"/>
      <c r="J1979" s="14" t="s">
        <v>10461</v>
      </c>
      <c r="K1979" s="15">
        <v>44224</v>
      </c>
      <c r="L1979" s="289">
        <v>45</v>
      </c>
      <c r="M1979" s="14">
        <v>44188</v>
      </c>
      <c r="N1979" s="40">
        <v>5</v>
      </c>
      <c r="O1979" s="40">
        <v>60975.6</v>
      </c>
      <c r="P1979" s="40">
        <v>60975.6</v>
      </c>
      <c r="Q1979" s="17">
        <f t="shared" si="48"/>
        <v>0</v>
      </c>
      <c r="R1979" s="285" t="s">
        <v>10480</v>
      </c>
      <c r="S1979" s="14">
        <v>44176</v>
      </c>
      <c r="T1979" s="14" t="s">
        <v>10605</v>
      </c>
    </row>
    <row r="1980" spans="1:20" ht="104.25" customHeight="1" x14ac:dyDescent="0.2">
      <c r="A1980" s="21">
        <v>2011</v>
      </c>
      <c r="B1980" s="12" t="s">
        <v>10608</v>
      </c>
      <c r="C1980" s="18"/>
      <c r="D1980" s="9" t="s">
        <v>10609</v>
      </c>
      <c r="E1980" s="289">
        <v>2020</v>
      </c>
      <c r="F1980" s="9" t="s">
        <v>10612</v>
      </c>
      <c r="G1980" s="285" t="s">
        <v>2436</v>
      </c>
      <c r="H1980" s="285" t="s">
        <v>10499</v>
      </c>
      <c r="I1980" s="18"/>
      <c r="J1980" s="14" t="s">
        <v>10461</v>
      </c>
      <c r="K1980" s="15">
        <v>44224</v>
      </c>
      <c r="L1980" s="289">
        <v>45</v>
      </c>
      <c r="M1980" s="14">
        <v>44193</v>
      </c>
      <c r="N1980" s="40">
        <v>1</v>
      </c>
      <c r="O1980" s="40">
        <v>30234</v>
      </c>
      <c r="P1980" s="40">
        <v>30234</v>
      </c>
      <c r="Q1980" s="17">
        <f t="shared" si="48"/>
        <v>0</v>
      </c>
      <c r="R1980" s="285" t="s">
        <v>10501</v>
      </c>
      <c r="S1980" s="14">
        <v>44183</v>
      </c>
      <c r="T1980" s="14" t="s">
        <v>10610</v>
      </c>
    </row>
    <row r="1981" spans="1:20" ht="95.25" customHeight="1" x14ac:dyDescent="0.2">
      <c r="A1981" s="21">
        <v>2012</v>
      </c>
      <c r="B1981" s="12" t="s">
        <v>10611</v>
      </c>
      <c r="C1981" s="18"/>
      <c r="D1981" s="9" t="s">
        <v>10613</v>
      </c>
      <c r="E1981" s="289">
        <v>2020</v>
      </c>
      <c r="F1981" s="9" t="s">
        <v>10617</v>
      </c>
      <c r="G1981" s="285" t="s">
        <v>7967</v>
      </c>
      <c r="H1981" s="285" t="s">
        <v>10499</v>
      </c>
      <c r="I1981" s="18"/>
      <c r="J1981" s="14" t="s">
        <v>10461</v>
      </c>
      <c r="K1981" s="15">
        <v>44224</v>
      </c>
      <c r="L1981" s="289">
        <v>46</v>
      </c>
      <c r="M1981" s="14">
        <v>44182</v>
      </c>
      <c r="N1981" s="62">
        <v>2</v>
      </c>
      <c r="O1981" s="62">
        <v>146815.06</v>
      </c>
      <c r="P1981" s="62">
        <v>146815.06</v>
      </c>
      <c r="Q1981" s="34">
        <f t="shared" si="48"/>
        <v>0</v>
      </c>
      <c r="R1981" s="285" t="s">
        <v>10456</v>
      </c>
      <c r="S1981" s="14">
        <v>44174</v>
      </c>
      <c r="T1981" s="285">
        <v>2820200082</v>
      </c>
    </row>
    <row r="1982" spans="1:20" ht="95.25" customHeight="1" x14ac:dyDescent="0.2">
      <c r="A1982" s="21">
        <v>2013</v>
      </c>
      <c r="B1982" s="12" t="s">
        <v>10614</v>
      </c>
      <c r="C1982" s="18"/>
      <c r="D1982" s="9" t="s">
        <v>10615</v>
      </c>
      <c r="E1982" s="289">
        <v>2020</v>
      </c>
      <c r="F1982" s="9" t="s">
        <v>10616</v>
      </c>
      <c r="G1982" s="285" t="s">
        <v>7967</v>
      </c>
      <c r="H1982" s="285" t="s">
        <v>10499</v>
      </c>
      <c r="I1982" s="18"/>
      <c r="J1982" s="14" t="s">
        <v>10461</v>
      </c>
      <c r="K1982" s="15">
        <v>44224</v>
      </c>
      <c r="L1982" s="289">
        <v>46</v>
      </c>
      <c r="M1982" s="14">
        <v>44182</v>
      </c>
      <c r="N1982" s="40">
        <v>1</v>
      </c>
      <c r="O1982" s="40">
        <v>88984.93</v>
      </c>
      <c r="P1982" s="40">
        <v>88984.93</v>
      </c>
      <c r="Q1982" s="17">
        <f t="shared" si="48"/>
        <v>0</v>
      </c>
      <c r="R1982" s="285" t="s">
        <v>10456</v>
      </c>
      <c r="S1982" s="14">
        <v>44174</v>
      </c>
      <c r="T1982" s="285">
        <v>2820200082</v>
      </c>
    </row>
    <row r="1983" spans="1:20" ht="95.25" customHeight="1" x14ac:dyDescent="0.2">
      <c r="A1983" s="21">
        <v>2014</v>
      </c>
      <c r="B1983" s="12" t="s">
        <v>10618</v>
      </c>
      <c r="C1983" s="18"/>
      <c r="D1983" s="9" t="s">
        <v>10619</v>
      </c>
      <c r="E1983" s="289">
        <v>2020</v>
      </c>
      <c r="F1983" s="9" t="s">
        <v>10620</v>
      </c>
      <c r="G1983" s="285" t="s">
        <v>7967</v>
      </c>
      <c r="H1983" s="285" t="s">
        <v>10499</v>
      </c>
      <c r="I1983" s="18"/>
      <c r="J1983" s="14" t="s">
        <v>10461</v>
      </c>
      <c r="K1983" s="15">
        <v>44224</v>
      </c>
      <c r="L1983" s="289">
        <v>46</v>
      </c>
      <c r="M1983" s="14">
        <v>44182</v>
      </c>
      <c r="N1983" s="62">
        <v>1</v>
      </c>
      <c r="O1983" s="62">
        <v>18440.009999999998</v>
      </c>
      <c r="P1983" s="62">
        <v>18440.009999999998</v>
      </c>
      <c r="Q1983" s="34">
        <f t="shared" si="48"/>
        <v>0</v>
      </c>
      <c r="R1983" s="285" t="s">
        <v>10456</v>
      </c>
      <c r="S1983" s="14">
        <v>44174</v>
      </c>
      <c r="T1983" s="285">
        <v>2820200082</v>
      </c>
    </row>
    <row r="1984" spans="1:20" ht="95.25" customHeight="1" x14ac:dyDescent="0.2">
      <c r="A1984" s="21">
        <v>2015</v>
      </c>
      <c r="B1984" s="12" t="s">
        <v>10621</v>
      </c>
      <c r="C1984" s="18"/>
      <c r="D1984" s="9" t="s">
        <v>10622</v>
      </c>
      <c r="E1984" s="289">
        <v>2020</v>
      </c>
      <c r="F1984" s="9" t="s">
        <v>10631</v>
      </c>
      <c r="G1984" s="285" t="s">
        <v>7967</v>
      </c>
      <c r="H1984" s="285" t="s">
        <v>10499</v>
      </c>
      <c r="I1984" s="18"/>
      <c r="J1984" s="14" t="s">
        <v>10461</v>
      </c>
      <c r="K1984" s="15">
        <v>44224</v>
      </c>
      <c r="L1984" s="289">
        <v>46</v>
      </c>
      <c r="M1984" s="14">
        <v>44182</v>
      </c>
      <c r="N1984" s="62">
        <v>1</v>
      </c>
      <c r="O1984" s="62">
        <v>175000</v>
      </c>
      <c r="P1984" s="62">
        <v>102083.31</v>
      </c>
      <c r="Q1984" s="34">
        <f t="shared" si="48"/>
        <v>72916.69</v>
      </c>
      <c r="R1984" s="285" t="s">
        <v>10456</v>
      </c>
      <c r="S1984" s="14">
        <v>44174</v>
      </c>
      <c r="T1984" s="285">
        <v>2820200082</v>
      </c>
    </row>
    <row r="1985" spans="1:20" ht="95.25" customHeight="1" x14ac:dyDescent="0.2">
      <c r="A1985" s="21">
        <v>2016</v>
      </c>
      <c r="B1985" s="12" t="s">
        <v>10623</v>
      </c>
      <c r="C1985" s="18"/>
      <c r="D1985" s="9" t="s">
        <v>10479</v>
      </c>
      <c r="E1985" s="289">
        <v>2020</v>
      </c>
      <c r="F1985" s="9" t="s">
        <v>10630</v>
      </c>
      <c r="G1985" s="285" t="s">
        <v>7967</v>
      </c>
      <c r="H1985" s="285" t="s">
        <v>10499</v>
      </c>
      <c r="I1985" s="18"/>
      <c r="J1985" s="14" t="s">
        <v>10461</v>
      </c>
      <c r="K1985" s="15">
        <v>44224</v>
      </c>
      <c r="L1985" s="289">
        <v>46</v>
      </c>
      <c r="M1985" s="14">
        <v>44176</v>
      </c>
      <c r="N1985" s="62">
        <v>4</v>
      </c>
      <c r="O1985" s="62">
        <v>48780.480000000003</v>
      </c>
      <c r="P1985" s="62">
        <v>48780.480000000003</v>
      </c>
      <c r="Q1985" s="34">
        <f t="shared" si="48"/>
        <v>0</v>
      </c>
      <c r="R1985" s="285" t="s">
        <v>10480</v>
      </c>
      <c r="S1985" s="14">
        <v>44176</v>
      </c>
      <c r="T1985" s="285" t="s">
        <v>10624</v>
      </c>
    </row>
    <row r="1986" spans="1:20" ht="95.25" customHeight="1" x14ac:dyDescent="0.2">
      <c r="A1986" s="21">
        <v>2017</v>
      </c>
      <c r="B1986" s="12" t="s">
        <v>10625</v>
      </c>
      <c r="C1986" s="18"/>
      <c r="D1986" s="9" t="s">
        <v>10510</v>
      </c>
      <c r="E1986" s="289">
        <v>2020</v>
      </c>
      <c r="F1986" s="9" t="s">
        <v>10629</v>
      </c>
      <c r="G1986" s="285" t="s">
        <v>7967</v>
      </c>
      <c r="H1986" s="285" t="s">
        <v>10499</v>
      </c>
      <c r="I1986" s="18"/>
      <c r="J1986" s="14" t="s">
        <v>10461</v>
      </c>
      <c r="K1986" s="15">
        <v>44224</v>
      </c>
      <c r="L1986" s="289">
        <v>46</v>
      </c>
      <c r="M1986" s="14">
        <v>44176</v>
      </c>
      <c r="N1986" s="40">
        <v>1</v>
      </c>
      <c r="O1986" s="40">
        <v>12195.12</v>
      </c>
      <c r="P1986" s="40">
        <v>12195.12</v>
      </c>
      <c r="Q1986" s="17">
        <f t="shared" si="48"/>
        <v>0</v>
      </c>
      <c r="R1986" s="285" t="s">
        <v>10480</v>
      </c>
      <c r="S1986" s="14">
        <v>44176</v>
      </c>
      <c r="T1986" s="285" t="s">
        <v>10624</v>
      </c>
    </row>
    <row r="1987" spans="1:20" ht="95.25" customHeight="1" x14ac:dyDescent="0.2">
      <c r="A1987" s="21">
        <v>2018</v>
      </c>
      <c r="B1987" s="12" t="s">
        <v>10652</v>
      </c>
      <c r="C1987" s="18"/>
      <c r="D1987" s="9" t="s">
        <v>10653</v>
      </c>
      <c r="E1987" s="289">
        <v>2020</v>
      </c>
      <c r="F1987" s="9"/>
      <c r="G1987" s="285" t="s">
        <v>258</v>
      </c>
      <c r="H1987" s="285" t="s">
        <v>10499</v>
      </c>
      <c r="I1987" s="18"/>
      <c r="J1987" s="14" t="s">
        <v>10461</v>
      </c>
      <c r="K1987" s="15">
        <v>44228</v>
      </c>
      <c r="L1987" s="289">
        <v>52</v>
      </c>
      <c r="M1987" s="14">
        <v>44214</v>
      </c>
      <c r="N1987" s="40">
        <v>1</v>
      </c>
      <c r="O1987" s="40">
        <v>30234</v>
      </c>
      <c r="P1987" s="40">
        <v>30234</v>
      </c>
      <c r="Q1987" s="17">
        <f t="shared" si="48"/>
        <v>0</v>
      </c>
      <c r="R1987" s="285" t="s">
        <v>10654</v>
      </c>
      <c r="S1987" s="14">
        <v>44183</v>
      </c>
      <c r="T1987" s="14" t="s">
        <v>10655</v>
      </c>
    </row>
    <row r="1988" spans="1:20" ht="46.5" customHeight="1" x14ac:dyDescent="0.2">
      <c r="A1988" s="21">
        <v>2019</v>
      </c>
      <c r="B1988" s="12" t="s">
        <v>10656</v>
      </c>
      <c r="C1988" s="18"/>
      <c r="D1988" s="9" t="s">
        <v>10653</v>
      </c>
      <c r="E1988" s="289">
        <v>2020</v>
      </c>
      <c r="F1988" s="9" t="s">
        <v>10657</v>
      </c>
      <c r="G1988" s="285" t="s">
        <v>2437</v>
      </c>
      <c r="H1988" s="285" t="s">
        <v>10499</v>
      </c>
      <c r="I1988" s="18"/>
      <c r="J1988" s="14" t="s">
        <v>10461</v>
      </c>
      <c r="K1988" s="15">
        <v>44228</v>
      </c>
      <c r="L1988" s="289">
        <v>56</v>
      </c>
      <c r="M1988" s="14">
        <v>44193</v>
      </c>
      <c r="N1988" s="40">
        <v>1</v>
      </c>
      <c r="O1988" s="40">
        <v>30234</v>
      </c>
      <c r="P1988" s="40">
        <v>30234</v>
      </c>
      <c r="Q1988" s="17">
        <f t="shared" si="48"/>
        <v>0</v>
      </c>
      <c r="R1988" s="285" t="s">
        <v>10654</v>
      </c>
      <c r="S1988" s="14">
        <v>44183</v>
      </c>
      <c r="T1988" s="14" t="s">
        <v>10658</v>
      </c>
    </row>
    <row r="1989" spans="1:20" ht="95.25" customHeight="1" x14ac:dyDescent="0.2">
      <c r="A1989" s="21">
        <v>2020</v>
      </c>
      <c r="B1989" s="12" t="s">
        <v>10670</v>
      </c>
      <c r="C1989" s="18"/>
      <c r="D1989" s="9" t="s">
        <v>2879</v>
      </c>
      <c r="E1989" s="289">
        <v>2020</v>
      </c>
      <c r="F1989" s="9" t="s">
        <v>10671</v>
      </c>
      <c r="G1989" s="285" t="s">
        <v>7464</v>
      </c>
      <c r="H1989" s="285" t="s">
        <v>10499</v>
      </c>
      <c r="I1989" s="18"/>
      <c r="J1989" s="14" t="s">
        <v>10461</v>
      </c>
      <c r="K1989" s="15">
        <v>44235</v>
      </c>
      <c r="L1989" s="289">
        <v>105</v>
      </c>
      <c r="M1989" s="14">
        <v>44195</v>
      </c>
      <c r="N1989" s="40">
        <v>2</v>
      </c>
      <c r="O1989" s="40">
        <v>72738</v>
      </c>
      <c r="P1989" s="40">
        <v>72738</v>
      </c>
      <c r="Q1989" s="17">
        <f t="shared" si="48"/>
        <v>0</v>
      </c>
      <c r="R1989" s="285" t="s">
        <v>10447</v>
      </c>
      <c r="S1989" s="14">
        <v>44188</v>
      </c>
      <c r="T1989" s="14" t="s">
        <v>10672</v>
      </c>
    </row>
    <row r="1990" spans="1:20" ht="27" customHeight="1" x14ac:dyDescent="0.2">
      <c r="A1990" s="21">
        <v>2021</v>
      </c>
      <c r="B1990" s="12" t="s">
        <v>10699</v>
      </c>
      <c r="C1990" s="18"/>
      <c r="D1990" s="9" t="s">
        <v>10700</v>
      </c>
      <c r="E1990" s="289">
        <v>2021</v>
      </c>
      <c r="F1990" s="9" t="s">
        <v>10701</v>
      </c>
      <c r="G1990" s="285" t="s">
        <v>792</v>
      </c>
      <c r="H1990" s="285" t="s">
        <v>10499</v>
      </c>
      <c r="I1990" s="18"/>
      <c r="J1990" s="14" t="s">
        <v>10461</v>
      </c>
      <c r="K1990" s="15">
        <v>44279</v>
      </c>
      <c r="L1990" s="289">
        <v>206</v>
      </c>
      <c r="M1990" s="14">
        <v>44266</v>
      </c>
      <c r="N1990" s="40">
        <v>1</v>
      </c>
      <c r="O1990" s="40">
        <v>87600</v>
      </c>
      <c r="P1990" s="40">
        <v>87600</v>
      </c>
      <c r="Q1990" s="17">
        <f t="shared" si="48"/>
        <v>0</v>
      </c>
      <c r="R1990" s="285" t="s">
        <v>10654</v>
      </c>
      <c r="S1990" s="14">
        <v>44209</v>
      </c>
      <c r="T1990" s="70">
        <v>2</v>
      </c>
    </row>
    <row r="1991" spans="1:20" ht="99.75" customHeight="1" x14ac:dyDescent="0.2">
      <c r="A1991" s="21">
        <v>2022</v>
      </c>
      <c r="B1991" s="12" t="s">
        <v>10707</v>
      </c>
      <c r="C1991" s="18"/>
      <c r="D1991" s="9" t="s">
        <v>10710</v>
      </c>
      <c r="E1991" s="289">
        <v>2021</v>
      </c>
      <c r="F1991" s="9" t="s">
        <v>10708</v>
      </c>
      <c r="G1991" s="285" t="s">
        <v>101</v>
      </c>
      <c r="H1991" s="285" t="s">
        <v>10499</v>
      </c>
      <c r="I1991" s="18"/>
      <c r="J1991" s="14" t="s">
        <v>10461</v>
      </c>
      <c r="K1991" s="15">
        <v>44286</v>
      </c>
      <c r="L1991" s="289">
        <v>223</v>
      </c>
      <c r="M1991" s="14">
        <v>44275</v>
      </c>
      <c r="N1991" s="40">
        <v>2</v>
      </c>
      <c r="O1991" s="40">
        <v>32998</v>
      </c>
      <c r="P1991" s="40">
        <v>32998</v>
      </c>
      <c r="Q1991" s="17">
        <f t="shared" si="48"/>
        <v>0</v>
      </c>
      <c r="R1991" s="285" t="s">
        <v>10480</v>
      </c>
      <c r="S1991" s="14">
        <v>44267</v>
      </c>
      <c r="T1991" s="14" t="s">
        <v>10709</v>
      </c>
    </row>
    <row r="1992" spans="1:20" ht="65.25" customHeight="1" x14ac:dyDescent="0.2">
      <c r="A1992" s="21">
        <v>2023</v>
      </c>
      <c r="B1992" s="12" t="s">
        <v>10711</v>
      </c>
      <c r="C1992" s="18"/>
      <c r="D1992" s="9" t="s">
        <v>3935</v>
      </c>
      <c r="E1992" s="289">
        <v>2021</v>
      </c>
      <c r="F1992" s="9" t="s">
        <v>10712</v>
      </c>
      <c r="G1992" s="285" t="s">
        <v>2436</v>
      </c>
      <c r="H1992" s="285" t="s">
        <v>10499</v>
      </c>
      <c r="I1992" s="18"/>
      <c r="J1992" s="14" t="s">
        <v>10461</v>
      </c>
      <c r="K1992" s="15">
        <v>44288</v>
      </c>
      <c r="L1992" s="289">
        <v>232</v>
      </c>
      <c r="M1992" s="14">
        <v>44245</v>
      </c>
      <c r="N1992" s="40">
        <v>8</v>
      </c>
      <c r="O1992" s="40">
        <v>44176</v>
      </c>
      <c r="P1992" s="40">
        <v>44176</v>
      </c>
      <c r="Q1992" s="17">
        <f t="shared" si="48"/>
        <v>0</v>
      </c>
      <c r="R1992" s="285" t="s">
        <v>10362</v>
      </c>
      <c r="S1992" s="14">
        <v>44144</v>
      </c>
      <c r="T1992" s="70">
        <v>1524</v>
      </c>
    </row>
    <row r="1993" spans="1:20" ht="43.5" customHeight="1" x14ac:dyDescent="0.2">
      <c r="A1993" s="21">
        <v>2024</v>
      </c>
      <c r="B1993" s="12" t="s">
        <v>10715</v>
      </c>
      <c r="C1993" s="18"/>
      <c r="D1993" s="9" t="s">
        <v>10714</v>
      </c>
      <c r="E1993" s="289">
        <v>2021</v>
      </c>
      <c r="F1993" s="9" t="s">
        <v>10713</v>
      </c>
      <c r="G1993" s="285" t="s">
        <v>2436</v>
      </c>
      <c r="H1993" s="285" t="s">
        <v>10499</v>
      </c>
      <c r="I1993" s="18"/>
      <c r="J1993" s="14" t="s">
        <v>10461</v>
      </c>
      <c r="K1993" s="15">
        <v>44288</v>
      </c>
      <c r="L1993" s="289">
        <v>232</v>
      </c>
      <c r="M1993" s="14">
        <v>44245</v>
      </c>
      <c r="N1993" s="40">
        <v>16</v>
      </c>
      <c r="O1993" s="40">
        <v>19632</v>
      </c>
      <c r="P1993" s="40">
        <v>19632</v>
      </c>
      <c r="Q1993" s="17">
        <f t="shared" si="48"/>
        <v>0</v>
      </c>
      <c r="R1993" s="285" t="s">
        <v>10362</v>
      </c>
      <c r="S1993" s="14">
        <v>44144</v>
      </c>
      <c r="T1993" s="70">
        <v>1524</v>
      </c>
    </row>
    <row r="1994" spans="1:20" ht="43.5" customHeight="1" x14ac:dyDescent="0.2">
      <c r="A1994" s="21">
        <v>2025</v>
      </c>
      <c r="B1994" s="12" t="s">
        <v>10716</v>
      </c>
      <c r="C1994" s="18"/>
      <c r="D1994" s="9" t="s">
        <v>10717</v>
      </c>
      <c r="E1994" s="289">
        <v>2021</v>
      </c>
      <c r="F1994" s="9"/>
      <c r="G1994" s="285" t="s">
        <v>2436</v>
      </c>
      <c r="H1994" s="285" t="s">
        <v>10499</v>
      </c>
      <c r="I1994" s="18"/>
      <c r="J1994" s="14" t="s">
        <v>10461</v>
      </c>
      <c r="K1994" s="15">
        <v>44288</v>
      </c>
      <c r="L1994" s="289">
        <v>232</v>
      </c>
      <c r="M1994" s="14">
        <v>44245</v>
      </c>
      <c r="N1994" s="40">
        <v>8</v>
      </c>
      <c r="O1994" s="40">
        <v>109424</v>
      </c>
      <c r="P1994" s="40">
        <v>109424</v>
      </c>
      <c r="Q1994" s="17">
        <f t="shared" si="48"/>
        <v>0</v>
      </c>
      <c r="R1994" s="285" t="s">
        <v>10362</v>
      </c>
      <c r="S1994" s="14">
        <v>44144</v>
      </c>
      <c r="T1994" s="70">
        <v>1524</v>
      </c>
    </row>
    <row r="1995" spans="1:20" ht="43.5" customHeight="1" x14ac:dyDescent="0.2">
      <c r="A1995" s="21">
        <v>2026</v>
      </c>
      <c r="B1995" s="12" t="s">
        <v>10718</v>
      </c>
      <c r="C1995" s="18"/>
      <c r="D1995" s="9" t="s">
        <v>10719</v>
      </c>
      <c r="E1995" s="289">
        <v>2021</v>
      </c>
      <c r="F1995" s="9"/>
      <c r="G1995" s="285" t="s">
        <v>2436</v>
      </c>
      <c r="H1995" s="285" t="s">
        <v>10499</v>
      </c>
      <c r="I1995" s="18"/>
      <c r="J1995" s="14" t="s">
        <v>10461</v>
      </c>
      <c r="K1995" s="15">
        <v>44288</v>
      </c>
      <c r="L1995" s="289">
        <v>232</v>
      </c>
      <c r="M1995" s="14">
        <v>44245</v>
      </c>
      <c r="N1995" s="40">
        <v>16</v>
      </c>
      <c r="O1995" s="40">
        <v>127200</v>
      </c>
      <c r="P1995" s="40">
        <v>127200</v>
      </c>
      <c r="Q1995" s="17">
        <f t="shared" si="48"/>
        <v>0</v>
      </c>
      <c r="R1995" s="285" t="s">
        <v>10362</v>
      </c>
      <c r="S1995" s="14">
        <v>44144</v>
      </c>
      <c r="T1995" s="70">
        <v>1524</v>
      </c>
    </row>
    <row r="1996" spans="1:20" ht="43.5" customHeight="1" x14ac:dyDescent="0.2">
      <c r="A1996" s="21">
        <v>2027</v>
      </c>
      <c r="B1996" s="12" t="s">
        <v>10742</v>
      </c>
      <c r="C1996" s="18"/>
      <c r="D1996" s="9" t="s">
        <v>10726</v>
      </c>
      <c r="E1996" s="289">
        <v>2021</v>
      </c>
      <c r="F1996" s="27" t="s">
        <v>10727</v>
      </c>
      <c r="G1996" s="285" t="s">
        <v>2437</v>
      </c>
      <c r="H1996" s="285" t="s">
        <v>10499</v>
      </c>
      <c r="I1996" s="289"/>
      <c r="J1996" s="14" t="s">
        <v>10461</v>
      </c>
      <c r="K1996" s="14" t="s">
        <v>10740</v>
      </c>
      <c r="L1996" s="289" t="s">
        <v>10739</v>
      </c>
      <c r="M1996" s="14">
        <v>44245</v>
      </c>
      <c r="N1996" s="40">
        <v>2</v>
      </c>
      <c r="O1996" s="40">
        <v>10140</v>
      </c>
      <c r="P1996" s="40">
        <v>10140</v>
      </c>
      <c r="Q1996" s="17">
        <f t="shared" ref="Q1996:Q2016" si="49">O1996-P1996</f>
        <v>0</v>
      </c>
      <c r="R1996" s="285" t="s">
        <v>10362</v>
      </c>
      <c r="S1996" s="14">
        <v>44174</v>
      </c>
      <c r="T1996" s="70">
        <v>1676</v>
      </c>
    </row>
    <row r="1997" spans="1:20" ht="51.75" customHeight="1" x14ac:dyDescent="0.2">
      <c r="A1997" s="21">
        <v>2028</v>
      </c>
      <c r="B1997" s="12" t="s">
        <v>10743</v>
      </c>
      <c r="C1997" s="18"/>
      <c r="D1997" s="9" t="s">
        <v>10733</v>
      </c>
      <c r="E1997" s="289">
        <v>2021</v>
      </c>
      <c r="F1997" s="27" t="s">
        <v>10734</v>
      </c>
      <c r="G1997" s="285" t="s">
        <v>2437</v>
      </c>
      <c r="H1997" s="285" t="s">
        <v>10499</v>
      </c>
      <c r="I1997" s="289"/>
      <c r="J1997" s="14" t="s">
        <v>10461</v>
      </c>
      <c r="K1997" s="14" t="s">
        <v>10745</v>
      </c>
      <c r="L1997" s="285" t="s">
        <v>10744</v>
      </c>
      <c r="M1997" s="14">
        <v>44245</v>
      </c>
      <c r="N1997" s="40">
        <v>1</v>
      </c>
      <c r="O1997" s="40">
        <v>55869.3</v>
      </c>
      <c r="P1997" s="40">
        <v>55869.3</v>
      </c>
      <c r="Q1997" s="17">
        <f t="shared" si="49"/>
        <v>0</v>
      </c>
      <c r="R1997" s="285" t="s">
        <v>10362</v>
      </c>
      <c r="S1997" s="14">
        <v>44217</v>
      </c>
      <c r="T1997" s="70">
        <v>65</v>
      </c>
    </row>
    <row r="1998" spans="1:20" ht="43.5" customHeight="1" x14ac:dyDescent="0.2">
      <c r="A1998" s="21">
        <v>2029</v>
      </c>
      <c r="B1998" s="12" t="s">
        <v>10736</v>
      </c>
      <c r="C1998" s="18"/>
      <c r="D1998" s="9" t="s">
        <v>10733</v>
      </c>
      <c r="E1998" s="289">
        <v>2021</v>
      </c>
      <c r="F1998" s="27" t="s">
        <v>10732</v>
      </c>
      <c r="G1998" s="285" t="s">
        <v>258</v>
      </c>
      <c r="H1998" s="285" t="s">
        <v>10499</v>
      </c>
      <c r="I1998" s="289"/>
      <c r="J1998" s="14" t="s">
        <v>10461</v>
      </c>
      <c r="K1998" s="14" t="s">
        <v>10737</v>
      </c>
      <c r="L1998" s="289" t="s">
        <v>10738</v>
      </c>
      <c r="M1998" s="14">
        <v>44245</v>
      </c>
      <c r="N1998" s="40">
        <v>1</v>
      </c>
      <c r="O1998" s="40">
        <v>74735.31</v>
      </c>
      <c r="P1998" s="40">
        <v>74735.31</v>
      </c>
      <c r="Q1998" s="17">
        <f t="shared" si="49"/>
        <v>0</v>
      </c>
      <c r="R1998" s="285" t="s">
        <v>10362</v>
      </c>
      <c r="S1998" s="14">
        <v>44217</v>
      </c>
      <c r="T1998" s="70">
        <v>65</v>
      </c>
    </row>
    <row r="1999" spans="1:20" ht="50.25" customHeight="1" x14ac:dyDescent="0.2">
      <c r="A1999" s="21">
        <v>2030</v>
      </c>
      <c r="B1999" s="12" t="s">
        <v>10735</v>
      </c>
      <c r="C1999" s="18"/>
      <c r="D1999" s="9" t="s">
        <v>10728</v>
      </c>
      <c r="E1999" s="289">
        <v>2021</v>
      </c>
      <c r="F1999" s="27"/>
      <c r="G1999" s="285" t="s">
        <v>258</v>
      </c>
      <c r="H1999" s="285" t="s">
        <v>10499</v>
      </c>
      <c r="I1999" s="289"/>
      <c r="J1999" s="14" t="s">
        <v>10461</v>
      </c>
      <c r="K1999" s="14" t="s">
        <v>10737</v>
      </c>
      <c r="L1999" s="289" t="s">
        <v>10738</v>
      </c>
      <c r="M1999" s="14">
        <v>44245</v>
      </c>
      <c r="N1999" s="40">
        <v>1</v>
      </c>
      <c r="O1999" s="40">
        <v>43020</v>
      </c>
      <c r="P1999" s="40">
        <v>43020</v>
      </c>
      <c r="Q1999" s="17">
        <f t="shared" si="49"/>
        <v>0</v>
      </c>
      <c r="R1999" s="285" t="s">
        <v>10362</v>
      </c>
      <c r="S1999" s="14">
        <v>44239</v>
      </c>
      <c r="T1999" s="70">
        <v>194</v>
      </c>
    </row>
    <row r="2000" spans="1:20" ht="54" customHeight="1" x14ac:dyDescent="0.2">
      <c r="A2000" s="21">
        <v>2031</v>
      </c>
      <c r="B2000" s="12" t="s">
        <v>10762</v>
      </c>
      <c r="C2000" s="18"/>
      <c r="D2000" s="9" t="s">
        <v>10733</v>
      </c>
      <c r="E2000" s="289">
        <v>2021</v>
      </c>
      <c r="F2000" s="27" t="s">
        <v>10734</v>
      </c>
      <c r="G2000" s="285" t="s">
        <v>2436</v>
      </c>
      <c r="H2000" s="285" t="s">
        <v>10499</v>
      </c>
      <c r="I2000" s="289"/>
      <c r="J2000" s="14" t="s">
        <v>10461</v>
      </c>
      <c r="K2000" s="14" t="s">
        <v>10747</v>
      </c>
      <c r="L2000" s="285" t="s">
        <v>10746</v>
      </c>
      <c r="M2000" s="14">
        <v>44245</v>
      </c>
      <c r="N2000" s="40">
        <v>1</v>
      </c>
      <c r="O2000" s="40">
        <v>55869.3</v>
      </c>
      <c r="P2000" s="40">
        <v>55869.3</v>
      </c>
      <c r="Q2000" s="17">
        <f t="shared" si="49"/>
        <v>0</v>
      </c>
      <c r="R2000" s="285" t="s">
        <v>10362</v>
      </c>
      <c r="S2000" s="14">
        <v>44217</v>
      </c>
      <c r="T2000" s="70">
        <v>65</v>
      </c>
    </row>
    <row r="2001" spans="1:20" ht="54" customHeight="1" x14ac:dyDescent="0.2">
      <c r="A2001" s="21">
        <v>2032</v>
      </c>
      <c r="B2001" s="12" t="s">
        <v>10765</v>
      </c>
      <c r="C2001" s="18"/>
      <c r="D2001" s="9" t="s">
        <v>9783</v>
      </c>
      <c r="E2001" s="289">
        <v>2021</v>
      </c>
      <c r="F2001" s="27"/>
      <c r="G2001" s="285" t="s">
        <v>258</v>
      </c>
      <c r="H2001" s="285" t="s">
        <v>10499</v>
      </c>
      <c r="I2001" s="289"/>
      <c r="J2001" s="14" t="s">
        <v>10461</v>
      </c>
      <c r="K2001" s="14">
        <v>44328</v>
      </c>
      <c r="L2001" s="285">
        <v>347</v>
      </c>
      <c r="M2001" s="14">
        <v>44291</v>
      </c>
      <c r="N2001" s="40">
        <v>1</v>
      </c>
      <c r="O2001" s="40">
        <v>36822.47</v>
      </c>
      <c r="P2001" s="40">
        <v>36822.47</v>
      </c>
      <c r="Q2001" s="17">
        <f t="shared" si="49"/>
        <v>0</v>
      </c>
      <c r="R2001" s="285" t="s">
        <v>10362</v>
      </c>
      <c r="S2001" s="14">
        <v>44245</v>
      </c>
      <c r="T2001" s="70">
        <v>216</v>
      </c>
    </row>
    <row r="2002" spans="1:20" ht="50.25" customHeight="1" x14ac:dyDescent="0.2">
      <c r="A2002" s="21">
        <v>2033</v>
      </c>
      <c r="B2002" s="12" t="s">
        <v>10766</v>
      </c>
      <c r="C2002" s="18"/>
      <c r="D2002" s="9" t="s">
        <v>9782</v>
      </c>
      <c r="E2002" s="289">
        <v>2021</v>
      </c>
      <c r="F2002" s="27"/>
      <c r="G2002" s="285" t="s">
        <v>258</v>
      </c>
      <c r="H2002" s="285" t="s">
        <v>10499</v>
      </c>
      <c r="I2002" s="289"/>
      <c r="J2002" s="14" t="s">
        <v>10461</v>
      </c>
      <c r="K2002" s="14">
        <v>44328</v>
      </c>
      <c r="L2002" s="285">
        <v>347</v>
      </c>
      <c r="M2002" s="14">
        <v>44291</v>
      </c>
      <c r="N2002" s="40">
        <v>1</v>
      </c>
      <c r="O2002" s="40">
        <v>3281.96</v>
      </c>
      <c r="P2002" s="40">
        <v>3281.96</v>
      </c>
      <c r="Q2002" s="17">
        <f t="shared" si="49"/>
        <v>0</v>
      </c>
      <c r="R2002" s="285" t="s">
        <v>10362</v>
      </c>
      <c r="S2002" s="14">
        <v>44245</v>
      </c>
      <c r="T2002" s="70">
        <v>216</v>
      </c>
    </row>
    <row r="2003" spans="1:20" ht="50.25" customHeight="1" x14ac:dyDescent="0.2">
      <c r="A2003" s="21">
        <v>2034</v>
      </c>
      <c r="B2003" s="12" t="s">
        <v>10767</v>
      </c>
      <c r="C2003" s="18"/>
      <c r="D2003" s="9" t="s">
        <v>10768</v>
      </c>
      <c r="E2003" s="289">
        <v>2021</v>
      </c>
      <c r="F2003" s="27"/>
      <c r="G2003" s="285" t="s">
        <v>258</v>
      </c>
      <c r="H2003" s="285" t="s">
        <v>10499</v>
      </c>
      <c r="I2003" s="289"/>
      <c r="J2003" s="14" t="s">
        <v>10461</v>
      </c>
      <c r="K2003" s="14">
        <v>44328</v>
      </c>
      <c r="L2003" s="285">
        <v>347</v>
      </c>
      <c r="M2003" s="14">
        <v>44291</v>
      </c>
      <c r="N2003" s="40">
        <v>1</v>
      </c>
      <c r="O2003" s="40">
        <v>112806.15</v>
      </c>
      <c r="P2003" s="40">
        <v>54522.9</v>
      </c>
      <c r="Q2003" s="17">
        <f t="shared" si="49"/>
        <v>58283.249999999993</v>
      </c>
      <c r="R2003" s="285" t="s">
        <v>10362</v>
      </c>
      <c r="S2003" s="14">
        <v>44245</v>
      </c>
      <c r="T2003" s="70">
        <v>216</v>
      </c>
    </row>
    <row r="2004" spans="1:20" ht="50.25" customHeight="1" x14ac:dyDescent="0.2">
      <c r="A2004" s="21">
        <v>2035</v>
      </c>
      <c r="B2004" s="12" t="s">
        <v>10778</v>
      </c>
      <c r="C2004" s="18"/>
      <c r="D2004" s="9" t="s">
        <v>10779</v>
      </c>
      <c r="E2004" s="289">
        <v>2021</v>
      </c>
      <c r="F2004" s="27" t="s">
        <v>10780</v>
      </c>
      <c r="G2004" s="285" t="s">
        <v>7980</v>
      </c>
      <c r="H2004" s="285" t="s">
        <v>10499</v>
      </c>
      <c r="I2004" s="289"/>
      <c r="J2004" s="14" t="s">
        <v>10461</v>
      </c>
      <c r="K2004" s="14">
        <v>44340</v>
      </c>
      <c r="L2004" s="285">
        <v>387</v>
      </c>
      <c r="M2004" s="14">
        <v>44330</v>
      </c>
      <c r="N2004" s="40">
        <v>1</v>
      </c>
      <c r="O2004" s="40">
        <v>19999</v>
      </c>
      <c r="P2004" s="40">
        <v>19999</v>
      </c>
      <c r="Q2004" s="17">
        <f t="shared" si="49"/>
        <v>0</v>
      </c>
      <c r="R2004" s="285" t="s">
        <v>10563</v>
      </c>
      <c r="S2004" s="14">
        <v>44312</v>
      </c>
      <c r="T2004" s="70" t="s">
        <v>10781</v>
      </c>
    </row>
    <row r="2005" spans="1:20" ht="50.25" customHeight="1" x14ac:dyDescent="0.2">
      <c r="A2005" s="21">
        <v>2036</v>
      </c>
      <c r="B2005" s="12" t="s">
        <v>10787</v>
      </c>
      <c r="C2005" s="18"/>
      <c r="D2005" s="9" t="s">
        <v>10789</v>
      </c>
      <c r="E2005" s="289">
        <v>2021</v>
      </c>
      <c r="F2005" s="27" t="s">
        <v>10789</v>
      </c>
      <c r="G2005" s="285" t="s">
        <v>7983</v>
      </c>
      <c r="H2005" s="285" t="s">
        <v>5127</v>
      </c>
      <c r="I2005" s="289"/>
      <c r="J2005" s="14" t="s">
        <v>10461</v>
      </c>
      <c r="K2005" s="14">
        <v>44355</v>
      </c>
      <c r="L2005" s="285">
        <v>433</v>
      </c>
      <c r="M2005" s="14">
        <v>44351</v>
      </c>
      <c r="N2005" s="40">
        <v>2</v>
      </c>
      <c r="O2005" s="40">
        <v>55100</v>
      </c>
      <c r="P2005" s="40">
        <v>55100</v>
      </c>
      <c r="Q2005" s="17">
        <f t="shared" si="49"/>
        <v>0</v>
      </c>
      <c r="R2005" s="285" t="s">
        <v>10456</v>
      </c>
      <c r="S2005" s="14">
        <v>44348</v>
      </c>
      <c r="T2005" s="70" t="s">
        <v>10788</v>
      </c>
    </row>
    <row r="2006" spans="1:20" ht="50.25" customHeight="1" x14ac:dyDescent="0.2">
      <c r="A2006" s="21">
        <v>2037</v>
      </c>
      <c r="B2006" s="12" t="s">
        <v>10825</v>
      </c>
      <c r="C2006" s="18"/>
      <c r="D2006" s="9" t="s">
        <v>4393</v>
      </c>
      <c r="E2006" s="289">
        <v>2021</v>
      </c>
      <c r="F2006" s="27" t="s">
        <v>10827</v>
      </c>
      <c r="G2006" s="285" t="s">
        <v>4296</v>
      </c>
      <c r="H2006" s="285" t="s">
        <v>10494</v>
      </c>
      <c r="I2006" s="289"/>
      <c r="J2006" s="14" t="s">
        <v>10461</v>
      </c>
      <c r="K2006" s="14">
        <v>44368</v>
      </c>
      <c r="L2006" s="285">
        <v>445</v>
      </c>
      <c r="M2006" s="14">
        <v>44340</v>
      </c>
      <c r="N2006" s="40">
        <v>1</v>
      </c>
      <c r="O2006" s="40">
        <v>37833.33</v>
      </c>
      <c r="P2006" s="40">
        <v>37833.33</v>
      </c>
      <c r="Q2006" s="17">
        <f t="shared" si="49"/>
        <v>0</v>
      </c>
      <c r="R2006" s="285" t="s">
        <v>10501</v>
      </c>
      <c r="S2006" s="14">
        <v>44298</v>
      </c>
      <c r="T2006" s="70" t="s">
        <v>10826</v>
      </c>
    </row>
    <row r="2007" spans="1:20" ht="50.25" customHeight="1" x14ac:dyDescent="0.2">
      <c r="A2007" s="21">
        <v>2038</v>
      </c>
      <c r="B2007" s="12" t="s">
        <v>10828</v>
      </c>
      <c r="C2007" s="18"/>
      <c r="D2007" s="9" t="s">
        <v>10830</v>
      </c>
      <c r="E2007" s="289">
        <v>2021</v>
      </c>
      <c r="F2007" s="27" t="s">
        <v>10829</v>
      </c>
      <c r="G2007" s="285" t="s">
        <v>4296</v>
      </c>
      <c r="H2007" s="285" t="s">
        <v>10494</v>
      </c>
      <c r="I2007" s="289"/>
      <c r="J2007" s="14" t="s">
        <v>10461</v>
      </c>
      <c r="K2007" s="14">
        <v>44368</v>
      </c>
      <c r="L2007" s="285">
        <v>445</v>
      </c>
      <c r="M2007" s="14">
        <v>44334</v>
      </c>
      <c r="N2007" s="40">
        <v>1</v>
      </c>
      <c r="O2007" s="40">
        <v>34200</v>
      </c>
      <c r="P2007" s="40">
        <v>34200</v>
      </c>
      <c r="Q2007" s="17">
        <f t="shared" si="49"/>
        <v>0</v>
      </c>
      <c r="R2007" s="285" t="s">
        <v>10501</v>
      </c>
      <c r="S2007" s="14">
        <v>44301</v>
      </c>
      <c r="T2007" s="70" t="s">
        <v>10831</v>
      </c>
    </row>
    <row r="2008" spans="1:20" ht="50.25" customHeight="1" x14ac:dyDescent="0.2">
      <c r="A2008" s="21">
        <v>2039</v>
      </c>
      <c r="B2008" s="12" t="s">
        <v>10832</v>
      </c>
      <c r="C2008" s="18"/>
      <c r="D2008" s="9" t="s">
        <v>10833</v>
      </c>
      <c r="E2008" s="289">
        <v>2021</v>
      </c>
      <c r="F2008" s="27" t="s">
        <v>10834</v>
      </c>
      <c r="G2008" s="285" t="s">
        <v>4296</v>
      </c>
      <c r="H2008" s="285" t="s">
        <v>10494</v>
      </c>
      <c r="I2008" s="289"/>
      <c r="J2008" s="14" t="s">
        <v>10461</v>
      </c>
      <c r="K2008" s="14">
        <v>44368</v>
      </c>
      <c r="L2008" s="285">
        <v>445</v>
      </c>
      <c r="M2008" s="14">
        <v>44334</v>
      </c>
      <c r="N2008" s="40">
        <v>1</v>
      </c>
      <c r="O2008" s="40">
        <v>13740</v>
      </c>
      <c r="P2008" s="40">
        <v>13740</v>
      </c>
      <c r="Q2008" s="17">
        <f t="shared" si="49"/>
        <v>0</v>
      </c>
      <c r="R2008" s="285" t="s">
        <v>10501</v>
      </c>
      <c r="S2008" s="14">
        <v>44301</v>
      </c>
      <c r="T2008" s="70" t="s">
        <v>10831</v>
      </c>
    </row>
    <row r="2009" spans="1:20" ht="50.25" customHeight="1" x14ac:dyDescent="0.2">
      <c r="A2009" s="21">
        <v>2040</v>
      </c>
      <c r="B2009" s="12" t="s">
        <v>10835</v>
      </c>
      <c r="C2009" s="18"/>
      <c r="D2009" s="9" t="s">
        <v>10836</v>
      </c>
      <c r="E2009" s="289">
        <v>2021</v>
      </c>
      <c r="F2009" s="27" t="s">
        <v>10837</v>
      </c>
      <c r="G2009" s="285" t="s">
        <v>4296</v>
      </c>
      <c r="H2009" s="285" t="s">
        <v>10494</v>
      </c>
      <c r="I2009" s="289"/>
      <c r="J2009" s="14" t="s">
        <v>10461</v>
      </c>
      <c r="K2009" s="14">
        <v>44368</v>
      </c>
      <c r="L2009" s="285">
        <v>445</v>
      </c>
      <c r="M2009" s="14">
        <v>44337</v>
      </c>
      <c r="N2009" s="40">
        <v>1</v>
      </c>
      <c r="O2009" s="40">
        <v>23185</v>
      </c>
      <c r="P2009" s="40">
        <v>23185</v>
      </c>
      <c r="Q2009" s="17">
        <f t="shared" si="49"/>
        <v>0</v>
      </c>
      <c r="R2009" s="285" t="s">
        <v>10501</v>
      </c>
      <c r="S2009" s="14">
        <v>44301</v>
      </c>
      <c r="T2009" s="70" t="s">
        <v>10838</v>
      </c>
    </row>
    <row r="2010" spans="1:20" ht="50.25" customHeight="1" x14ac:dyDescent="0.2">
      <c r="A2010" s="21">
        <v>2041</v>
      </c>
      <c r="B2010" s="12" t="s">
        <v>10841</v>
      </c>
      <c r="C2010" s="18"/>
      <c r="D2010" s="9" t="s">
        <v>10839</v>
      </c>
      <c r="E2010" s="289">
        <v>2021</v>
      </c>
      <c r="F2010" s="27" t="s">
        <v>10840</v>
      </c>
      <c r="G2010" s="285" t="s">
        <v>4296</v>
      </c>
      <c r="H2010" s="285" t="s">
        <v>10494</v>
      </c>
      <c r="I2010" s="289"/>
      <c r="J2010" s="14" t="s">
        <v>10461</v>
      </c>
      <c r="K2010" s="14">
        <v>44368</v>
      </c>
      <c r="L2010" s="285">
        <v>445</v>
      </c>
      <c r="M2010" s="14">
        <v>44337</v>
      </c>
      <c r="N2010" s="40">
        <v>1</v>
      </c>
      <c r="O2010" s="40">
        <v>15900</v>
      </c>
      <c r="P2010" s="40">
        <v>15900</v>
      </c>
      <c r="Q2010" s="17">
        <f t="shared" si="49"/>
        <v>0</v>
      </c>
      <c r="R2010" s="285" t="s">
        <v>10501</v>
      </c>
      <c r="S2010" s="14">
        <v>44301</v>
      </c>
      <c r="T2010" s="70" t="s">
        <v>10838</v>
      </c>
    </row>
    <row r="2011" spans="1:20" ht="50.25" customHeight="1" x14ac:dyDescent="0.2">
      <c r="A2011" s="21">
        <v>2042</v>
      </c>
      <c r="B2011" s="12" t="s">
        <v>11050</v>
      </c>
      <c r="C2011" s="18"/>
      <c r="D2011" s="9" t="s">
        <v>10844</v>
      </c>
      <c r="E2011" s="289">
        <v>2021</v>
      </c>
      <c r="F2011" s="27"/>
      <c r="G2011" s="285" t="s">
        <v>2436</v>
      </c>
      <c r="H2011" s="285" t="s">
        <v>10499</v>
      </c>
      <c r="I2011" s="289"/>
      <c r="J2011" s="14" t="s">
        <v>10461</v>
      </c>
      <c r="K2011" s="14" t="s">
        <v>11051</v>
      </c>
      <c r="L2011" s="285" t="s">
        <v>11052</v>
      </c>
      <c r="M2011" s="14">
        <v>44365</v>
      </c>
      <c r="N2011" s="40">
        <v>1</v>
      </c>
      <c r="O2011" s="40">
        <v>44675.5</v>
      </c>
      <c r="P2011" s="40">
        <v>44675.5</v>
      </c>
      <c r="Q2011" s="17">
        <f t="shared" si="49"/>
        <v>0</v>
      </c>
      <c r="R2011" s="285" t="s">
        <v>10874</v>
      </c>
      <c r="S2011" s="14" t="s">
        <v>10875</v>
      </c>
      <c r="T2011" s="70" t="s">
        <v>10876</v>
      </c>
    </row>
    <row r="2012" spans="1:20" ht="50.25" customHeight="1" x14ac:dyDescent="0.2">
      <c r="A2012" s="21">
        <v>2043</v>
      </c>
      <c r="B2012" s="12" t="s">
        <v>10930</v>
      </c>
      <c r="C2012" s="18"/>
      <c r="D2012" s="9" t="s">
        <v>10847</v>
      </c>
      <c r="E2012" s="289">
        <v>2021</v>
      </c>
      <c r="F2012" s="27"/>
      <c r="G2012" s="285" t="s">
        <v>2437</v>
      </c>
      <c r="H2012" s="285" t="s">
        <v>10499</v>
      </c>
      <c r="I2012" s="289"/>
      <c r="J2012" s="14" t="s">
        <v>10461</v>
      </c>
      <c r="K2012" s="14" t="s">
        <v>10926</v>
      </c>
      <c r="L2012" s="285" t="s">
        <v>10927</v>
      </c>
      <c r="M2012" s="14">
        <v>44365</v>
      </c>
      <c r="N2012" s="40">
        <v>1</v>
      </c>
      <c r="O2012" s="40">
        <v>112184.5</v>
      </c>
      <c r="P2012" s="40">
        <v>29915.84</v>
      </c>
      <c r="Q2012" s="17">
        <f t="shared" si="49"/>
        <v>82268.66</v>
      </c>
      <c r="R2012" s="285" t="s">
        <v>10874</v>
      </c>
      <c r="S2012" s="14" t="s">
        <v>10875</v>
      </c>
      <c r="T2012" s="70" t="s">
        <v>10876</v>
      </c>
    </row>
    <row r="2013" spans="1:20" ht="50.25" customHeight="1" x14ac:dyDescent="0.2">
      <c r="A2013" s="21">
        <v>2044</v>
      </c>
      <c r="B2013" s="12" t="s">
        <v>10925</v>
      </c>
      <c r="C2013" s="18"/>
      <c r="D2013" s="9" t="s">
        <v>10848</v>
      </c>
      <c r="E2013" s="289">
        <v>2021</v>
      </c>
      <c r="F2013" s="27"/>
      <c r="G2013" s="285" t="s">
        <v>2437</v>
      </c>
      <c r="H2013" s="285" t="s">
        <v>10499</v>
      </c>
      <c r="I2013" s="289"/>
      <c r="J2013" s="14" t="s">
        <v>10461</v>
      </c>
      <c r="K2013" s="14" t="s">
        <v>10926</v>
      </c>
      <c r="L2013" s="285" t="s">
        <v>10927</v>
      </c>
      <c r="M2013" s="14">
        <v>44365</v>
      </c>
      <c r="N2013" s="40">
        <v>1</v>
      </c>
      <c r="O2013" s="40">
        <v>82500</v>
      </c>
      <c r="P2013" s="40">
        <v>82500</v>
      </c>
      <c r="Q2013" s="17">
        <f t="shared" si="49"/>
        <v>0</v>
      </c>
      <c r="R2013" s="285" t="s">
        <v>10874</v>
      </c>
      <c r="S2013" s="14" t="s">
        <v>10875</v>
      </c>
      <c r="T2013" s="70" t="s">
        <v>10876</v>
      </c>
    </row>
    <row r="2014" spans="1:20" ht="50.25" customHeight="1" x14ac:dyDescent="0.2">
      <c r="A2014" s="21">
        <v>2045</v>
      </c>
      <c r="B2014" s="12" t="s">
        <v>11028</v>
      </c>
      <c r="C2014" s="18"/>
      <c r="D2014" s="9" t="s">
        <v>10849</v>
      </c>
      <c r="E2014" s="289">
        <v>2021</v>
      </c>
      <c r="F2014" s="27"/>
      <c r="G2014" s="285" t="s">
        <v>2437</v>
      </c>
      <c r="H2014" s="285" t="s">
        <v>10499</v>
      </c>
      <c r="I2014" s="289"/>
      <c r="J2014" s="14" t="s">
        <v>10461</v>
      </c>
      <c r="K2014" s="14" t="s">
        <v>11030</v>
      </c>
      <c r="L2014" s="285" t="s">
        <v>11029</v>
      </c>
      <c r="M2014" s="14">
        <v>44365</v>
      </c>
      <c r="N2014" s="40">
        <v>3</v>
      </c>
      <c r="O2014" s="40">
        <v>44286</v>
      </c>
      <c r="P2014" s="40">
        <v>44286</v>
      </c>
      <c r="Q2014" s="17">
        <f t="shared" si="49"/>
        <v>0</v>
      </c>
      <c r="R2014" s="285" t="s">
        <v>10874</v>
      </c>
      <c r="S2014" s="14" t="s">
        <v>10875</v>
      </c>
      <c r="T2014" s="70" t="s">
        <v>10876</v>
      </c>
    </row>
    <row r="2015" spans="1:20" ht="50.25" customHeight="1" x14ac:dyDescent="0.2">
      <c r="A2015" s="21">
        <v>2046</v>
      </c>
      <c r="B2015" s="12" t="s">
        <v>10850</v>
      </c>
      <c r="C2015" s="18"/>
      <c r="D2015" s="9" t="s">
        <v>10851</v>
      </c>
      <c r="E2015" s="289">
        <v>2021</v>
      </c>
      <c r="F2015" s="27" t="s">
        <v>10868</v>
      </c>
      <c r="G2015" s="285" t="s">
        <v>4296</v>
      </c>
      <c r="H2015" s="285" t="s">
        <v>10494</v>
      </c>
      <c r="I2015" s="289"/>
      <c r="J2015" s="14" t="s">
        <v>10461</v>
      </c>
      <c r="K2015" s="14">
        <v>44369</v>
      </c>
      <c r="L2015" s="285">
        <v>466</v>
      </c>
      <c r="M2015" s="14">
        <v>44355</v>
      </c>
      <c r="N2015" s="40">
        <v>2</v>
      </c>
      <c r="O2015" s="40">
        <v>66036</v>
      </c>
      <c r="P2015" s="40">
        <v>66036</v>
      </c>
      <c r="Q2015" s="17">
        <f t="shared" si="49"/>
        <v>0</v>
      </c>
      <c r="R2015" s="285" t="s">
        <v>10501</v>
      </c>
      <c r="S2015" s="14">
        <v>44335</v>
      </c>
      <c r="T2015" s="70" t="s">
        <v>10870</v>
      </c>
    </row>
    <row r="2016" spans="1:20" ht="50.25" customHeight="1" x14ac:dyDescent="0.2">
      <c r="A2016" s="21">
        <v>2047</v>
      </c>
      <c r="B2016" s="12" t="s">
        <v>10853</v>
      </c>
      <c r="C2016" s="18"/>
      <c r="D2016" s="9" t="s">
        <v>10852</v>
      </c>
      <c r="E2016" s="289">
        <v>2021</v>
      </c>
      <c r="F2016" s="27" t="s">
        <v>10869</v>
      </c>
      <c r="G2016" s="285" t="s">
        <v>4296</v>
      </c>
      <c r="H2016" s="285" t="s">
        <v>10494</v>
      </c>
      <c r="I2016" s="289"/>
      <c r="J2016" s="14" t="s">
        <v>10461</v>
      </c>
      <c r="K2016" s="14">
        <v>44369</v>
      </c>
      <c r="L2016" s="285">
        <v>466</v>
      </c>
      <c r="M2016" s="14">
        <v>44355</v>
      </c>
      <c r="N2016" s="40">
        <v>1</v>
      </c>
      <c r="O2016" s="40">
        <v>30500</v>
      </c>
      <c r="P2016" s="40">
        <v>30500</v>
      </c>
      <c r="Q2016" s="17">
        <f t="shared" si="49"/>
        <v>0</v>
      </c>
      <c r="R2016" s="285" t="s">
        <v>10501</v>
      </c>
      <c r="S2016" s="14">
        <v>44335</v>
      </c>
      <c r="T2016" s="70" t="s">
        <v>10870</v>
      </c>
    </row>
    <row r="2017" spans="1:20" ht="62.25" customHeight="1" x14ac:dyDescent="0.2">
      <c r="A2017" s="21">
        <v>2048</v>
      </c>
      <c r="B2017" s="12" t="s">
        <v>10854</v>
      </c>
      <c r="C2017" s="18"/>
      <c r="D2017" s="9" t="s">
        <v>10855</v>
      </c>
      <c r="E2017" s="289">
        <v>2021</v>
      </c>
      <c r="F2017" s="27" t="s">
        <v>10871</v>
      </c>
      <c r="G2017" s="285" t="s">
        <v>6266</v>
      </c>
      <c r="H2017" s="285" t="s">
        <v>5127</v>
      </c>
      <c r="I2017" s="289"/>
      <c r="J2017" s="14" t="s">
        <v>10461</v>
      </c>
      <c r="K2017" s="14">
        <v>44369</v>
      </c>
      <c r="L2017" s="285">
        <v>462</v>
      </c>
      <c r="M2017" s="14">
        <v>44344</v>
      </c>
      <c r="N2017" s="40">
        <v>1</v>
      </c>
      <c r="O2017" s="40">
        <v>25600</v>
      </c>
      <c r="P2017" s="40">
        <v>25600</v>
      </c>
      <c r="Q2017" s="17">
        <v>0</v>
      </c>
      <c r="R2017" s="285" t="s">
        <v>10447</v>
      </c>
      <c r="S2017" s="14">
        <v>44344</v>
      </c>
      <c r="T2017" s="70" t="s">
        <v>10872</v>
      </c>
    </row>
    <row r="2018" spans="1:20" ht="61.5" customHeight="1" x14ac:dyDescent="0.2">
      <c r="A2018" s="21">
        <v>2049</v>
      </c>
      <c r="B2018" s="12" t="s">
        <v>10880</v>
      </c>
      <c r="C2018" s="18"/>
      <c r="D2018" s="9" t="s">
        <v>10545</v>
      </c>
      <c r="E2018" s="289">
        <v>2020</v>
      </c>
      <c r="F2018" s="9" t="s">
        <v>10884</v>
      </c>
      <c r="G2018" s="285" t="s">
        <v>4720</v>
      </c>
      <c r="H2018" s="285" t="s">
        <v>10499</v>
      </c>
      <c r="I2018" s="18"/>
      <c r="J2018" s="14" t="s">
        <v>10461</v>
      </c>
      <c r="K2018" s="24" t="s">
        <v>10881</v>
      </c>
      <c r="L2018" s="289" t="s">
        <v>10882</v>
      </c>
      <c r="M2018" s="15">
        <v>44188</v>
      </c>
      <c r="N2018" s="40">
        <v>1</v>
      </c>
      <c r="O2018" s="40">
        <v>20199</v>
      </c>
      <c r="P2018" s="40">
        <v>20199</v>
      </c>
      <c r="Q2018" s="17">
        <f>O2018-P2018</f>
        <v>0</v>
      </c>
      <c r="R2018" s="285" t="s">
        <v>10456</v>
      </c>
      <c r="S2018" s="15">
        <v>44188</v>
      </c>
      <c r="T2018" s="285" t="s">
        <v>10550</v>
      </c>
    </row>
    <row r="2019" spans="1:20" ht="78.75" customHeight="1" x14ac:dyDescent="0.2">
      <c r="A2019" s="21">
        <v>2050</v>
      </c>
      <c r="B2019" s="12" t="s">
        <v>10888</v>
      </c>
      <c r="C2019" s="18"/>
      <c r="D2019" s="9" t="s">
        <v>10887</v>
      </c>
      <c r="E2019" s="289">
        <v>2021</v>
      </c>
      <c r="F2019" s="9" t="s">
        <v>10894</v>
      </c>
      <c r="G2019" s="285" t="s">
        <v>2437</v>
      </c>
      <c r="H2019" s="285" t="s">
        <v>10499</v>
      </c>
      <c r="I2019" s="18"/>
      <c r="J2019" s="14" t="s">
        <v>10461</v>
      </c>
      <c r="K2019" s="22" t="s">
        <v>11206</v>
      </c>
      <c r="L2019" s="289" t="s">
        <v>11207</v>
      </c>
      <c r="M2019" s="15">
        <v>44377</v>
      </c>
      <c r="N2019" s="40">
        <v>1</v>
      </c>
      <c r="O2019" s="40">
        <v>13275</v>
      </c>
      <c r="P2019" s="40">
        <v>13275</v>
      </c>
      <c r="Q2019" s="17">
        <f>O2019-P2019</f>
        <v>0</v>
      </c>
      <c r="R2019" s="285" t="s">
        <v>10874</v>
      </c>
      <c r="S2019" s="15">
        <v>44328</v>
      </c>
      <c r="T2019" s="285">
        <v>610</v>
      </c>
    </row>
    <row r="2020" spans="1:20" ht="93" customHeight="1" x14ac:dyDescent="0.2">
      <c r="A2020" s="21">
        <v>2051</v>
      </c>
      <c r="B2020" s="12" t="s">
        <v>10898</v>
      </c>
      <c r="C2020" s="18"/>
      <c r="D2020" s="9" t="s">
        <v>10889</v>
      </c>
      <c r="E2020" s="289">
        <v>2021</v>
      </c>
      <c r="F2020" s="9" t="s">
        <v>10890</v>
      </c>
      <c r="G2020" s="285" t="s">
        <v>4296</v>
      </c>
      <c r="H2020" s="285" t="s">
        <v>10494</v>
      </c>
      <c r="I2020" s="18"/>
      <c r="J2020" s="14" t="s">
        <v>10461</v>
      </c>
      <c r="K2020" s="22" t="s">
        <v>10931</v>
      </c>
      <c r="L2020" s="289">
        <v>512</v>
      </c>
      <c r="M2020" s="15">
        <v>44355</v>
      </c>
      <c r="N2020" s="40">
        <v>1</v>
      </c>
      <c r="O2020" s="40">
        <v>38750</v>
      </c>
      <c r="P2020" s="40">
        <v>38750</v>
      </c>
      <c r="Q2020" s="17">
        <v>0</v>
      </c>
      <c r="R2020" s="285" t="s">
        <v>10501</v>
      </c>
      <c r="S2020" s="15">
        <v>44340</v>
      </c>
      <c r="T2020" s="22" t="s">
        <v>10891</v>
      </c>
    </row>
    <row r="2021" spans="1:20" ht="93" customHeight="1" x14ac:dyDescent="0.2">
      <c r="A2021" s="21">
        <v>2052</v>
      </c>
      <c r="B2021" s="12" t="s">
        <v>10899</v>
      </c>
      <c r="C2021" s="18"/>
      <c r="D2021" s="9" t="s">
        <v>10892</v>
      </c>
      <c r="E2021" s="289">
        <v>2021</v>
      </c>
      <c r="F2021" s="9" t="s">
        <v>10893</v>
      </c>
      <c r="G2021" s="285" t="s">
        <v>4296</v>
      </c>
      <c r="H2021" s="285" t="s">
        <v>10494</v>
      </c>
      <c r="I2021" s="18"/>
      <c r="J2021" s="14" t="s">
        <v>10461</v>
      </c>
      <c r="K2021" s="22" t="s">
        <v>10931</v>
      </c>
      <c r="L2021" s="289">
        <v>512</v>
      </c>
      <c r="M2021" s="15">
        <v>44355</v>
      </c>
      <c r="N2021" s="40">
        <v>1</v>
      </c>
      <c r="O2021" s="40">
        <v>15956.67</v>
      </c>
      <c r="P2021" s="40">
        <v>15956.67</v>
      </c>
      <c r="Q2021" s="17">
        <v>0</v>
      </c>
      <c r="R2021" s="285" t="s">
        <v>10501</v>
      </c>
      <c r="S2021" s="15">
        <v>44340</v>
      </c>
      <c r="T2021" s="22" t="s">
        <v>10891</v>
      </c>
    </row>
    <row r="2022" spans="1:20" ht="93" customHeight="1" x14ac:dyDescent="0.2">
      <c r="A2022" s="21">
        <v>2053</v>
      </c>
      <c r="B2022" s="12" t="s">
        <v>10900</v>
      </c>
      <c r="C2022" s="18"/>
      <c r="D2022" s="9" t="s">
        <v>10897</v>
      </c>
      <c r="E2022" s="289">
        <v>2021</v>
      </c>
      <c r="F2022" s="9" t="s">
        <v>10895</v>
      </c>
      <c r="G2022" s="285" t="s">
        <v>4296</v>
      </c>
      <c r="H2022" s="285" t="s">
        <v>10494</v>
      </c>
      <c r="I2022" s="18"/>
      <c r="J2022" s="14" t="s">
        <v>10461</v>
      </c>
      <c r="K2022" s="22" t="s">
        <v>10931</v>
      </c>
      <c r="L2022" s="289">
        <v>512</v>
      </c>
      <c r="M2022" s="15">
        <v>44364</v>
      </c>
      <c r="N2022" s="40">
        <v>1</v>
      </c>
      <c r="O2022" s="40">
        <v>38616.67</v>
      </c>
      <c r="P2022" s="40">
        <f t="shared" ref="P2022:P2027" si="50">O2022</f>
        <v>38616.67</v>
      </c>
      <c r="Q2022" s="17">
        <f t="shared" ref="Q2022:Q2028" si="51">O2022-P2022</f>
        <v>0</v>
      </c>
      <c r="R2022" s="285" t="s">
        <v>10501</v>
      </c>
      <c r="S2022" s="15">
        <v>44341</v>
      </c>
      <c r="T2022" s="22" t="s">
        <v>10896</v>
      </c>
    </row>
    <row r="2023" spans="1:20" ht="93" customHeight="1" x14ac:dyDescent="0.2">
      <c r="A2023" s="21">
        <v>2054</v>
      </c>
      <c r="B2023" s="12" t="s">
        <v>10901</v>
      </c>
      <c r="C2023" s="18"/>
      <c r="D2023" s="9" t="s">
        <v>10902</v>
      </c>
      <c r="E2023" s="289">
        <v>2021</v>
      </c>
      <c r="F2023" s="9" t="s">
        <v>10903</v>
      </c>
      <c r="G2023" s="285" t="s">
        <v>4296</v>
      </c>
      <c r="H2023" s="285" t="s">
        <v>10494</v>
      </c>
      <c r="I2023" s="18"/>
      <c r="J2023" s="14" t="s">
        <v>10461</v>
      </c>
      <c r="K2023" s="22" t="s">
        <v>10931</v>
      </c>
      <c r="L2023" s="289">
        <v>512</v>
      </c>
      <c r="M2023" s="15">
        <v>44369</v>
      </c>
      <c r="N2023" s="40">
        <v>1</v>
      </c>
      <c r="O2023" s="40">
        <v>19995.82</v>
      </c>
      <c r="P2023" s="40">
        <f t="shared" si="50"/>
        <v>19995.82</v>
      </c>
      <c r="Q2023" s="17">
        <f t="shared" si="51"/>
        <v>0</v>
      </c>
      <c r="R2023" s="285" t="s">
        <v>10501</v>
      </c>
      <c r="S2023" s="15">
        <v>44363</v>
      </c>
      <c r="T2023" s="22" t="s">
        <v>10904</v>
      </c>
    </row>
    <row r="2024" spans="1:20" ht="93" customHeight="1" x14ac:dyDescent="0.2">
      <c r="A2024" s="21">
        <v>2055</v>
      </c>
      <c r="B2024" s="12" t="s">
        <v>10906</v>
      </c>
      <c r="C2024" s="18"/>
      <c r="D2024" s="9" t="s">
        <v>10905</v>
      </c>
      <c r="E2024" s="289">
        <v>2021</v>
      </c>
      <c r="F2024" s="9" t="s">
        <v>10907</v>
      </c>
      <c r="G2024" s="285" t="s">
        <v>4296</v>
      </c>
      <c r="H2024" s="285" t="s">
        <v>10494</v>
      </c>
      <c r="I2024" s="18"/>
      <c r="J2024" s="14" t="s">
        <v>10461</v>
      </c>
      <c r="K2024" s="22" t="s">
        <v>10931</v>
      </c>
      <c r="L2024" s="289">
        <v>512</v>
      </c>
      <c r="M2024" s="15">
        <v>44365</v>
      </c>
      <c r="N2024" s="40">
        <v>1</v>
      </c>
      <c r="O2024" s="40">
        <v>22969.919999999998</v>
      </c>
      <c r="P2024" s="40">
        <f t="shared" si="50"/>
        <v>22969.919999999998</v>
      </c>
      <c r="Q2024" s="17">
        <f t="shared" si="51"/>
        <v>0</v>
      </c>
      <c r="R2024" s="285" t="s">
        <v>10501</v>
      </c>
      <c r="S2024" s="15">
        <v>44341</v>
      </c>
      <c r="T2024" s="22" t="s">
        <v>10908</v>
      </c>
    </row>
    <row r="2025" spans="1:20" ht="93" customHeight="1" x14ac:dyDescent="0.2">
      <c r="A2025" s="21">
        <v>2056</v>
      </c>
      <c r="B2025" s="12" t="s">
        <v>10911</v>
      </c>
      <c r="C2025" s="18"/>
      <c r="D2025" s="9" t="s">
        <v>10912</v>
      </c>
      <c r="E2025" s="289">
        <v>2021</v>
      </c>
      <c r="F2025" s="9" t="s">
        <v>10913</v>
      </c>
      <c r="G2025" s="285" t="s">
        <v>4296</v>
      </c>
      <c r="H2025" s="285" t="s">
        <v>10494</v>
      </c>
      <c r="I2025" s="18"/>
      <c r="J2025" s="14" t="s">
        <v>10461</v>
      </c>
      <c r="K2025" s="22" t="s">
        <v>10949</v>
      </c>
      <c r="L2025" s="289">
        <v>527</v>
      </c>
      <c r="M2025" s="15">
        <v>44377</v>
      </c>
      <c r="N2025" s="40">
        <v>1</v>
      </c>
      <c r="O2025" s="40">
        <v>38500</v>
      </c>
      <c r="P2025" s="40">
        <f t="shared" si="50"/>
        <v>38500</v>
      </c>
      <c r="Q2025" s="17">
        <f t="shared" si="51"/>
        <v>0</v>
      </c>
      <c r="R2025" s="285" t="s">
        <v>10501</v>
      </c>
      <c r="S2025" s="15">
        <v>44356</v>
      </c>
      <c r="T2025" s="22" t="s">
        <v>10914</v>
      </c>
    </row>
    <row r="2026" spans="1:20" ht="93" customHeight="1" x14ac:dyDescent="0.2">
      <c r="A2026" s="21">
        <v>2057</v>
      </c>
      <c r="B2026" s="12" t="s">
        <v>10915</v>
      </c>
      <c r="C2026" s="18"/>
      <c r="D2026" s="9" t="s">
        <v>10917</v>
      </c>
      <c r="E2026" s="289">
        <v>2021</v>
      </c>
      <c r="F2026" s="9" t="s">
        <v>10916</v>
      </c>
      <c r="G2026" s="285" t="s">
        <v>4296</v>
      </c>
      <c r="H2026" s="285" t="s">
        <v>10494</v>
      </c>
      <c r="I2026" s="18"/>
      <c r="J2026" s="14" t="s">
        <v>10461</v>
      </c>
      <c r="K2026" s="22" t="s">
        <v>10949</v>
      </c>
      <c r="L2026" s="289">
        <v>527</v>
      </c>
      <c r="M2026" s="15">
        <v>44383</v>
      </c>
      <c r="N2026" s="40">
        <v>1</v>
      </c>
      <c r="O2026" s="40">
        <v>25000</v>
      </c>
      <c r="P2026" s="40">
        <f t="shared" si="50"/>
        <v>25000</v>
      </c>
      <c r="Q2026" s="17">
        <f t="shared" si="51"/>
        <v>0</v>
      </c>
      <c r="R2026" s="285" t="s">
        <v>10501</v>
      </c>
      <c r="S2026" s="15">
        <v>44369</v>
      </c>
      <c r="T2026" s="22" t="s">
        <v>10918</v>
      </c>
    </row>
    <row r="2027" spans="1:20" ht="93" customHeight="1" x14ac:dyDescent="0.2">
      <c r="A2027" s="21">
        <v>2058</v>
      </c>
      <c r="B2027" s="12" t="s">
        <v>10919</v>
      </c>
      <c r="C2027" s="18"/>
      <c r="D2027" s="9" t="s">
        <v>10920</v>
      </c>
      <c r="E2027" s="289">
        <v>2021</v>
      </c>
      <c r="F2027" s="9" t="s">
        <v>10922</v>
      </c>
      <c r="G2027" s="285" t="s">
        <v>7983</v>
      </c>
      <c r="H2027" s="285" t="s">
        <v>5127</v>
      </c>
      <c r="I2027" s="18"/>
      <c r="J2027" s="14" t="s">
        <v>10461</v>
      </c>
      <c r="K2027" s="22" t="s">
        <v>10949</v>
      </c>
      <c r="L2027" s="289">
        <v>526</v>
      </c>
      <c r="M2027" s="15">
        <v>44377</v>
      </c>
      <c r="N2027" s="40">
        <v>2</v>
      </c>
      <c r="O2027" s="40">
        <v>46088</v>
      </c>
      <c r="P2027" s="40">
        <f t="shared" si="50"/>
        <v>46088</v>
      </c>
      <c r="Q2027" s="17">
        <f t="shared" si="51"/>
        <v>0</v>
      </c>
      <c r="R2027" s="285" t="s">
        <v>10456</v>
      </c>
      <c r="S2027" s="15">
        <v>44348</v>
      </c>
      <c r="T2027" s="22" t="s">
        <v>10921</v>
      </c>
    </row>
    <row r="2028" spans="1:20" ht="93" customHeight="1" x14ac:dyDescent="0.2">
      <c r="A2028" s="21">
        <v>2059</v>
      </c>
      <c r="B2028" s="12" t="s">
        <v>11046</v>
      </c>
      <c r="C2028" s="18"/>
      <c r="D2028" s="9" t="s">
        <v>10923</v>
      </c>
      <c r="E2028" s="289">
        <v>2021</v>
      </c>
      <c r="F2028" s="9" t="s">
        <v>11049</v>
      </c>
      <c r="G2028" s="285" t="s">
        <v>258</v>
      </c>
      <c r="H2028" s="285" t="s">
        <v>10499</v>
      </c>
      <c r="I2028" s="18"/>
      <c r="J2028" s="14" t="s">
        <v>10461</v>
      </c>
      <c r="K2028" s="22" t="s">
        <v>11047</v>
      </c>
      <c r="L2028" s="289" t="s">
        <v>11048</v>
      </c>
      <c r="M2028" s="15">
        <v>44284</v>
      </c>
      <c r="N2028" s="40">
        <v>1</v>
      </c>
      <c r="O2028" s="40">
        <v>17850</v>
      </c>
      <c r="P2028" s="40">
        <v>17850</v>
      </c>
      <c r="Q2028" s="17">
        <f t="shared" si="51"/>
        <v>0</v>
      </c>
      <c r="R2028" s="285" t="s">
        <v>10874</v>
      </c>
      <c r="S2028" s="15">
        <v>44284</v>
      </c>
      <c r="T2028" s="22" t="s">
        <v>10924</v>
      </c>
    </row>
    <row r="2029" spans="1:20" ht="93" customHeight="1" x14ac:dyDescent="0.2">
      <c r="A2029" s="21">
        <v>2060</v>
      </c>
      <c r="B2029" s="12" t="s">
        <v>10952</v>
      </c>
      <c r="C2029" s="18"/>
      <c r="D2029" s="9" t="s">
        <v>10950</v>
      </c>
      <c r="E2029" s="289">
        <v>2021</v>
      </c>
      <c r="F2029" s="9" t="s">
        <v>10958</v>
      </c>
      <c r="G2029" s="285" t="s">
        <v>792</v>
      </c>
      <c r="H2029" s="285" t="s">
        <v>5127</v>
      </c>
      <c r="I2029" s="18"/>
      <c r="J2029" s="14" t="s">
        <v>10461</v>
      </c>
      <c r="K2029" s="22" t="s">
        <v>10959</v>
      </c>
      <c r="L2029" s="289">
        <v>534</v>
      </c>
      <c r="M2029" s="15">
        <v>44389</v>
      </c>
      <c r="N2029" s="40">
        <v>1</v>
      </c>
      <c r="O2029" s="40">
        <v>16680</v>
      </c>
      <c r="P2029" s="40">
        <v>16680</v>
      </c>
      <c r="Q2029" s="17">
        <f t="shared" ref="Q2029:Q2034" si="52">O2029-P2029</f>
        <v>0</v>
      </c>
      <c r="R2029" s="285" t="s">
        <v>10501</v>
      </c>
      <c r="S2029" s="15">
        <v>44368</v>
      </c>
      <c r="T2029" s="22" t="s">
        <v>10951</v>
      </c>
    </row>
    <row r="2030" spans="1:20" ht="93" customHeight="1" x14ac:dyDescent="0.2">
      <c r="A2030" s="21">
        <v>2061</v>
      </c>
      <c r="B2030" s="12" t="s">
        <v>10960</v>
      </c>
      <c r="C2030" s="18"/>
      <c r="D2030" s="9" t="s">
        <v>10961</v>
      </c>
      <c r="E2030" s="289">
        <v>2021</v>
      </c>
      <c r="F2030" s="9"/>
      <c r="G2030" s="285" t="s">
        <v>258</v>
      </c>
      <c r="H2030" s="285" t="s">
        <v>5127</v>
      </c>
      <c r="I2030" s="18"/>
      <c r="J2030" s="14" t="s">
        <v>10461</v>
      </c>
      <c r="K2030" s="22" t="s">
        <v>10963</v>
      </c>
      <c r="L2030" s="289">
        <v>544</v>
      </c>
      <c r="M2030" s="15">
        <v>44386</v>
      </c>
      <c r="N2030" s="40">
        <v>1</v>
      </c>
      <c r="O2030" s="40">
        <v>22000</v>
      </c>
      <c r="P2030" s="40">
        <v>22000</v>
      </c>
      <c r="Q2030" s="17">
        <f t="shared" si="52"/>
        <v>0</v>
      </c>
      <c r="R2030" s="285" t="s">
        <v>10962</v>
      </c>
      <c r="S2030" s="15">
        <v>44375</v>
      </c>
      <c r="T2030" s="22" t="s">
        <v>5621</v>
      </c>
    </row>
    <row r="2031" spans="1:20" ht="93" customHeight="1" x14ac:dyDescent="0.2">
      <c r="A2031" s="21">
        <v>2062</v>
      </c>
      <c r="B2031" s="12" t="s">
        <v>10968</v>
      </c>
      <c r="C2031" s="18"/>
      <c r="D2031" s="9" t="s">
        <v>10969</v>
      </c>
      <c r="E2031" s="289">
        <v>2021</v>
      </c>
      <c r="F2031" s="9" t="s">
        <v>10971</v>
      </c>
      <c r="G2031" s="285" t="s">
        <v>7464</v>
      </c>
      <c r="H2031" s="285" t="s">
        <v>5127</v>
      </c>
      <c r="I2031" s="18"/>
      <c r="J2031" s="14" t="s">
        <v>10461</v>
      </c>
      <c r="K2031" s="22" t="s">
        <v>10990</v>
      </c>
      <c r="L2031" s="289">
        <v>576</v>
      </c>
      <c r="M2031" s="15">
        <v>44390</v>
      </c>
      <c r="N2031" s="40">
        <v>1</v>
      </c>
      <c r="O2031" s="40">
        <v>16500</v>
      </c>
      <c r="P2031" s="40">
        <v>16500</v>
      </c>
      <c r="Q2031" s="17">
        <f t="shared" si="52"/>
        <v>0</v>
      </c>
      <c r="R2031" s="285" t="s">
        <v>10962</v>
      </c>
      <c r="S2031" s="15">
        <v>44390</v>
      </c>
      <c r="T2031" s="22" t="s">
        <v>10970</v>
      </c>
    </row>
    <row r="2032" spans="1:20" ht="93" customHeight="1" x14ac:dyDescent="0.2">
      <c r="A2032" s="21">
        <v>2063</v>
      </c>
      <c r="B2032" s="12" t="s">
        <v>10972</v>
      </c>
      <c r="C2032" s="18"/>
      <c r="D2032" s="9" t="s">
        <v>10977</v>
      </c>
      <c r="E2032" s="289">
        <v>2021</v>
      </c>
      <c r="F2032" s="9" t="s">
        <v>10973</v>
      </c>
      <c r="G2032" s="285" t="s">
        <v>4296</v>
      </c>
      <c r="H2032" s="285" t="s">
        <v>10494</v>
      </c>
      <c r="I2032" s="18"/>
      <c r="J2032" s="14" t="s">
        <v>10461</v>
      </c>
      <c r="K2032" s="22" t="s">
        <v>10990</v>
      </c>
      <c r="L2032" s="289">
        <v>577</v>
      </c>
      <c r="M2032" s="15">
        <v>44403</v>
      </c>
      <c r="N2032" s="40">
        <v>1</v>
      </c>
      <c r="O2032" s="40">
        <v>668000</v>
      </c>
      <c r="P2032" s="40">
        <v>94633.39</v>
      </c>
      <c r="Q2032" s="17">
        <f t="shared" si="52"/>
        <v>573366.61</v>
      </c>
      <c r="R2032" s="285" t="s">
        <v>10974</v>
      </c>
      <c r="S2032" s="15">
        <v>44403</v>
      </c>
      <c r="T2032" s="22" t="s">
        <v>10975</v>
      </c>
    </row>
    <row r="2033" spans="1:20" ht="93" customHeight="1" x14ac:dyDescent="0.2">
      <c r="A2033" s="21">
        <v>2064</v>
      </c>
      <c r="B2033" s="12" t="s">
        <v>10976</v>
      </c>
      <c r="C2033" s="18"/>
      <c r="D2033" s="9" t="s">
        <v>10979</v>
      </c>
      <c r="E2033" s="289">
        <v>2021</v>
      </c>
      <c r="F2033" s="13" t="s">
        <v>10978</v>
      </c>
      <c r="G2033" s="285" t="s">
        <v>4296</v>
      </c>
      <c r="H2033" s="285" t="s">
        <v>10494</v>
      </c>
      <c r="I2033" s="18"/>
      <c r="J2033" s="14" t="s">
        <v>10461</v>
      </c>
      <c r="K2033" s="22" t="s">
        <v>10990</v>
      </c>
      <c r="L2033" s="289">
        <v>577</v>
      </c>
      <c r="M2033" s="15">
        <v>44403</v>
      </c>
      <c r="N2033" s="40">
        <v>1</v>
      </c>
      <c r="O2033" s="40">
        <v>35000</v>
      </c>
      <c r="P2033" s="40">
        <v>4958.3900000000003</v>
      </c>
      <c r="Q2033" s="17">
        <f t="shared" si="52"/>
        <v>30041.61</v>
      </c>
      <c r="R2033" s="285" t="s">
        <v>10974</v>
      </c>
      <c r="S2033" s="15">
        <v>44403</v>
      </c>
      <c r="T2033" s="22" t="s">
        <v>10975</v>
      </c>
    </row>
    <row r="2034" spans="1:20" ht="93" customHeight="1" x14ac:dyDescent="0.2">
      <c r="A2034" s="21">
        <v>2065</v>
      </c>
      <c r="B2034" s="12" t="s">
        <v>10980</v>
      </c>
      <c r="C2034" s="18"/>
      <c r="D2034" s="9" t="s">
        <v>10982</v>
      </c>
      <c r="E2034" s="289">
        <v>2021</v>
      </c>
      <c r="F2034" s="13" t="s">
        <v>10981</v>
      </c>
      <c r="G2034" s="285" t="s">
        <v>4296</v>
      </c>
      <c r="H2034" s="285" t="s">
        <v>10494</v>
      </c>
      <c r="I2034" s="18"/>
      <c r="J2034" s="14" t="s">
        <v>10461</v>
      </c>
      <c r="K2034" s="22" t="s">
        <v>10990</v>
      </c>
      <c r="L2034" s="289">
        <v>577</v>
      </c>
      <c r="M2034" s="15">
        <v>44403</v>
      </c>
      <c r="N2034" s="40">
        <v>1</v>
      </c>
      <c r="O2034" s="40">
        <v>35000</v>
      </c>
      <c r="P2034" s="40">
        <v>4958.3900000000003</v>
      </c>
      <c r="Q2034" s="17">
        <f t="shared" si="52"/>
        <v>30041.61</v>
      </c>
      <c r="R2034" s="285" t="s">
        <v>10974</v>
      </c>
      <c r="S2034" s="15">
        <v>44403</v>
      </c>
      <c r="T2034" s="22" t="s">
        <v>10975</v>
      </c>
    </row>
    <row r="2035" spans="1:20" ht="93" customHeight="1" x14ac:dyDescent="0.2">
      <c r="A2035" s="21">
        <v>2066</v>
      </c>
      <c r="B2035" s="12" t="s">
        <v>10992</v>
      </c>
      <c r="C2035" s="18"/>
      <c r="D2035" s="9" t="s">
        <v>10993</v>
      </c>
      <c r="E2035" s="289">
        <v>2021</v>
      </c>
      <c r="F2035" s="13" t="s">
        <v>10994</v>
      </c>
      <c r="G2035" s="285" t="s">
        <v>4296</v>
      </c>
      <c r="H2035" s="285" t="s">
        <v>10494</v>
      </c>
      <c r="I2035" s="18"/>
      <c r="J2035" s="14" t="s">
        <v>10461</v>
      </c>
      <c r="K2035" s="22" t="s">
        <v>11031</v>
      </c>
      <c r="L2035" s="289">
        <v>641</v>
      </c>
      <c r="M2035" s="15">
        <v>44399</v>
      </c>
      <c r="N2035" s="40">
        <v>1</v>
      </c>
      <c r="O2035" s="40">
        <v>15900</v>
      </c>
      <c r="P2035" s="40">
        <v>15900</v>
      </c>
      <c r="Q2035" s="17">
        <f t="shared" ref="Q2035:Q2042" si="53">O2035-P2035</f>
        <v>0</v>
      </c>
      <c r="R2035" s="285" t="s">
        <v>10995</v>
      </c>
      <c r="S2035" s="15">
        <v>44399</v>
      </c>
      <c r="T2035" s="22" t="s">
        <v>10996</v>
      </c>
    </row>
    <row r="2036" spans="1:20" ht="93" customHeight="1" x14ac:dyDescent="0.2">
      <c r="A2036" s="21">
        <v>2067</v>
      </c>
      <c r="B2036" s="12" t="s">
        <v>10997</v>
      </c>
      <c r="C2036" s="18"/>
      <c r="D2036" s="9" t="s">
        <v>10998</v>
      </c>
      <c r="E2036" s="289">
        <v>2021</v>
      </c>
      <c r="F2036" s="13" t="s">
        <v>10999</v>
      </c>
      <c r="G2036" s="285" t="s">
        <v>4296</v>
      </c>
      <c r="H2036" s="285" t="s">
        <v>10494</v>
      </c>
      <c r="I2036" s="18"/>
      <c r="J2036" s="14" t="s">
        <v>10461</v>
      </c>
      <c r="K2036" s="22" t="s">
        <v>11031</v>
      </c>
      <c r="L2036" s="289">
        <v>641</v>
      </c>
      <c r="M2036" s="15">
        <v>44368</v>
      </c>
      <c r="N2036" s="40">
        <v>1</v>
      </c>
      <c r="O2036" s="40">
        <v>273119.17</v>
      </c>
      <c r="P2036" s="40">
        <v>81935.820000000007</v>
      </c>
      <c r="Q2036" s="17">
        <f>O2036-P2036</f>
        <v>191183.34999999998</v>
      </c>
      <c r="R2036" s="285" t="s">
        <v>10501</v>
      </c>
      <c r="S2036" s="15">
        <v>44228</v>
      </c>
      <c r="T2036" s="22" t="s">
        <v>11000</v>
      </c>
    </row>
    <row r="2037" spans="1:20" ht="93" customHeight="1" x14ac:dyDescent="0.2">
      <c r="A2037" s="21">
        <v>2068</v>
      </c>
      <c r="B2037" s="12" t="s">
        <v>11001</v>
      </c>
      <c r="C2037" s="18"/>
      <c r="D2037" s="9" t="s">
        <v>11002</v>
      </c>
      <c r="E2037" s="289">
        <v>2021</v>
      </c>
      <c r="F2037" s="13" t="s">
        <v>11003</v>
      </c>
      <c r="G2037" s="285" t="s">
        <v>4296</v>
      </c>
      <c r="H2037" s="285" t="s">
        <v>10494</v>
      </c>
      <c r="I2037" s="18"/>
      <c r="J2037" s="14" t="s">
        <v>10461</v>
      </c>
      <c r="K2037" s="22" t="s">
        <v>11031</v>
      </c>
      <c r="L2037" s="289">
        <v>641</v>
      </c>
      <c r="M2037" s="15">
        <v>44368</v>
      </c>
      <c r="N2037" s="40">
        <v>1</v>
      </c>
      <c r="O2037" s="40">
        <v>273119.17</v>
      </c>
      <c r="P2037" s="40">
        <v>81935.820000000007</v>
      </c>
      <c r="Q2037" s="17">
        <f t="shared" si="53"/>
        <v>191183.34999999998</v>
      </c>
      <c r="R2037" s="285" t="s">
        <v>10501</v>
      </c>
      <c r="S2037" s="15">
        <v>44228</v>
      </c>
      <c r="T2037" s="22" t="s">
        <v>11000</v>
      </c>
    </row>
    <row r="2038" spans="1:20" ht="93" customHeight="1" x14ac:dyDescent="0.2">
      <c r="A2038" s="21">
        <v>2070</v>
      </c>
      <c r="B2038" s="12" t="s">
        <v>11004</v>
      </c>
      <c r="C2038" s="18"/>
      <c r="D2038" s="9" t="s">
        <v>11006</v>
      </c>
      <c r="E2038" s="289">
        <v>2021</v>
      </c>
      <c r="F2038" s="13" t="s">
        <v>11007</v>
      </c>
      <c r="G2038" s="285" t="s">
        <v>4296</v>
      </c>
      <c r="H2038" s="285" t="s">
        <v>10494</v>
      </c>
      <c r="I2038" s="18"/>
      <c r="J2038" s="14" t="s">
        <v>10461</v>
      </c>
      <c r="K2038" s="22" t="s">
        <v>11031</v>
      </c>
      <c r="L2038" s="289">
        <v>641</v>
      </c>
      <c r="M2038" s="15">
        <v>44425</v>
      </c>
      <c r="N2038" s="40">
        <v>1</v>
      </c>
      <c r="O2038" s="40">
        <v>55100</v>
      </c>
      <c r="P2038" s="40">
        <v>14693.28</v>
      </c>
      <c r="Q2038" s="17">
        <f t="shared" si="53"/>
        <v>40406.720000000001</v>
      </c>
      <c r="R2038" s="285" t="s">
        <v>10501</v>
      </c>
      <c r="S2038" s="15">
        <v>44390</v>
      </c>
      <c r="T2038" s="22" t="s">
        <v>11008</v>
      </c>
    </row>
    <row r="2039" spans="1:20" ht="93" customHeight="1" x14ac:dyDescent="0.2">
      <c r="A2039" s="21">
        <v>2071</v>
      </c>
      <c r="B2039" s="12" t="s">
        <v>11005</v>
      </c>
      <c r="C2039" s="18"/>
      <c r="D2039" s="9" t="s">
        <v>11010</v>
      </c>
      <c r="E2039" s="289">
        <v>2021</v>
      </c>
      <c r="F2039" s="13" t="s">
        <v>11011</v>
      </c>
      <c r="G2039" s="285" t="s">
        <v>4296</v>
      </c>
      <c r="H2039" s="285" t="s">
        <v>10494</v>
      </c>
      <c r="I2039" s="18"/>
      <c r="J2039" s="14" t="s">
        <v>10461</v>
      </c>
      <c r="K2039" s="22" t="s">
        <v>11031</v>
      </c>
      <c r="L2039" s="289">
        <v>641</v>
      </c>
      <c r="M2039" s="15">
        <v>44425</v>
      </c>
      <c r="N2039" s="40">
        <v>1</v>
      </c>
      <c r="O2039" s="40">
        <v>27165.83</v>
      </c>
      <c r="P2039" s="40">
        <v>27165.83</v>
      </c>
      <c r="Q2039" s="17">
        <f t="shared" si="53"/>
        <v>0</v>
      </c>
      <c r="R2039" s="285" t="s">
        <v>10501</v>
      </c>
      <c r="S2039" s="15">
        <v>44421</v>
      </c>
      <c r="T2039" s="22" t="s">
        <v>11012</v>
      </c>
    </row>
    <row r="2040" spans="1:20" ht="93" customHeight="1" x14ac:dyDescent="0.2">
      <c r="A2040" s="21">
        <v>2072</v>
      </c>
      <c r="B2040" s="12" t="s">
        <v>11009</v>
      </c>
      <c r="C2040" s="18"/>
      <c r="D2040" s="9" t="s">
        <v>11014</v>
      </c>
      <c r="E2040" s="289">
        <v>2021</v>
      </c>
      <c r="F2040" s="13" t="s">
        <v>11015</v>
      </c>
      <c r="G2040" s="285" t="s">
        <v>4296</v>
      </c>
      <c r="H2040" s="285" t="s">
        <v>10494</v>
      </c>
      <c r="I2040" s="18"/>
      <c r="J2040" s="14" t="s">
        <v>10461</v>
      </c>
      <c r="K2040" s="22" t="s">
        <v>11031</v>
      </c>
      <c r="L2040" s="289">
        <v>641</v>
      </c>
      <c r="M2040" s="15">
        <v>44425</v>
      </c>
      <c r="N2040" s="40">
        <v>1</v>
      </c>
      <c r="O2040" s="40">
        <v>49260</v>
      </c>
      <c r="P2040" s="40">
        <v>6568</v>
      </c>
      <c r="Q2040" s="17">
        <f t="shared" si="53"/>
        <v>42692</v>
      </c>
      <c r="R2040" s="285" t="s">
        <v>10501</v>
      </c>
      <c r="S2040" s="15">
        <v>44342</v>
      </c>
      <c r="T2040" s="22" t="s">
        <v>11020</v>
      </c>
    </row>
    <row r="2041" spans="1:20" ht="93" customHeight="1" x14ac:dyDescent="0.2">
      <c r="A2041" s="21">
        <v>2073</v>
      </c>
      <c r="B2041" s="12" t="s">
        <v>11013</v>
      </c>
      <c r="C2041" s="18"/>
      <c r="D2041" s="9" t="s">
        <v>11016</v>
      </c>
      <c r="E2041" s="289">
        <v>2021</v>
      </c>
      <c r="F2041" s="13" t="s">
        <v>11019</v>
      </c>
      <c r="G2041" s="285" t="s">
        <v>4296</v>
      </c>
      <c r="H2041" s="285" t="s">
        <v>10494</v>
      </c>
      <c r="I2041" s="18"/>
      <c r="J2041" s="14" t="s">
        <v>10461</v>
      </c>
      <c r="K2041" s="22" t="s">
        <v>11031</v>
      </c>
      <c r="L2041" s="289">
        <v>641</v>
      </c>
      <c r="M2041" s="15">
        <v>44425</v>
      </c>
      <c r="N2041" s="40">
        <v>1</v>
      </c>
      <c r="O2041" s="40">
        <v>65350</v>
      </c>
      <c r="P2041" s="40">
        <v>8713.2800000000007</v>
      </c>
      <c r="Q2041" s="17">
        <f t="shared" si="53"/>
        <v>56636.72</v>
      </c>
      <c r="R2041" s="285" t="s">
        <v>10501</v>
      </c>
      <c r="S2041" s="15">
        <v>44341</v>
      </c>
      <c r="T2041" s="22" t="s">
        <v>11021</v>
      </c>
    </row>
    <row r="2042" spans="1:20" ht="93" customHeight="1" x14ac:dyDescent="0.2">
      <c r="A2042" s="21">
        <v>2074</v>
      </c>
      <c r="B2042" s="12" t="s">
        <v>11018</v>
      </c>
      <c r="C2042" s="18"/>
      <c r="D2042" s="9" t="s">
        <v>11022</v>
      </c>
      <c r="E2042" s="289">
        <v>2021</v>
      </c>
      <c r="F2042" s="13" t="s">
        <v>11017</v>
      </c>
      <c r="G2042" s="285" t="s">
        <v>4296</v>
      </c>
      <c r="H2042" s="285" t="s">
        <v>10494</v>
      </c>
      <c r="I2042" s="18"/>
      <c r="J2042" s="14" t="s">
        <v>10461</v>
      </c>
      <c r="K2042" s="22" t="s">
        <v>11031</v>
      </c>
      <c r="L2042" s="289">
        <v>641</v>
      </c>
      <c r="M2042" s="15">
        <v>44425</v>
      </c>
      <c r="N2042" s="40">
        <v>1</v>
      </c>
      <c r="O2042" s="40">
        <v>45765</v>
      </c>
      <c r="P2042" s="40">
        <v>12204</v>
      </c>
      <c r="Q2042" s="17">
        <f t="shared" si="53"/>
        <v>33561</v>
      </c>
      <c r="R2042" s="285" t="s">
        <v>10501</v>
      </c>
      <c r="S2042" s="15">
        <v>44342</v>
      </c>
      <c r="T2042" s="22" t="s">
        <v>11023</v>
      </c>
    </row>
    <row r="2043" spans="1:20" ht="93" customHeight="1" x14ac:dyDescent="0.2">
      <c r="A2043" s="21">
        <v>2075</v>
      </c>
      <c r="B2043" s="12" t="s">
        <v>11064</v>
      </c>
      <c r="C2043" s="289"/>
      <c r="D2043" s="13" t="s">
        <v>11065</v>
      </c>
      <c r="E2043" s="12">
        <v>2021</v>
      </c>
      <c r="F2043" s="18" t="s">
        <v>11066</v>
      </c>
      <c r="G2043" s="285" t="s">
        <v>9194</v>
      </c>
      <c r="H2043" s="285" t="s">
        <v>5127</v>
      </c>
      <c r="I2043" s="224"/>
      <c r="J2043" s="14" t="s">
        <v>10461</v>
      </c>
      <c r="K2043" s="22" t="s">
        <v>11068</v>
      </c>
      <c r="L2043" s="289">
        <v>694</v>
      </c>
      <c r="M2043" s="225">
        <v>44441</v>
      </c>
      <c r="N2043" s="16">
        <v>1</v>
      </c>
      <c r="O2043" s="17">
        <v>21660</v>
      </c>
      <c r="P2043" s="17">
        <v>21660</v>
      </c>
      <c r="Q2043" s="17">
        <v>0</v>
      </c>
      <c r="R2043" s="285" t="s">
        <v>10501</v>
      </c>
      <c r="S2043" s="14">
        <v>44386</v>
      </c>
      <c r="T2043" s="285" t="s">
        <v>11067</v>
      </c>
    </row>
    <row r="2044" spans="1:20" ht="93" customHeight="1" x14ac:dyDescent="0.2">
      <c r="A2044" s="21">
        <v>2076</v>
      </c>
      <c r="B2044" s="12" t="s">
        <v>11083</v>
      </c>
      <c r="C2044" s="289"/>
      <c r="D2044" s="13" t="s">
        <v>11088</v>
      </c>
      <c r="E2044" s="12">
        <v>2021</v>
      </c>
      <c r="F2044" s="18" t="s">
        <v>11084</v>
      </c>
      <c r="G2044" s="285" t="s">
        <v>4946</v>
      </c>
      <c r="H2044" s="285" t="s">
        <v>5127</v>
      </c>
      <c r="I2044" s="224"/>
      <c r="J2044" s="14" t="s">
        <v>10461</v>
      </c>
      <c r="K2044" s="22" t="s">
        <v>11099</v>
      </c>
      <c r="L2044" s="289">
        <v>708</v>
      </c>
      <c r="M2044" s="225">
        <v>44449</v>
      </c>
      <c r="N2044" s="16">
        <v>1</v>
      </c>
      <c r="O2044" s="17">
        <v>18000</v>
      </c>
      <c r="P2044" s="17">
        <v>18000</v>
      </c>
      <c r="Q2044" s="17">
        <f t="shared" ref="Q2044:Q2049" si="54">O2044-P2044</f>
        <v>0</v>
      </c>
      <c r="R2044" s="285" t="s">
        <v>11085</v>
      </c>
      <c r="S2044" s="14">
        <v>44433</v>
      </c>
      <c r="T2044" s="285" t="s">
        <v>11086</v>
      </c>
    </row>
    <row r="2045" spans="1:20" ht="93" customHeight="1" x14ac:dyDescent="0.2">
      <c r="A2045" s="21">
        <v>2077</v>
      </c>
      <c r="B2045" s="12" t="s">
        <v>11087</v>
      </c>
      <c r="C2045" s="289"/>
      <c r="D2045" s="13" t="s">
        <v>11089</v>
      </c>
      <c r="E2045" s="12">
        <v>2021</v>
      </c>
      <c r="F2045" s="18" t="s">
        <v>11090</v>
      </c>
      <c r="G2045" s="285" t="s">
        <v>4946</v>
      </c>
      <c r="H2045" s="285" t="s">
        <v>5127</v>
      </c>
      <c r="I2045" s="224"/>
      <c r="J2045" s="14" t="s">
        <v>10461</v>
      </c>
      <c r="K2045" s="22" t="s">
        <v>11099</v>
      </c>
      <c r="L2045" s="289">
        <v>708</v>
      </c>
      <c r="M2045" s="225">
        <v>44449</v>
      </c>
      <c r="N2045" s="16">
        <v>1</v>
      </c>
      <c r="O2045" s="17">
        <v>25000</v>
      </c>
      <c r="P2045" s="17">
        <v>25000</v>
      </c>
      <c r="Q2045" s="17">
        <f t="shared" si="54"/>
        <v>0</v>
      </c>
      <c r="R2045" s="285" t="s">
        <v>11085</v>
      </c>
      <c r="S2045" s="14">
        <v>44433</v>
      </c>
      <c r="T2045" s="285" t="s">
        <v>11086</v>
      </c>
    </row>
    <row r="2046" spans="1:20" ht="93" customHeight="1" x14ac:dyDescent="0.2">
      <c r="A2046" s="21">
        <v>2078</v>
      </c>
      <c r="B2046" s="12" t="s">
        <v>11133</v>
      </c>
      <c r="C2046" s="289"/>
      <c r="D2046" s="13" t="s">
        <v>11134</v>
      </c>
      <c r="E2046" s="12">
        <v>2021</v>
      </c>
      <c r="F2046" s="18" t="s">
        <v>11135</v>
      </c>
      <c r="G2046" s="285" t="s">
        <v>4946</v>
      </c>
      <c r="H2046" s="285" t="s">
        <v>5127</v>
      </c>
      <c r="I2046" s="224"/>
      <c r="J2046" s="14" t="s">
        <v>10461</v>
      </c>
      <c r="K2046" s="22" t="s">
        <v>11138</v>
      </c>
      <c r="L2046" s="289">
        <v>737</v>
      </c>
      <c r="M2046" s="225">
        <v>44471</v>
      </c>
      <c r="N2046" s="16">
        <v>1</v>
      </c>
      <c r="O2046" s="17">
        <v>28900</v>
      </c>
      <c r="P2046" s="17">
        <v>28900</v>
      </c>
      <c r="Q2046" s="17">
        <f t="shared" si="54"/>
        <v>0</v>
      </c>
      <c r="R2046" s="285" t="s">
        <v>11097</v>
      </c>
      <c r="S2046" s="14">
        <v>44467</v>
      </c>
      <c r="T2046" s="285" t="s">
        <v>11136</v>
      </c>
    </row>
    <row r="2047" spans="1:20" ht="93" customHeight="1" x14ac:dyDescent="0.2">
      <c r="A2047" s="21">
        <v>2079</v>
      </c>
      <c r="B2047" s="12" t="s">
        <v>11145</v>
      </c>
      <c r="C2047" s="289"/>
      <c r="D2047" s="13" t="s">
        <v>11146</v>
      </c>
      <c r="E2047" s="12">
        <v>2021</v>
      </c>
      <c r="F2047" s="18" t="s">
        <v>11147</v>
      </c>
      <c r="G2047" s="285" t="s">
        <v>4296</v>
      </c>
      <c r="H2047" s="285" t="s">
        <v>10494</v>
      </c>
      <c r="I2047" s="224"/>
      <c r="J2047" s="14" t="s">
        <v>10461</v>
      </c>
      <c r="K2047" s="22" t="s">
        <v>11160</v>
      </c>
      <c r="L2047" s="289">
        <v>774</v>
      </c>
      <c r="M2047" s="225">
        <v>44467</v>
      </c>
      <c r="N2047" s="16">
        <v>1</v>
      </c>
      <c r="O2047" s="17">
        <v>12300</v>
      </c>
      <c r="P2047" s="17">
        <v>12300</v>
      </c>
      <c r="Q2047" s="17">
        <v>0</v>
      </c>
      <c r="R2047" s="285" t="s">
        <v>10501</v>
      </c>
      <c r="S2047" s="14">
        <v>44453</v>
      </c>
      <c r="T2047" s="22" t="s">
        <v>11152</v>
      </c>
    </row>
    <row r="2048" spans="1:20" ht="93" customHeight="1" x14ac:dyDescent="0.2">
      <c r="A2048" s="21">
        <v>2080</v>
      </c>
      <c r="B2048" s="12" t="s">
        <v>11148</v>
      </c>
      <c r="C2048" s="289"/>
      <c r="D2048" s="13" t="s">
        <v>11149</v>
      </c>
      <c r="E2048" s="12">
        <v>2021</v>
      </c>
      <c r="F2048" s="9" t="s">
        <v>11150</v>
      </c>
      <c r="G2048" s="285" t="s">
        <v>4296</v>
      </c>
      <c r="H2048" s="285" t="s">
        <v>10494</v>
      </c>
      <c r="I2048" s="224"/>
      <c r="J2048" s="14" t="s">
        <v>10461</v>
      </c>
      <c r="K2048" s="22" t="s">
        <v>11160</v>
      </c>
      <c r="L2048" s="289">
        <v>774</v>
      </c>
      <c r="M2048" s="225">
        <v>44467</v>
      </c>
      <c r="N2048" s="16">
        <v>1</v>
      </c>
      <c r="O2048" s="17">
        <v>47806.400000000001</v>
      </c>
      <c r="P2048" s="17">
        <v>5975.85</v>
      </c>
      <c r="Q2048" s="17">
        <f>O2048-P2048</f>
        <v>41830.550000000003</v>
      </c>
      <c r="R2048" s="285" t="s">
        <v>10501</v>
      </c>
      <c r="S2048" s="14">
        <v>44294</v>
      </c>
      <c r="T2048" s="22" t="s">
        <v>11151</v>
      </c>
    </row>
    <row r="2049" spans="1:20" ht="92.25" customHeight="1" x14ac:dyDescent="0.2">
      <c r="A2049" s="21">
        <v>2081</v>
      </c>
      <c r="B2049" s="12" t="s">
        <v>11153</v>
      </c>
      <c r="C2049" s="289"/>
      <c r="D2049" s="13" t="s">
        <v>11154</v>
      </c>
      <c r="E2049" s="12">
        <v>2021</v>
      </c>
      <c r="F2049" s="9" t="s">
        <v>11155</v>
      </c>
      <c r="G2049" s="285" t="s">
        <v>4296</v>
      </c>
      <c r="H2049" s="285" t="s">
        <v>10494</v>
      </c>
      <c r="I2049" s="224"/>
      <c r="J2049" s="14" t="s">
        <v>10461</v>
      </c>
      <c r="K2049" s="22" t="s">
        <v>11159</v>
      </c>
      <c r="L2049" s="289">
        <v>766</v>
      </c>
      <c r="M2049" s="225">
        <v>44470</v>
      </c>
      <c r="N2049" s="16">
        <v>1</v>
      </c>
      <c r="O2049" s="17">
        <v>21900</v>
      </c>
      <c r="P2049" s="17">
        <v>21900</v>
      </c>
      <c r="Q2049" s="17">
        <f t="shared" si="54"/>
        <v>0</v>
      </c>
      <c r="R2049" s="285" t="s">
        <v>11156</v>
      </c>
      <c r="S2049" s="14">
        <v>44448</v>
      </c>
      <c r="T2049" s="22" t="s">
        <v>11157</v>
      </c>
    </row>
    <row r="2050" spans="1:20" ht="93" customHeight="1" x14ac:dyDescent="0.2">
      <c r="A2050" s="21">
        <v>2082</v>
      </c>
      <c r="B2050" s="12" t="s">
        <v>11161</v>
      </c>
      <c r="C2050" s="289"/>
      <c r="D2050" s="13" t="s">
        <v>11162</v>
      </c>
      <c r="E2050" s="12" t="s">
        <v>10757</v>
      </c>
      <c r="F2050" s="9" t="s">
        <v>11238</v>
      </c>
      <c r="G2050" s="285" t="s">
        <v>4296</v>
      </c>
      <c r="H2050" s="285" t="s">
        <v>10494</v>
      </c>
      <c r="I2050" s="224"/>
      <c r="J2050" s="14" t="s">
        <v>10461</v>
      </c>
      <c r="K2050" s="22" t="s">
        <v>11205</v>
      </c>
      <c r="L2050" s="289">
        <v>788</v>
      </c>
      <c r="M2050" s="225">
        <v>44461</v>
      </c>
      <c r="N2050" s="16">
        <v>1</v>
      </c>
      <c r="O2050" s="17">
        <v>294965</v>
      </c>
      <c r="P2050" s="17">
        <v>24580.35</v>
      </c>
      <c r="Q2050" s="17">
        <f t="shared" ref="Q2050:Q2060" si="55">O2050-P2050</f>
        <v>270384.65000000002</v>
      </c>
      <c r="R2050" s="285" t="s">
        <v>10501</v>
      </c>
      <c r="S2050" s="14">
        <v>44240</v>
      </c>
      <c r="T2050" s="22" t="s">
        <v>11163</v>
      </c>
    </row>
    <row r="2051" spans="1:20" ht="93" customHeight="1" x14ac:dyDescent="0.2">
      <c r="A2051" s="21">
        <v>2083</v>
      </c>
      <c r="B2051" s="12" t="s">
        <v>11201</v>
      </c>
      <c r="C2051" s="289"/>
      <c r="D2051" s="13" t="s">
        <v>11202</v>
      </c>
      <c r="E2051" s="12" t="s">
        <v>10757</v>
      </c>
      <c r="F2051" s="9" t="s">
        <v>11204</v>
      </c>
      <c r="G2051" s="285" t="s">
        <v>2437</v>
      </c>
      <c r="H2051" s="285" t="s">
        <v>5127</v>
      </c>
      <c r="I2051" s="224"/>
      <c r="J2051" s="14" t="s">
        <v>10461</v>
      </c>
      <c r="K2051" s="22" t="s">
        <v>11208</v>
      </c>
      <c r="L2051" s="289">
        <v>803</v>
      </c>
      <c r="M2051" s="225">
        <v>44494</v>
      </c>
      <c r="N2051" s="16">
        <v>1</v>
      </c>
      <c r="O2051" s="17">
        <v>31499</v>
      </c>
      <c r="P2051" s="17">
        <v>31499</v>
      </c>
      <c r="Q2051" s="17">
        <f t="shared" si="55"/>
        <v>0</v>
      </c>
      <c r="R2051" s="285" t="s">
        <v>10501</v>
      </c>
      <c r="S2051" s="14">
        <v>44488</v>
      </c>
      <c r="T2051" s="22" t="s">
        <v>11203</v>
      </c>
    </row>
    <row r="2052" spans="1:20" ht="93" customHeight="1" x14ac:dyDescent="0.2">
      <c r="A2052" s="21">
        <v>2084</v>
      </c>
      <c r="B2052" s="12" t="s">
        <v>11226</v>
      </c>
      <c r="C2052" s="289"/>
      <c r="D2052" s="13" t="s">
        <v>11209</v>
      </c>
      <c r="E2052" s="12" t="s">
        <v>10757</v>
      </c>
      <c r="F2052" s="9"/>
      <c r="G2052" s="285" t="s">
        <v>8293</v>
      </c>
      <c r="H2052" s="285" t="s">
        <v>5127</v>
      </c>
      <c r="I2052" s="224"/>
      <c r="J2052" s="14" t="s">
        <v>10461</v>
      </c>
      <c r="K2052" s="14" t="s">
        <v>11217</v>
      </c>
      <c r="L2052" s="289" t="s">
        <v>11218</v>
      </c>
      <c r="M2052" s="225">
        <v>44356</v>
      </c>
      <c r="N2052" s="16">
        <v>1</v>
      </c>
      <c r="O2052" s="17">
        <v>9169.7999999999993</v>
      </c>
      <c r="P2052" s="17">
        <v>9169.7999999999993</v>
      </c>
      <c r="Q2052" s="17">
        <f t="shared" si="55"/>
        <v>0</v>
      </c>
      <c r="R2052" s="285" t="s">
        <v>10874</v>
      </c>
      <c r="S2052" s="14">
        <v>44356</v>
      </c>
      <c r="T2052" s="22" t="s">
        <v>11210</v>
      </c>
    </row>
    <row r="2053" spans="1:20" ht="93" customHeight="1" x14ac:dyDescent="0.2">
      <c r="A2053" s="21">
        <v>2085</v>
      </c>
      <c r="B2053" s="12" t="s">
        <v>11227</v>
      </c>
      <c r="C2053" s="289"/>
      <c r="D2053" s="13" t="s">
        <v>11211</v>
      </c>
      <c r="E2053" s="12" t="s">
        <v>10757</v>
      </c>
      <c r="F2053" s="9"/>
      <c r="G2053" s="285" t="s">
        <v>8293</v>
      </c>
      <c r="H2053" s="285" t="s">
        <v>5127</v>
      </c>
      <c r="I2053" s="224"/>
      <c r="J2053" s="14" t="s">
        <v>10461</v>
      </c>
      <c r="K2053" s="14" t="s">
        <v>11217</v>
      </c>
      <c r="L2053" s="289" t="s">
        <v>11218</v>
      </c>
      <c r="M2053" s="225">
        <v>44356</v>
      </c>
      <c r="N2053" s="16">
        <v>1</v>
      </c>
      <c r="O2053" s="17">
        <v>34000</v>
      </c>
      <c r="P2053" s="17">
        <v>34000</v>
      </c>
      <c r="Q2053" s="17">
        <f t="shared" si="55"/>
        <v>0</v>
      </c>
      <c r="R2053" s="285" t="s">
        <v>10874</v>
      </c>
      <c r="S2053" s="14">
        <v>44356</v>
      </c>
      <c r="T2053" s="22" t="s">
        <v>11210</v>
      </c>
    </row>
    <row r="2054" spans="1:20" ht="93" customHeight="1" x14ac:dyDescent="0.2">
      <c r="A2054" s="21">
        <v>2086</v>
      </c>
      <c r="B2054" s="12" t="s">
        <v>11228</v>
      </c>
      <c r="C2054" s="289"/>
      <c r="D2054" s="13" t="s">
        <v>11221</v>
      </c>
      <c r="E2054" s="12" t="s">
        <v>10757</v>
      </c>
      <c r="F2054" s="9" t="s">
        <v>11220</v>
      </c>
      <c r="G2054" s="285" t="s">
        <v>10465</v>
      </c>
      <c r="H2054" s="285" t="s">
        <v>2042</v>
      </c>
      <c r="I2054" s="224"/>
      <c r="J2054" s="14" t="s">
        <v>10461</v>
      </c>
      <c r="K2054" s="14">
        <v>44517</v>
      </c>
      <c r="L2054" s="289">
        <v>847</v>
      </c>
      <c r="M2054" s="225"/>
      <c r="N2054" s="16">
        <v>30</v>
      </c>
      <c r="O2054" s="17">
        <v>59970</v>
      </c>
      <c r="P2054" s="17">
        <v>0</v>
      </c>
      <c r="Q2054" s="17">
        <f t="shared" si="55"/>
        <v>59970</v>
      </c>
      <c r="R2054" s="285" t="s">
        <v>11222</v>
      </c>
      <c r="S2054" s="14">
        <v>44507</v>
      </c>
      <c r="T2054" s="22" t="s">
        <v>11223</v>
      </c>
    </row>
    <row r="2055" spans="1:20" ht="34.5" customHeight="1" x14ac:dyDescent="0.2">
      <c r="A2055" s="21">
        <v>2087</v>
      </c>
      <c r="B2055" s="12" t="s">
        <v>11229</v>
      </c>
      <c r="C2055" s="289"/>
      <c r="D2055" s="13" t="s">
        <v>11225</v>
      </c>
      <c r="E2055" s="12" t="s">
        <v>10757</v>
      </c>
      <c r="F2055" s="9" t="s">
        <v>11224</v>
      </c>
      <c r="G2055" s="285" t="s">
        <v>10465</v>
      </c>
      <c r="H2055" s="285" t="s">
        <v>2042</v>
      </c>
      <c r="I2055" s="224"/>
      <c r="J2055" s="14" t="s">
        <v>10461</v>
      </c>
      <c r="K2055" s="14">
        <v>44517</v>
      </c>
      <c r="L2055" s="289">
        <v>847</v>
      </c>
      <c r="M2055" s="225"/>
      <c r="N2055" s="16">
        <v>10</v>
      </c>
      <c r="O2055" s="17">
        <v>27990</v>
      </c>
      <c r="P2055" s="17">
        <v>0</v>
      </c>
      <c r="Q2055" s="17">
        <f t="shared" si="55"/>
        <v>27990</v>
      </c>
      <c r="R2055" s="285" t="s">
        <v>11222</v>
      </c>
      <c r="S2055" s="14">
        <v>44507</v>
      </c>
      <c r="T2055" s="22" t="s">
        <v>11223</v>
      </c>
    </row>
    <row r="2056" spans="1:20" ht="49.5" customHeight="1" x14ac:dyDescent="0.2">
      <c r="A2056" s="21">
        <v>2088</v>
      </c>
      <c r="B2056" s="12" t="s">
        <v>11251</v>
      </c>
      <c r="C2056" s="289"/>
      <c r="D2056" s="13" t="s">
        <v>11249</v>
      </c>
      <c r="E2056" s="12" t="s">
        <v>10757</v>
      </c>
      <c r="F2056" s="9" t="s">
        <v>11256</v>
      </c>
      <c r="G2056" s="285" t="s">
        <v>4296</v>
      </c>
      <c r="H2056" s="285" t="s">
        <v>10494</v>
      </c>
      <c r="I2056" s="224"/>
      <c r="J2056" s="14" t="s">
        <v>10461</v>
      </c>
      <c r="K2056" s="14">
        <v>44523</v>
      </c>
      <c r="L2056" s="289">
        <v>857</v>
      </c>
      <c r="M2056" s="225">
        <v>44495</v>
      </c>
      <c r="N2056" s="16">
        <v>1</v>
      </c>
      <c r="O2056" s="17">
        <v>78433.33</v>
      </c>
      <c r="P2056" s="17">
        <v>18301.080000000002</v>
      </c>
      <c r="Q2056" s="17">
        <f t="shared" si="55"/>
        <v>60132.25</v>
      </c>
      <c r="R2056" s="285" t="s">
        <v>10501</v>
      </c>
      <c r="S2056" s="14">
        <v>44439</v>
      </c>
      <c r="T2056" s="22" t="s">
        <v>11250</v>
      </c>
    </row>
    <row r="2057" spans="1:20" ht="49.5" customHeight="1" x14ac:dyDescent="0.2">
      <c r="A2057" s="21">
        <v>2089</v>
      </c>
      <c r="B2057" s="12" t="s">
        <v>11267</v>
      </c>
      <c r="C2057" s="289"/>
      <c r="D2057" s="13" t="s">
        <v>11268</v>
      </c>
      <c r="E2057" s="12" t="s">
        <v>10757</v>
      </c>
      <c r="F2057" s="9" t="s">
        <v>11289</v>
      </c>
      <c r="G2057" s="285" t="s">
        <v>4296</v>
      </c>
      <c r="H2057" s="285" t="s">
        <v>10494</v>
      </c>
      <c r="I2057" s="224"/>
      <c r="J2057" s="14" t="s">
        <v>10461</v>
      </c>
      <c r="K2057" s="14">
        <v>44539</v>
      </c>
      <c r="L2057" s="289">
        <v>910</v>
      </c>
      <c r="M2057" s="225">
        <v>44515</v>
      </c>
      <c r="N2057" s="16">
        <v>1</v>
      </c>
      <c r="O2057" s="17">
        <v>47666.67</v>
      </c>
      <c r="P2057" s="17">
        <v>10327.719999999999</v>
      </c>
      <c r="Q2057" s="17">
        <f t="shared" si="55"/>
        <v>37338.949999999997</v>
      </c>
      <c r="R2057" s="285" t="s">
        <v>10501</v>
      </c>
      <c r="S2057" s="14">
        <v>44420</v>
      </c>
      <c r="T2057" s="22" t="s">
        <v>11269</v>
      </c>
    </row>
    <row r="2058" spans="1:20" ht="49.5" customHeight="1" x14ac:dyDescent="0.2">
      <c r="A2058" s="21">
        <v>2090</v>
      </c>
      <c r="B2058" s="12" t="s">
        <v>11270</v>
      </c>
      <c r="C2058" s="289"/>
      <c r="D2058" s="13" t="s">
        <v>11271</v>
      </c>
      <c r="E2058" s="12" t="s">
        <v>10757</v>
      </c>
      <c r="F2058" s="9"/>
      <c r="G2058" s="285" t="s">
        <v>258</v>
      </c>
      <c r="H2058" s="285" t="s">
        <v>10499</v>
      </c>
      <c r="I2058" s="224"/>
      <c r="J2058" s="14" t="s">
        <v>10461</v>
      </c>
      <c r="K2058" s="14">
        <v>44538</v>
      </c>
      <c r="L2058" s="289">
        <v>905</v>
      </c>
      <c r="M2058" s="225">
        <v>44511</v>
      </c>
      <c r="N2058" s="16">
        <v>2</v>
      </c>
      <c r="O2058" s="17">
        <v>52198</v>
      </c>
      <c r="P2058" s="17">
        <v>52198</v>
      </c>
      <c r="Q2058" s="17">
        <f t="shared" si="55"/>
        <v>0</v>
      </c>
      <c r="R2058" s="285" t="s">
        <v>10501</v>
      </c>
      <c r="S2058" s="14">
        <v>44511</v>
      </c>
      <c r="T2058" s="22" t="s">
        <v>11272</v>
      </c>
    </row>
    <row r="2059" spans="1:20" ht="49.5" customHeight="1" x14ac:dyDescent="0.2">
      <c r="A2059" s="21">
        <v>2091</v>
      </c>
      <c r="B2059" s="12" t="s">
        <v>11273</v>
      </c>
      <c r="C2059" s="289"/>
      <c r="D2059" s="13" t="s">
        <v>11271</v>
      </c>
      <c r="E2059" s="12" t="s">
        <v>10757</v>
      </c>
      <c r="F2059" s="9"/>
      <c r="G2059" s="285" t="s">
        <v>258</v>
      </c>
      <c r="H2059" s="285" t="s">
        <v>10499</v>
      </c>
      <c r="I2059" s="224"/>
      <c r="J2059" s="14" t="s">
        <v>10461</v>
      </c>
      <c r="K2059" s="14">
        <v>44538</v>
      </c>
      <c r="L2059" s="289">
        <v>905</v>
      </c>
      <c r="M2059" s="225">
        <v>44531</v>
      </c>
      <c r="N2059" s="16">
        <v>1</v>
      </c>
      <c r="O2059" s="17">
        <v>26099</v>
      </c>
      <c r="P2059" s="17">
        <v>26099</v>
      </c>
      <c r="Q2059" s="17">
        <f t="shared" si="55"/>
        <v>0</v>
      </c>
      <c r="R2059" s="285" t="s">
        <v>10501</v>
      </c>
      <c r="S2059" s="14">
        <v>44526</v>
      </c>
      <c r="T2059" s="22" t="s">
        <v>11274</v>
      </c>
    </row>
    <row r="2060" spans="1:20" ht="49.5" customHeight="1" x14ac:dyDescent="0.2">
      <c r="A2060" s="21">
        <v>2092</v>
      </c>
      <c r="B2060" s="12" t="s">
        <v>11275</v>
      </c>
      <c r="C2060" s="289"/>
      <c r="D2060" s="13" t="s">
        <v>11276</v>
      </c>
      <c r="E2060" s="12" t="s">
        <v>10757</v>
      </c>
      <c r="F2060" s="9"/>
      <c r="G2060" s="285" t="s">
        <v>258</v>
      </c>
      <c r="H2060" s="285" t="s">
        <v>10499</v>
      </c>
      <c r="I2060" s="224"/>
      <c r="J2060" s="14" t="s">
        <v>10461</v>
      </c>
      <c r="K2060" s="14">
        <v>44538</v>
      </c>
      <c r="L2060" s="289">
        <v>905</v>
      </c>
      <c r="M2060" s="225">
        <v>44531</v>
      </c>
      <c r="N2060" s="16">
        <v>2</v>
      </c>
      <c r="O2060" s="17">
        <v>62998</v>
      </c>
      <c r="P2060" s="17">
        <v>62998</v>
      </c>
      <c r="Q2060" s="17">
        <f t="shared" si="55"/>
        <v>0</v>
      </c>
      <c r="R2060" s="285" t="s">
        <v>10501</v>
      </c>
      <c r="S2060" s="14">
        <v>44526</v>
      </c>
      <c r="T2060" s="22" t="s">
        <v>11274</v>
      </c>
    </row>
    <row r="2061" spans="1:20" ht="49.5" customHeight="1" x14ac:dyDescent="0.2">
      <c r="A2061" s="21">
        <v>2093</v>
      </c>
      <c r="B2061" s="12" t="s">
        <v>11298</v>
      </c>
      <c r="C2061" s="289"/>
      <c r="D2061" s="13" t="s">
        <v>11299</v>
      </c>
      <c r="E2061" s="12" t="s">
        <v>10757</v>
      </c>
      <c r="F2061" s="9" t="s">
        <v>11300</v>
      </c>
      <c r="G2061" s="285" t="s">
        <v>7983</v>
      </c>
      <c r="H2061" s="285" t="s">
        <v>10499</v>
      </c>
      <c r="I2061" s="224"/>
      <c r="J2061" s="14" t="s">
        <v>10461</v>
      </c>
      <c r="K2061" s="14">
        <v>44544</v>
      </c>
      <c r="L2061" s="289">
        <v>928</v>
      </c>
      <c r="M2061" s="225">
        <v>44531</v>
      </c>
      <c r="N2061" s="16">
        <v>1</v>
      </c>
      <c r="O2061" s="17">
        <v>10999</v>
      </c>
      <c r="P2061" s="17">
        <v>10999</v>
      </c>
      <c r="Q2061" s="17">
        <f t="shared" ref="Q2061:Q2069" si="56">O2061-P2061</f>
        <v>0</v>
      </c>
      <c r="R2061" s="285" t="s">
        <v>10456</v>
      </c>
      <c r="S2061" s="14">
        <v>44526</v>
      </c>
      <c r="T2061" s="22" t="s">
        <v>11345</v>
      </c>
    </row>
    <row r="2062" spans="1:20" ht="49.5" customHeight="1" x14ac:dyDescent="0.2">
      <c r="A2062" s="21">
        <v>2094</v>
      </c>
      <c r="B2062" s="12" t="s">
        <v>11322</v>
      </c>
      <c r="C2062" s="289"/>
      <c r="D2062" s="13" t="s">
        <v>11301</v>
      </c>
      <c r="E2062" s="12" t="s">
        <v>10757</v>
      </c>
      <c r="F2062" s="9" t="s">
        <v>11302</v>
      </c>
      <c r="G2062" s="285" t="s">
        <v>7983</v>
      </c>
      <c r="H2062" s="285" t="s">
        <v>10499</v>
      </c>
      <c r="I2062" s="224"/>
      <c r="J2062" s="14" t="s">
        <v>10461</v>
      </c>
      <c r="K2062" s="14">
        <v>44544</v>
      </c>
      <c r="L2062" s="289">
        <v>928</v>
      </c>
      <c r="M2062" s="225">
        <v>44531</v>
      </c>
      <c r="N2062" s="16">
        <v>1</v>
      </c>
      <c r="O2062" s="17">
        <v>24493</v>
      </c>
      <c r="P2062" s="17">
        <v>24493</v>
      </c>
      <c r="Q2062" s="17">
        <f t="shared" si="56"/>
        <v>0</v>
      </c>
      <c r="R2062" s="285" t="s">
        <v>10456</v>
      </c>
      <c r="S2062" s="14">
        <v>44526</v>
      </c>
      <c r="T2062" s="22" t="s">
        <v>11345</v>
      </c>
    </row>
    <row r="2063" spans="1:20" ht="49.5" customHeight="1" x14ac:dyDescent="0.2">
      <c r="A2063" s="21">
        <v>2095</v>
      </c>
      <c r="B2063" s="12" t="s">
        <v>11323</v>
      </c>
      <c r="C2063" s="289"/>
      <c r="D2063" s="13" t="s">
        <v>11303</v>
      </c>
      <c r="E2063" s="12" t="s">
        <v>10757</v>
      </c>
      <c r="F2063" s="9" t="s">
        <v>11306</v>
      </c>
      <c r="G2063" s="285" t="s">
        <v>7983</v>
      </c>
      <c r="H2063" s="285" t="s">
        <v>10499</v>
      </c>
      <c r="I2063" s="224"/>
      <c r="J2063" s="14" t="s">
        <v>10461</v>
      </c>
      <c r="K2063" s="14">
        <v>44544</v>
      </c>
      <c r="L2063" s="289">
        <v>928</v>
      </c>
      <c r="M2063" s="225">
        <v>44531</v>
      </c>
      <c r="N2063" s="16">
        <v>1</v>
      </c>
      <c r="O2063" s="17">
        <v>26099</v>
      </c>
      <c r="P2063" s="17">
        <v>26099</v>
      </c>
      <c r="Q2063" s="17">
        <f t="shared" si="56"/>
        <v>0</v>
      </c>
      <c r="R2063" s="285" t="s">
        <v>10456</v>
      </c>
      <c r="S2063" s="14">
        <v>44526</v>
      </c>
      <c r="T2063" s="22" t="s">
        <v>11345</v>
      </c>
    </row>
    <row r="2064" spans="1:20" ht="49.5" customHeight="1" x14ac:dyDescent="0.2">
      <c r="A2064" s="21">
        <v>2096</v>
      </c>
      <c r="B2064" s="12" t="s">
        <v>11304</v>
      </c>
      <c r="C2064" s="289"/>
      <c r="D2064" s="13" t="s">
        <v>11305</v>
      </c>
      <c r="E2064" s="12" t="s">
        <v>10757</v>
      </c>
      <c r="F2064" s="9" t="s">
        <v>11307</v>
      </c>
      <c r="G2064" s="285" t="s">
        <v>7983</v>
      </c>
      <c r="H2064" s="285" t="s">
        <v>10499</v>
      </c>
      <c r="I2064" s="224"/>
      <c r="J2064" s="14" t="s">
        <v>10461</v>
      </c>
      <c r="K2064" s="14">
        <v>44544</v>
      </c>
      <c r="L2064" s="289">
        <v>928</v>
      </c>
      <c r="M2064" s="225">
        <v>44531</v>
      </c>
      <c r="N2064" s="16">
        <v>5</v>
      </c>
      <c r="O2064" s="17">
        <v>134315</v>
      </c>
      <c r="P2064" s="17">
        <v>134315</v>
      </c>
      <c r="Q2064" s="17">
        <f t="shared" si="56"/>
        <v>0</v>
      </c>
      <c r="R2064" s="285" t="s">
        <v>10456</v>
      </c>
      <c r="S2064" s="14">
        <v>44533</v>
      </c>
      <c r="T2064" s="22" t="s">
        <v>11346</v>
      </c>
    </row>
    <row r="2065" spans="1:20" ht="49.5" customHeight="1" x14ac:dyDescent="0.2">
      <c r="A2065" s="21">
        <v>2097</v>
      </c>
      <c r="B2065" s="12" t="s">
        <v>11308</v>
      </c>
      <c r="C2065" s="289"/>
      <c r="D2065" s="13" t="s">
        <v>11299</v>
      </c>
      <c r="E2065" s="12" t="s">
        <v>10757</v>
      </c>
      <c r="F2065" s="9" t="s">
        <v>11309</v>
      </c>
      <c r="G2065" s="285" t="s">
        <v>7983</v>
      </c>
      <c r="H2065" s="285" t="s">
        <v>10499</v>
      </c>
      <c r="I2065" s="224"/>
      <c r="J2065" s="14" t="s">
        <v>10461</v>
      </c>
      <c r="K2065" s="14">
        <v>44544</v>
      </c>
      <c r="L2065" s="289">
        <v>928</v>
      </c>
      <c r="M2065" s="225">
        <v>44531</v>
      </c>
      <c r="N2065" s="16">
        <v>2</v>
      </c>
      <c r="O2065" s="17">
        <v>21998</v>
      </c>
      <c r="P2065" s="17">
        <v>21998</v>
      </c>
      <c r="Q2065" s="17">
        <f t="shared" si="56"/>
        <v>0</v>
      </c>
      <c r="R2065" s="285" t="s">
        <v>10456</v>
      </c>
      <c r="S2065" s="14">
        <v>44533</v>
      </c>
      <c r="T2065" s="22" t="s">
        <v>11346</v>
      </c>
    </row>
    <row r="2066" spans="1:20" ht="49.5" customHeight="1" x14ac:dyDescent="0.2">
      <c r="A2066" s="21">
        <v>2098</v>
      </c>
      <c r="B2066" s="12" t="s">
        <v>11324</v>
      </c>
      <c r="C2066" s="289"/>
      <c r="D2066" s="13" t="s">
        <v>11303</v>
      </c>
      <c r="E2066" s="12" t="s">
        <v>10757</v>
      </c>
      <c r="F2066" s="9" t="s">
        <v>11310</v>
      </c>
      <c r="G2066" s="285" t="s">
        <v>7983</v>
      </c>
      <c r="H2066" s="285" t="s">
        <v>10499</v>
      </c>
      <c r="I2066" s="224"/>
      <c r="J2066" s="14" t="s">
        <v>10461</v>
      </c>
      <c r="K2066" s="14">
        <v>44544</v>
      </c>
      <c r="L2066" s="289">
        <v>928</v>
      </c>
      <c r="M2066" s="225">
        <v>44531</v>
      </c>
      <c r="N2066" s="16">
        <v>3</v>
      </c>
      <c r="O2066" s="17">
        <v>78297</v>
      </c>
      <c r="P2066" s="17">
        <v>78297</v>
      </c>
      <c r="Q2066" s="17">
        <f t="shared" si="56"/>
        <v>0</v>
      </c>
      <c r="R2066" s="285" t="s">
        <v>10456</v>
      </c>
      <c r="S2066" s="14">
        <v>44533</v>
      </c>
      <c r="T2066" s="22" t="s">
        <v>11346</v>
      </c>
    </row>
    <row r="2067" spans="1:20" ht="49.5" customHeight="1" x14ac:dyDescent="0.2">
      <c r="A2067" s="21">
        <v>2099</v>
      </c>
      <c r="B2067" s="12" t="s">
        <v>11311</v>
      </c>
      <c r="C2067" s="289"/>
      <c r="D2067" s="13" t="s">
        <v>11202</v>
      </c>
      <c r="E2067" s="12" t="s">
        <v>10757</v>
      </c>
      <c r="F2067" s="9" t="s">
        <v>11313</v>
      </c>
      <c r="G2067" s="285" t="s">
        <v>2436</v>
      </c>
      <c r="H2067" s="285" t="s">
        <v>10499</v>
      </c>
      <c r="I2067" s="224"/>
      <c r="J2067" s="14" t="s">
        <v>10461</v>
      </c>
      <c r="K2067" s="14">
        <v>44544</v>
      </c>
      <c r="L2067" s="289">
        <v>927</v>
      </c>
      <c r="M2067" s="225">
        <v>44537</v>
      </c>
      <c r="N2067" s="16">
        <v>1</v>
      </c>
      <c r="O2067" s="17">
        <v>31499</v>
      </c>
      <c r="P2067" s="17">
        <v>31499</v>
      </c>
      <c r="Q2067" s="17">
        <f t="shared" si="56"/>
        <v>0</v>
      </c>
      <c r="R2067" s="285" t="s">
        <v>10463</v>
      </c>
      <c r="S2067" s="14">
        <v>44518</v>
      </c>
      <c r="T2067" s="22" t="s">
        <v>11312</v>
      </c>
    </row>
    <row r="2068" spans="1:20" ht="49.5" customHeight="1" x14ac:dyDescent="0.2">
      <c r="A2068" s="21">
        <v>2100</v>
      </c>
      <c r="B2068" s="12" t="s">
        <v>11314</v>
      </c>
      <c r="C2068" s="289"/>
      <c r="D2068" s="13" t="s">
        <v>11316</v>
      </c>
      <c r="E2068" s="12" t="s">
        <v>10757</v>
      </c>
      <c r="F2068" s="9" t="s">
        <v>11321</v>
      </c>
      <c r="G2068" s="285" t="s">
        <v>2436</v>
      </c>
      <c r="H2068" s="285" t="s">
        <v>10499</v>
      </c>
      <c r="I2068" s="224"/>
      <c r="J2068" s="14" t="s">
        <v>10461</v>
      </c>
      <c r="K2068" s="14">
        <v>44544</v>
      </c>
      <c r="L2068" s="289">
        <v>927</v>
      </c>
      <c r="M2068" s="225">
        <v>44537</v>
      </c>
      <c r="N2068" s="16">
        <v>1</v>
      </c>
      <c r="O2068" s="17">
        <v>10699</v>
      </c>
      <c r="P2068" s="17">
        <v>10699</v>
      </c>
      <c r="Q2068" s="17">
        <f t="shared" si="56"/>
        <v>0</v>
      </c>
      <c r="R2068" s="285" t="s">
        <v>10463</v>
      </c>
      <c r="S2068" s="14">
        <v>44518</v>
      </c>
      <c r="T2068" s="22" t="s">
        <v>11315</v>
      </c>
    </row>
    <row r="2069" spans="1:20" ht="49.5" customHeight="1" x14ac:dyDescent="0.2">
      <c r="A2069" s="21">
        <v>2101</v>
      </c>
      <c r="B2069" s="12" t="s">
        <v>11332</v>
      </c>
      <c r="C2069" s="289"/>
      <c r="D2069" s="9" t="s">
        <v>11328</v>
      </c>
      <c r="E2069" s="22" t="s">
        <v>10757</v>
      </c>
      <c r="F2069" s="27" t="s">
        <v>11329</v>
      </c>
      <c r="G2069" s="285" t="s">
        <v>7981</v>
      </c>
      <c r="H2069" s="285" t="s">
        <v>10499</v>
      </c>
      <c r="I2069" s="289"/>
      <c r="J2069" s="285" t="s">
        <v>10461</v>
      </c>
      <c r="K2069" s="14">
        <v>44544</v>
      </c>
      <c r="L2069" s="289">
        <v>931</v>
      </c>
      <c r="M2069" s="14">
        <v>44540</v>
      </c>
      <c r="N2069" s="40">
        <v>1</v>
      </c>
      <c r="O2069" s="40">
        <v>10699</v>
      </c>
      <c r="P2069" s="40">
        <v>10699</v>
      </c>
      <c r="Q2069" s="17">
        <f t="shared" si="56"/>
        <v>0</v>
      </c>
      <c r="R2069" s="285" t="s">
        <v>11330</v>
      </c>
      <c r="S2069" s="14">
        <v>44540</v>
      </c>
      <c r="T2069" s="22" t="s">
        <v>11331</v>
      </c>
    </row>
    <row r="2070" spans="1:20" ht="49.5" customHeight="1" x14ac:dyDescent="0.2">
      <c r="A2070" s="21">
        <v>2102</v>
      </c>
      <c r="B2070" s="12" t="s">
        <v>11351</v>
      </c>
      <c r="C2070" s="289"/>
      <c r="D2070" s="9" t="s">
        <v>11350</v>
      </c>
      <c r="E2070" s="22" t="s">
        <v>10757</v>
      </c>
      <c r="F2070" s="27" t="s">
        <v>11352</v>
      </c>
      <c r="G2070" s="285" t="s">
        <v>4877</v>
      </c>
      <c r="H2070" s="285" t="s">
        <v>10494</v>
      </c>
      <c r="I2070" s="289"/>
      <c r="J2070" s="285" t="s">
        <v>10461</v>
      </c>
      <c r="K2070" s="14">
        <v>44522</v>
      </c>
      <c r="L2070" s="289">
        <v>958</v>
      </c>
      <c r="M2070" s="14">
        <v>44546</v>
      </c>
      <c r="N2070" s="40">
        <v>1</v>
      </c>
      <c r="O2070" s="40">
        <v>204270</v>
      </c>
      <c r="P2070" s="40">
        <v>40854</v>
      </c>
      <c r="Q2070" s="17">
        <f t="shared" ref="Q2070:Q2078" si="57">O2070-P2070</f>
        <v>163416</v>
      </c>
      <c r="R2070" s="285" t="s">
        <v>7155</v>
      </c>
      <c r="S2070" s="15">
        <v>44501</v>
      </c>
      <c r="T2070" s="22" t="s">
        <v>11348</v>
      </c>
    </row>
    <row r="2071" spans="1:20" ht="49.5" customHeight="1" x14ac:dyDescent="0.2">
      <c r="A2071" s="21">
        <v>2103</v>
      </c>
      <c r="B2071" s="12" t="s">
        <v>11353</v>
      </c>
      <c r="C2071" s="289"/>
      <c r="D2071" s="9" t="s">
        <v>11354</v>
      </c>
      <c r="E2071" s="22" t="s">
        <v>10757</v>
      </c>
      <c r="F2071" s="27" t="s">
        <v>11355</v>
      </c>
      <c r="G2071" s="285" t="s">
        <v>4877</v>
      </c>
      <c r="H2071" s="285" t="s">
        <v>10494</v>
      </c>
      <c r="I2071" s="289"/>
      <c r="J2071" s="285" t="s">
        <v>10461</v>
      </c>
      <c r="K2071" s="14">
        <v>44522</v>
      </c>
      <c r="L2071" s="289">
        <v>958</v>
      </c>
      <c r="M2071" s="14">
        <v>44546</v>
      </c>
      <c r="N2071" s="40">
        <v>1</v>
      </c>
      <c r="O2071" s="40">
        <v>89100</v>
      </c>
      <c r="P2071" s="40">
        <v>17820</v>
      </c>
      <c r="Q2071" s="17">
        <f t="shared" si="57"/>
        <v>71280</v>
      </c>
      <c r="R2071" s="285" t="s">
        <v>7155</v>
      </c>
      <c r="S2071" s="15">
        <v>44501</v>
      </c>
      <c r="T2071" s="22" t="s">
        <v>11348</v>
      </c>
    </row>
    <row r="2072" spans="1:20" ht="49.5" customHeight="1" x14ac:dyDescent="0.2">
      <c r="A2072" s="21">
        <v>2104</v>
      </c>
      <c r="B2072" s="12" t="s">
        <v>11356</v>
      </c>
      <c r="C2072" s="289"/>
      <c r="D2072" s="9" t="s">
        <v>11357</v>
      </c>
      <c r="E2072" s="22" t="s">
        <v>10757</v>
      </c>
      <c r="F2072" s="27" t="s">
        <v>11358</v>
      </c>
      <c r="G2072" s="285" t="s">
        <v>4877</v>
      </c>
      <c r="H2072" s="285" t="s">
        <v>10494</v>
      </c>
      <c r="I2072" s="289"/>
      <c r="J2072" s="285" t="s">
        <v>10461</v>
      </c>
      <c r="K2072" s="14">
        <v>44522</v>
      </c>
      <c r="L2072" s="289">
        <v>958</v>
      </c>
      <c r="M2072" s="14">
        <v>44546</v>
      </c>
      <c r="N2072" s="40">
        <v>1</v>
      </c>
      <c r="O2072" s="40">
        <v>118800</v>
      </c>
      <c r="P2072" s="40">
        <v>23760</v>
      </c>
      <c r="Q2072" s="17">
        <f t="shared" si="57"/>
        <v>95040</v>
      </c>
      <c r="R2072" s="285" t="s">
        <v>7155</v>
      </c>
      <c r="S2072" s="15">
        <v>44501</v>
      </c>
      <c r="T2072" s="22" t="s">
        <v>11348</v>
      </c>
    </row>
    <row r="2073" spans="1:20" ht="49.5" customHeight="1" x14ac:dyDescent="0.2">
      <c r="A2073" s="21">
        <v>2105</v>
      </c>
      <c r="B2073" s="12" t="s">
        <v>11359</v>
      </c>
      <c r="C2073" s="289"/>
      <c r="D2073" s="9" t="s">
        <v>11360</v>
      </c>
      <c r="E2073" s="22" t="s">
        <v>10757</v>
      </c>
      <c r="F2073" s="27" t="s">
        <v>11361</v>
      </c>
      <c r="G2073" s="285" t="s">
        <v>4877</v>
      </c>
      <c r="H2073" s="285" t="s">
        <v>10494</v>
      </c>
      <c r="I2073" s="289"/>
      <c r="J2073" s="285" t="s">
        <v>10461</v>
      </c>
      <c r="K2073" s="14">
        <v>44522</v>
      </c>
      <c r="L2073" s="289">
        <v>958</v>
      </c>
      <c r="M2073" s="14">
        <v>44546</v>
      </c>
      <c r="N2073" s="40">
        <v>1</v>
      </c>
      <c r="O2073" s="40">
        <v>124079</v>
      </c>
      <c r="P2073" s="40">
        <v>24815.759999999998</v>
      </c>
      <c r="Q2073" s="17">
        <f t="shared" si="57"/>
        <v>99263.24</v>
      </c>
      <c r="R2073" s="285" t="s">
        <v>7155</v>
      </c>
      <c r="S2073" s="15">
        <v>44501</v>
      </c>
      <c r="T2073" s="22" t="s">
        <v>11348</v>
      </c>
    </row>
    <row r="2074" spans="1:20" ht="49.5" customHeight="1" x14ac:dyDescent="0.2">
      <c r="A2074" s="21">
        <v>2106</v>
      </c>
      <c r="B2074" s="12" t="s">
        <v>11375</v>
      </c>
      <c r="C2074" s="289"/>
      <c r="D2074" s="9" t="s">
        <v>11376</v>
      </c>
      <c r="E2074" s="22" t="s">
        <v>10757</v>
      </c>
      <c r="F2074" s="27" t="s">
        <v>11376</v>
      </c>
      <c r="G2074" s="285" t="s">
        <v>7983</v>
      </c>
      <c r="H2074" s="285" t="s">
        <v>10499</v>
      </c>
      <c r="I2074" s="289"/>
      <c r="J2074" s="285" t="s">
        <v>10461</v>
      </c>
      <c r="K2074" s="14">
        <v>44557</v>
      </c>
      <c r="L2074" s="289">
        <v>979</v>
      </c>
      <c r="M2074" s="14">
        <v>44550</v>
      </c>
      <c r="N2074" s="40">
        <v>1</v>
      </c>
      <c r="O2074" s="40">
        <v>11100</v>
      </c>
      <c r="P2074" s="40">
        <v>11100</v>
      </c>
      <c r="Q2074" s="17">
        <f t="shared" si="57"/>
        <v>0</v>
      </c>
      <c r="R2074" s="285" t="s">
        <v>7155</v>
      </c>
      <c r="S2074" s="15">
        <v>44550</v>
      </c>
      <c r="T2074" s="22" t="s">
        <v>11377</v>
      </c>
    </row>
    <row r="2075" spans="1:20" ht="49.5" customHeight="1" x14ac:dyDescent="0.2">
      <c r="A2075" s="21">
        <v>2107</v>
      </c>
      <c r="B2075" s="12" t="s">
        <v>11378</v>
      </c>
      <c r="C2075" s="289"/>
      <c r="D2075" s="9" t="s">
        <v>11379</v>
      </c>
      <c r="E2075" s="22" t="s">
        <v>10757</v>
      </c>
      <c r="F2075" s="27" t="s">
        <v>11379</v>
      </c>
      <c r="G2075" s="285" t="s">
        <v>7983</v>
      </c>
      <c r="H2075" s="285" t="s">
        <v>10499</v>
      </c>
      <c r="I2075" s="289"/>
      <c r="J2075" s="285" t="s">
        <v>10461</v>
      </c>
      <c r="K2075" s="14">
        <v>44557</v>
      </c>
      <c r="L2075" s="289">
        <v>979</v>
      </c>
      <c r="M2075" s="14">
        <v>44550</v>
      </c>
      <c r="N2075" s="40">
        <v>1</v>
      </c>
      <c r="O2075" s="40">
        <v>11590</v>
      </c>
      <c r="P2075" s="40">
        <v>11590</v>
      </c>
      <c r="Q2075" s="17">
        <f t="shared" si="57"/>
        <v>0</v>
      </c>
      <c r="R2075" s="285" t="s">
        <v>7155</v>
      </c>
      <c r="S2075" s="15">
        <v>44550</v>
      </c>
      <c r="T2075" s="22" t="s">
        <v>11377</v>
      </c>
    </row>
    <row r="2076" spans="1:20" ht="49.5" customHeight="1" x14ac:dyDescent="0.2">
      <c r="A2076" s="21">
        <v>2108</v>
      </c>
      <c r="B2076" s="12" t="s">
        <v>11522</v>
      </c>
      <c r="C2076" s="289"/>
      <c r="D2076" s="9" t="s">
        <v>11388</v>
      </c>
      <c r="E2076" s="22" t="s">
        <v>10757</v>
      </c>
      <c r="F2076" s="27"/>
      <c r="G2076" s="285" t="s">
        <v>7981</v>
      </c>
      <c r="H2076" s="285" t="s">
        <v>10499</v>
      </c>
      <c r="I2076" s="289"/>
      <c r="J2076" s="285" t="s">
        <v>10461</v>
      </c>
      <c r="K2076" s="14" t="s">
        <v>11525</v>
      </c>
      <c r="L2076" s="289" t="s">
        <v>11526</v>
      </c>
      <c r="M2076" s="14"/>
      <c r="N2076" s="40">
        <v>7</v>
      </c>
      <c r="O2076" s="40">
        <v>69273.75</v>
      </c>
      <c r="P2076" s="40">
        <f>O2076</f>
        <v>69273.75</v>
      </c>
      <c r="Q2076" s="17">
        <f t="shared" si="57"/>
        <v>0</v>
      </c>
      <c r="R2076" s="285" t="s">
        <v>10874</v>
      </c>
      <c r="S2076" s="14" t="s">
        <v>11389</v>
      </c>
      <c r="T2076" s="22" t="s">
        <v>11390</v>
      </c>
    </row>
    <row r="2077" spans="1:20" ht="49.5" customHeight="1" x14ac:dyDescent="0.2">
      <c r="A2077" s="21">
        <v>2109</v>
      </c>
      <c r="B2077" s="12" t="s">
        <v>11523</v>
      </c>
      <c r="C2077" s="289"/>
      <c r="D2077" s="9" t="s">
        <v>11391</v>
      </c>
      <c r="E2077" s="22" t="s">
        <v>10757</v>
      </c>
      <c r="F2077" s="27"/>
      <c r="G2077" s="285" t="s">
        <v>7981</v>
      </c>
      <c r="H2077" s="285" t="s">
        <v>10499</v>
      </c>
      <c r="I2077" s="289"/>
      <c r="J2077" s="285" t="s">
        <v>10461</v>
      </c>
      <c r="K2077" s="14" t="s">
        <v>11525</v>
      </c>
      <c r="L2077" s="289" t="s">
        <v>11526</v>
      </c>
      <c r="M2077" s="14"/>
      <c r="N2077" s="40">
        <v>2</v>
      </c>
      <c r="O2077" s="40">
        <v>4445.9799999999996</v>
      </c>
      <c r="P2077" s="40">
        <f>O2077</f>
        <v>4445.9799999999996</v>
      </c>
      <c r="Q2077" s="17">
        <f t="shared" si="57"/>
        <v>0</v>
      </c>
      <c r="R2077" s="285" t="s">
        <v>10874</v>
      </c>
      <c r="S2077" s="14" t="s">
        <v>11389</v>
      </c>
      <c r="T2077" s="22" t="s">
        <v>11390</v>
      </c>
    </row>
    <row r="2078" spans="1:20" ht="49.5" customHeight="1" x14ac:dyDescent="0.2">
      <c r="A2078" s="21">
        <v>2110</v>
      </c>
      <c r="B2078" s="12" t="s">
        <v>11524</v>
      </c>
      <c r="C2078" s="289"/>
      <c r="D2078" s="9" t="s">
        <v>11392</v>
      </c>
      <c r="E2078" s="22" t="s">
        <v>10757</v>
      </c>
      <c r="F2078" s="27"/>
      <c r="G2078" s="285" t="s">
        <v>7981</v>
      </c>
      <c r="H2078" s="285" t="s">
        <v>10499</v>
      </c>
      <c r="I2078" s="289"/>
      <c r="J2078" s="285" t="s">
        <v>10461</v>
      </c>
      <c r="K2078" s="14" t="s">
        <v>11525</v>
      </c>
      <c r="L2078" s="289" t="s">
        <v>11526</v>
      </c>
      <c r="M2078" s="14"/>
      <c r="N2078" s="40">
        <v>7</v>
      </c>
      <c r="O2078" s="40">
        <v>370972.77</v>
      </c>
      <c r="P2078" s="40">
        <f>O2078</f>
        <v>370972.77</v>
      </c>
      <c r="Q2078" s="17">
        <f t="shared" si="57"/>
        <v>0</v>
      </c>
      <c r="R2078" s="285" t="s">
        <v>10874</v>
      </c>
      <c r="S2078" s="14" t="s">
        <v>11389</v>
      </c>
      <c r="T2078" s="22" t="s">
        <v>11390</v>
      </c>
    </row>
    <row r="2079" spans="1:20" ht="49.5" customHeight="1" x14ac:dyDescent="0.2">
      <c r="A2079" s="21">
        <v>2111</v>
      </c>
      <c r="B2079" s="12" t="s">
        <v>11407</v>
      </c>
      <c r="C2079" s="289"/>
      <c r="D2079" s="9" t="s">
        <v>11408</v>
      </c>
      <c r="E2079" s="22" t="s">
        <v>10757</v>
      </c>
      <c r="F2079" s="27"/>
      <c r="G2079" s="285" t="s">
        <v>10465</v>
      </c>
      <c r="H2079" s="285" t="s">
        <v>10784</v>
      </c>
      <c r="I2079" s="289"/>
      <c r="J2079" s="285" t="s">
        <v>10461</v>
      </c>
      <c r="K2079" s="14">
        <v>44560</v>
      </c>
      <c r="L2079" s="289">
        <v>1000</v>
      </c>
      <c r="M2079" s="14"/>
      <c r="N2079" s="40">
        <v>3</v>
      </c>
      <c r="O2079" s="40">
        <v>952812</v>
      </c>
      <c r="P2079" s="40">
        <v>0</v>
      </c>
      <c r="Q2079" s="40">
        <v>952812</v>
      </c>
      <c r="R2079" s="285" t="s">
        <v>10874</v>
      </c>
      <c r="S2079" s="14" t="s">
        <v>11409</v>
      </c>
      <c r="T2079" s="22" t="s">
        <v>11410</v>
      </c>
    </row>
    <row r="2080" spans="1:20" ht="49.5" customHeight="1" x14ac:dyDescent="0.2">
      <c r="A2080" s="21">
        <v>2112</v>
      </c>
      <c r="B2080" s="12" t="s">
        <v>11411</v>
      </c>
      <c r="C2080" s="289"/>
      <c r="D2080" s="9" t="s">
        <v>11412</v>
      </c>
      <c r="E2080" s="22" t="s">
        <v>10757</v>
      </c>
      <c r="F2080" s="27"/>
      <c r="G2080" s="285" t="s">
        <v>10465</v>
      </c>
      <c r="H2080" s="285" t="s">
        <v>10784</v>
      </c>
      <c r="I2080" s="289"/>
      <c r="J2080" s="285" t="s">
        <v>10461</v>
      </c>
      <c r="K2080" s="14">
        <v>44560</v>
      </c>
      <c r="L2080" s="289">
        <v>1000</v>
      </c>
      <c r="M2080" s="14"/>
      <c r="N2080" s="40">
        <v>3</v>
      </c>
      <c r="O2080" s="40">
        <v>53930.85</v>
      </c>
      <c r="P2080" s="40">
        <v>0</v>
      </c>
      <c r="Q2080" s="40">
        <v>53930.85</v>
      </c>
      <c r="R2080" s="285" t="s">
        <v>10874</v>
      </c>
      <c r="S2080" s="14" t="s">
        <v>11409</v>
      </c>
      <c r="T2080" s="22" t="s">
        <v>11410</v>
      </c>
    </row>
    <row r="2081" spans="1:20" ht="49.5" customHeight="1" x14ac:dyDescent="0.2">
      <c r="A2081" s="21">
        <v>2113</v>
      </c>
      <c r="B2081" s="12" t="s">
        <v>11413</v>
      </c>
      <c r="C2081" s="289"/>
      <c r="D2081" s="9" t="s">
        <v>5981</v>
      </c>
      <c r="E2081" s="22" t="s">
        <v>10757</v>
      </c>
      <c r="F2081" s="27"/>
      <c r="G2081" s="285" t="s">
        <v>10465</v>
      </c>
      <c r="H2081" s="285" t="s">
        <v>10784</v>
      </c>
      <c r="I2081" s="289"/>
      <c r="J2081" s="285" t="s">
        <v>10461</v>
      </c>
      <c r="K2081" s="14">
        <v>44560</v>
      </c>
      <c r="L2081" s="289">
        <v>1000</v>
      </c>
      <c r="M2081" s="14"/>
      <c r="N2081" s="40">
        <v>14</v>
      </c>
      <c r="O2081" s="40">
        <v>898065.56</v>
      </c>
      <c r="P2081" s="40">
        <v>0</v>
      </c>
      <c r="Q2081" s="40">
        <v>898065.56</v>
      </c>
      <c r="R2081" s="285" t="s">
        <v>10874</v>
      </c>
      <c r="S2081" s="14" t="s">
        <v>11409</v>
      </c>
      <c r="T2081" s="22" t="s">
        <v>11410</v>
      </c>
    </row>
    <row r="2082" spans="1:20" ht="49.5" customHeight="1" x14ac:dyDescent="0.2">
      <c r="A2082" s="21">
        <v>2114</v>
      </c>
      <c r="B2082" s="12" t="s">
        <v>11415</v>
      </c>
      <c r="C2082" s="289"/>
      <c r="D2082" s="9" t="s">
        <v>11414</v>
      </c>
      <c r="E2082" s="22" t="s">
        <v>10757</v>
      </c>
      <c r="F2082" s="27"/>
      <c r="G2082" s="285" t="s">
        <v>10465</v>
      </c>
      <c r="H2082" s="285" t="s">
        <v>10784</v>
      </c>
      <c r="I2082" s="289"/>
      <c r="J2082" s="285" t="s">
        <v>10461</v>
      </c>
      <c r="K2082" s="14">
        <v>44560</v>
      </c>
      <c r="L2082" s="289">
        <v>1000</v>
      </c>
      <c r="M2082" s="14"/>
      <c r="N2082" s="40">
        <v>1</v>
      </c>
      <c r="O2082" s="40">
        <v>305522.40999999997</v>
      </c>
      <c r="P2082" s="40">
        <v>0</v>
      </c>
      <c r="Q2082" s="40">
        <v>305522.40999999997</v>
      </c>
      <c r="R2082" s="285" t="s">
        <v>10874</v>
      </c>
      <c r="S2082" s="14" t="s">
        <v>11409</v>
      </c>
      <c r="T2082" s="22" t="s">
        <v>11410</v>
      </c>
    </row>
    <row r="2083" spans="1:20" ht="60.75" customHeight="1" x14ac:dyDescent="0.2">
      <c r="A2083" s="289">
        <v>2115</v>
      </c>
      <c r="B2083" s="12" t="s">
        <v>11443</v>
      </c>
      <c r="C2083" s="289"/>
      <c r="D2083" s="9" t="s">
        <v>11447</v>
      </c>
      <c r="E2083" s="22" t="s">
        <v>11444</v>
      </c>
      <c r="F2083" s="27" t="s">
        <v>11448</v>
      </c>
      <c r="G2083" s="285" t="s">
        <v>10465</v>
      </c>
      <c r="H2083" s="285" t="s">
        <v>10784</v>
      </c>
      <c r="I2083" s="289"/>
      <c r="J2083" s="285" t="s">
        <v>10461</v>
      </c>
      <c r="K2083" s="14">
        <v>44600</v>
      </c>
      <c r="L2083" s="289">
        <v>96</v>
      </c>
      <c r="M2083" s="14"/>
      <c r="N2083" s="40">
        <v>100</v>
      </c>
      <c r="O2083" s="40">
        <v>299000</v>
      </c>
      <c r="P2083" s="40">
        <v>0</v>
      </c>
      <c r="Q2083" s="40">
        <f t="shared" ref="Q2083:Q2089" si="58">O2083-P2083</f>
        <v>299000</v>
      </c>
      <c r="R2083" s="285" t="s">
        <v>10456</v>
      </c>
      <c r="S2083" s="14" t="s">
        <v>11446</v>
      </c>
      <c r="T2083" s="22" t="s">
        <v>11445</v>
      </c>
    </row>
    <row r="2084" spans="1:20" ht="60.75" customHeight="1" x14ac:dyDescent="0.2">
      <c r="A2084" s="289">
        <v>2116</v>
      </c>
      <c r="B2084" s="12" t="s">
        <v>11452</v>
      </c>
      <c r="C2084" s="289"/>
      <c r="D2084" s="9" t="s">
        <v>11455</v>
      </c>
      <c r="E2084" s="22" t="s">
        <v>11444</v>
      </c>
      <c r="F2084" s="27" t="s">
        <v>11479</v>
      </c>
      <c r="G2084" s="285" t="s">
        <v>792</v>
      </c>
      <c r="H2084" s="285" t="s">
        <v>10499</v>
      </c>
      <c r="I2084" s="289"/>
      <c r="J2084" s="285" t="s">
        <v>10461</v>
      </c>
      <c r="K2084" s="14">
        <v>44603</v>
      </c>
      <c r="L2084" s="289">
        <v>107</v>
      </c>
      <c r="M2084" s="14"/>
      <c r="N2084" s="40">
        <v>1</v>
      </c>
      <c r="O2084" s="40">
        <v>27999</v>
      </c>
      <c r="P2084" s="40">
        <f>O2084</f>
        <v>27999</v>
      </c>
      <c r="Q2084" s="40">
        <f t="shared" si="58"/>
        <v>0</v>
      </c>
      <c r="R2084" s="285" t="s">
        <v>10501</v>
      </c>
      <c r="S2084" s="14">
        <v>44547</v>
      </c>
      <c r="T2084" s="22" t="s">
        <v>11453</v>
      </c>
    </row>
    <row r="2085" spans="1:20" ht="60.75" customHeight="1" x14ac:dyDescent="0.2">
      <c r="A2085" s="289">
        <v>2117</v>
      </c>
      <c r="B2085" s="12" t="s">
        <v>11454</v>
      </c>
      <c r="C2085" s="289"/>
      <c r="D2085" s="9" t="s">
        <v>11456</v>
      </c>
      <c r="E2085" s="22" t="s">
        <v>11444</v>
      </c>
      <c r="F2085" s="27" t="s">
        <v>11480</v>
      </c>
      <c r="G2085" s="285" t="s">
        <v>792</v>
      </c>
      <c r="H2085" s="285" t="s">
        <v>10499</v>
      </c>
      <c r="I2085" s="289"/>
      <c r="J2085" s="285" t="s">
        <v>10461</v>
      </c>
      <c r="K2085" s="14">
        <v>44603</v>
      </c>
      <c r="L2085" s="289">
        <v>107</v>
      </c>
      <c r="M2085" s="14"/>
      <c r="N2085" s="40">
        <v>5</v>
      </c>
      <c r="O2085" s="40">
        <v>119995</v>
      </c>
      <c r="P2085" s="40">
        <f>O2085</f>
        <v>119995</v>
      </c>
      <c r="Q2085" s="40">
        <f t="shared" si="58"/>
        <v>0</v>
      </c>
      <c r="R2085" s="285" t="s">
        <v>10501</v>
      </c>
      <c r="S2085" s="14">
        <v>44547</v>
      </c>
      <c r="T2085" s="22" t="s">
        <v>11453</v>
      </c>
    </row>
    <row r="2086" spans="1:20" ht="60.75" customHeight="1" x14ac:dyDescent="0.2">
      <c r="A2086" s="289">
        <v>2118</v>
      </c>
      <c r="B2086" s="12" t="s">
        <v>11457</v>
      </c>
      <c r="C2086" s="289"/>
      <c r="D2086" s="9" t="s">
        <v>11458</v>
      </c>
      <c r="E2086" s="22" t="s">
        <v>11444</v>
      </c>
      <c r="F2086" s="27" t="s">
        <v>11481</v>
      </c>
      <c r="G2086" s="285" t="s">
        <v>792</v>
      </c>
      <c r="H2086" s="285" t="s">
        <v>10499</v>
      </c>
      <c r="I2086" s="289"/>
      <c r="J2086" s="285" t="s">
        <v>10461</v>
      </c>
      <c r="K2086" s="14">
        <v>44603</v>
      </c>
      <c r="L2086" s="289">
        <v>107</v>
      </c>
      <c r="M2086" s="14"/>
      <c r="N2086" s="40">
        <v>4</v>
      </c>
      <c r="O2086" s="40">
        <v>79996</v>
      </c>
      <c r="P2086" s="40">
        <f>O2086</f>
        <v>79996</v>
      </c>
      <c r="Q2086" s="40">
        <f t="shared" si="58"/>
        <v>0</v>
      </c>
      <c r="R2086" s="285" t="s">
        <v>10501</v>
      </c>
      <c r="S2086" s="14">
        <v>44547</v>
      </c>
      <c r="T2086" s="22" t="s">
        <v>11453</v>
      </c>
    </row>
    <row r="2087" spans="1:20" ht="60.75" customHeight="1" x14ac:dyDescent="0.2">
      <c r="A2087" s="289">
        <v>2119</v>
      </c>
      <c r="B2087" s="12" t="s">
        <v>11460</v>
      </c>
      <c r="C2087" s="289"/>
      <c r="D2087" s="9" t="s">
        <v>11459</v>
      </c>
      <c r="E2087" s="22" t="s">
        <v>11444</v>
      </c>
      <c r="F2087" s="27" t="s">
        <v>11478</v>
      </c>
      <c r="G2087" s="285" t="s">
        <v>792</v>
      </c>
      <c r="H2087" s="285" t="s">
        <v>10499</v>
      </c>
      <c r="I2087" s="289"/>
      <c r="J2087" s="285" t="s">
        <v>10461</v>
      </c>
      <c r="K2087" s="14">
        <v>44603</v>
      </c>
      <c r="L2087" s="289">
        <v>107</v>
      </c>
      <c r="M2087" s="14"/>
      <c r="N2087" s="40">
        <v>1</v>
      </c>
      <c r="O2087" s="40">
        <v>27866.16</v>
      </c>
      <c r="P2087" s="40">
        <f>O2087</f>
        <v>27866.16</v>
      </c>
      <c r="Q2087" s="40">
        <f t="shared" si="58"/>
        <v>0</v>
      </c>
      <c r="R2087" s="285" t="s">
        <v>10654</v>
      </c>
      <c r="S2087" s="14">
        <v>44368</v>
      </c>
      <c r="T2087" s="22" t="s">
        <v>10951</v>
      </c>
    </row>
    <row r="2088" spans="1:20" ht="60.75" customHeight="1" x14ac:dyDescent="0.2">
      <c r="A2088" s="289">
        <v>2120</v>
      </c>
      <c r="B2088" s="12" t="s">
        <v>11461</v>
      </c>
      <c r="C2088" s="289"/>
      <c r="D2088" s="9" t="s">
        <v>11462</v>
      </c>
      <c r="E2088" s="22" t="s">
        <v>11444</v>
      </c>
      <c r="F2088" s="27" t="s">
        <v>11484</v>
      </c>
      <c r="G2088" s="285" t="s">
        <v>7464</v>
      </c>
      <c r="H2088" s="285" t="s">
        <v>10499</v>
      </c>
      <c r="I2088" s="289"/>
      <c r="J2088" s="285" t="s">
        <v>10461</v>
      </c>
      <c r="K2088" s="14">
        <v>44603</v>
      </c>
      <c r="L2088" s="289">
        <v>106</v>
      </c>
      <c r="M2088" s="14">
        <v>44603</v>
      </c>
      <c r="N2088" s="40">
        <v>1</v>
      </c>
      <c r="O2088" s="40">
        <v>41488</v>
      </c>
      <c r="P2088" s="40">
        <v>41488</v>
      </c>
      <c r="Q2088" s="40">
        <f t="shared" si="58"/>
        <v>0</v>
      </c>
      <c r="R2088" s="285" t="s">
        <v>10480</v>
      </c>
      <c r="S2088" s="14">
        <v>44547</v>
      </c>
      <c r="T2088" s="22" t="s">
        <v>11465</v>
      </c>
    </row>
    <row r="2089" spans="1:20" ht="60.75" customHeight="1" x14ac:dyDescent="0.2">
      <c r="A2089" s="289">
        <v>2121</v>
      </c>
      <c r="B2089" s="12" t="s">
        <v>11463</v>
      </c>
      <c r="C2089" s="289"/>
      <c r="D2089" s="9" t="s">
        <v>11464</v>
      </c>
      <c r="E2089" s="22" t="s">
        <v>11444</v>
      </c>
      <c r="F2089" s="27" t="s">
        <v>11485</v>
      </c>
      <c r="G2089" s="285" t="s">
        <v>7464</v>
      </c>
      <c r="H2089" s="285" t="s">
        <v>10499</v>
      </c>
      <c r="I2089" s="289"/>
      <c r="J2089" s="285" t="s">
        <v>10461</v>
      </c>
      <c r="K2089" s="14">
        <v>44603</v>
      </c>
      <c r="L2089" s="289">
        <v>106</v>
      </c>
      <c r="M2089" s="14">
        <v>44603</v>
      </c>
      <c r="N2089" s="40">
        <v>1</v>
      </c>
      <c r="O2089" s="40">
        <v>20985</v>
      </c>
      <c r="P2089" s="40">
        <v>20985</v>
      </c>
      <c r="Q2089" s="40">
        <f t="shared" si="58"/>
        <v>0</v>
      </c>
      <c r="R2089" s="285" t="s">
        <v>10480</v>
      </c>
      <c r="S2089" s="14">
        <v>44558</v>
      </c>
      <c r="T2089" s="22" t="s">
        <v>11466</v>
      </c>
    </row>
    <row r="2090" spans="1:20" ht="60.75" customHeight="1" x14ac:dyDescent="0.2">
      <c r="A2090" s="289">
        <v>2122</v>
      </c>
      <c r="B2090" s="12" t="s">
        <v>11467</v>
      </c>
      <c r="C2090" s="289"/>
      <c r="D2090" s="9" t="s">
        <v>11469</v>
      </c>
      <c r="E2090" s="22" t="s">
        <v>11444</v>
      </c>
      <c r="F2090" s="27" t="s">
        <v>11483</v>
      </c>
      <c r="G2090" s="285" t="s">
        <v>4946</v>
      </c>
      <c r="H2090" s="285" t="s">
        <v>10499</v>
      </c>
      <c r="I2090" s="289"/>
      <c r="J2090" s="285" t="s">
        <v>10461</v>
      </c>
      <c r="K2090" s="14">
        <v>44603</v>
      </c>
      <c r="L2090" s="289">
        <v>105</v>
      </c>
      <c r="M2090" s="14"/>
      <c r="N2090" s="40">
        <v>2</v>
      </c>
      <c r="O2090" s="40">
        <v>55200</v>
      </c>
      <c r="P2090" s="40">
        <v>55200</v>
      </c>
      <c r="Q2090" s="40">
        <f t="shared" ref="Q2090:Q2098" si="59">O2090-P2090</f>
        <v>0</v>
      </c>
      <c r="R2090" s="285" t="s">
        <v>10501</v>
      </c>
      <c r="S2090" s="14">
        <v>44551</v>
      </c>
      <c r="T2090" s="22" t="s">
        <v>11468</v>
      </c>
    </row>
    <row r="2091" spans="1:20" ht="60.75" customHeight="1" x14ac:dyDescent="0.2">
      <c r="A2091" s="289">
        <v>2123</v>
      </c>
      <c r="B2091" s="12" t="s">
        <v>11470</v>
      </c>
      <c r="C2091" s="289"/>
      <c r="D2091" s="9" t="s">
        <v>11473</v>
      </c>
      <c r="E2091" s="22" t="s">
        <v>11444</v>
      </c>
      <c r="F2091" s="27" t="s">
        <v>11482</v>
      </c>
      <c r="G2091" s="285" t="s">
        <v>4946</v>
      </c>
      <c r="H2091" s="285" t="s">
        <v>10499</v>
      </c>
      <c r="I2091" s="289"/>
      <c r="J2091" s="285" t="s">
        <v>10461</v>
      </c>
      <c r="K2091" s="14">
        <v>44603</v>
      </c>
      <c r="L2091" s="289">
        <v>105</v>
      </c>
      <c r="M2091" s="14"/>
      <c r="N2091" s="40">
        <v>1</v>
      </c>
      <c r="O2091" s="40">
        <v>10500</v>
      </c>
      <c r="P2091" s="40">
        <v>10500</v>
      </c>
      <c r="Q2091" s="40">
        <f t="shared" si="59"/>
        <v>0</v>
      </c>
      <c r="R2091" s="285" t="s">
        <v>11471</v>
      </c>
      <c r="S2091" s="14">
        <v>44581</v>
      </c>
      <c r="T2091" s="22" t="s">
        <v>11472</v>
      </c>
    </row>
    <row r="2092" spans="1:20" ht="60.75" customHeight="1" x14ac:dyDescent="0.2">
      <c r="A2092" s="289">
        <v>2124</v>
      </c>
      <c r="B2092" s="12" t="s">
        <v>11474</v>
      </c>
      <c r="C2092" s="289"/>
      <c r="D2092" s="9" t="s">
        <v>11475</v>
      </c>
      <c r="E2092" s="22" t="s">
        <v>11444</v>
      </c>
      <c r="F2092" s="27" t="s">
        <v>11486</v>
      </c>
      <c r="G2092" s="285" t="s">
        <v>4296</v>
      </c>
      <c r="H2092" s="285" t="s">
        <v>10494</v>
      </c>
      <c r="I2092" s="289"/>
      <c r="J2092" s="285" t="s">
        <v>10461</v>
      </c>
      <c r="K2092" s="14">
        <v>44603</v>
      </c>
      <c r="L2092" s="289">
        <v>109</v>
      </c>
      <c r="M2092" s="14"/>
      <c r="N2092" s="40">
        <v>1</v>
      </c>
      <c r="O2092" s="40">
        <v>28332.5</v>
      </c>
      <c r="P2092" s="40">
        <v>28332.5</v>
      </c>
      <c r="Q2092" s="40">
        <f t="shared" si="59"/>
        <v>0</v>
      </c>
      <c r="R2092" s="285" t="s">
        <v>10501</v>
      </c>
      <c r="S2092" s="14">
        <v>44573</v>
      </c>
      <c r="T2092" s="22" t="s">
        <v>11476</v>
      </c>
    </row>
    <row r="2093" spans="1:20" ht="60.75" customHeight="1" x14ac:dyDescent="0.2">
      <c r="A2093" s="289">
        <v>2125</v>
      </c>
      <c r="B2093" s="12" t="s">
        <v>11489</v>
      </c>
      <c r="C2093" s="289"/>
      <c r="D2093" s="9" t="s">
        <v>11491</v>
      </c>
      <c r="E2093" s="22" t="s">
        <v>11444</v>
      </c>
      <c r="F2093" s="27" t="s">
        <v>11488</v>
      </c>
      <c r="G2093" s="285" t="s">
        <v>9194</v>
      </c>
      <c r="H2093" s="285" t="s">
        <v>10499</v>
      </c>
      <c r="I2093" s="289"/>
      <c r="J2093" s="285" t="s">
        <v>10461</v>
      </c>
      <c r="K2093" s="14">
        <v>44613</v>
      </c>
      <c r="L2093" s="289">
        <v>126</v>
      </c>
      <c r="M2093" s="14">
        <v>44589</v>
      </c>
      <c r="N2093" s="40">
        <v>1</v>
      </c>
      <c r="O2093" s="40">
        <v>62700</v>
      </c>
      <c r="P2093" s="40">
        <v>62700</v>
      </c>
      <c r="Q2093" s="40">
        <f t="shared" si="59"/>
        <v>0</v>
      </c>
      <c r="R2093" s="285" t="s">
        <v>10480</v>
      </c>
      <c r="S2093" s="14">
        <v>44582</v>
      </c>
      <c r="T2093" s="22" t="s">
        <v>11490</v>
      </c>
    </row>
    <row r="2094" spans="1:20" ht="60.75" customHeight="1" x14ac:dyDescent="0.2">
      <c r="A2094" s="289">
        <v>2125</v>
      </c>
      <c r="B2094" s="12" t="s">
        <v>11492</v>
      </c>
      <c r="C2094" s="289"/>
      <c r="D2094" s="9" t="s">
        <v>11493</v>
      </c>
      <c r="E2094" s="22" t="s">
        <v>11444</v>
      </c>
      <c r="F2094" s="27" t="s">
        <v>11529</v>
      </c>
      <c r="G2094" s="285" t="s">
        <v>4296</v>
      </c>
      <c r="H2094" s="285" t="s">
        <v>10494</v>
      </c>
      <c r="I2094" s="289"/>
      <c r="J2094" s="285" t="s">
        <v>10461</v>
      </c>
      <c r="K2094" s="14">
        <v>44616</v>
      </c>
      <c r="L2094" s="289">
        <v>136</v>
      </c>
      <c r="M2094" s="14">
        <v>44588</v>
      </c>
      <c r="N2094" s="40">
        <v>1</v>
      </c>
      <c r="O2094" s="40">
        <v>177083.33</v>
      </c>
      <c r="P2094" s="40">
        <v>54108.78</v>
      </c>
      <c r="Q2094" s="40">
        <f t="shared" si="59"/>
        <v>122974.54999999999</v>
      </c>
      <c r="R2094" s="285" t="s">
        <v>10501</v>
      </c>
      <c r="S2094" s="14">
        <v>44343</v>
      </c>
      <c r="T2094" s="22" t="s">
        <v>11498</v>
      </c>
    </row>
    <row r="2095" spans="1:20" ht="60.75" customHeight="1" x14ac:dyDescent="0.2">
      <c r="A2095" s="289">
        <v>2126</v>
      </c>
      <c r="B2095" s="12" t="s">
        <v>11495</v>
      </c>
      <c r="C2095" s="289"/>
      <c r="D2095" s="9" t="s">
        <v>11496</v>
      </c>
      <c r="E2095" s="22" t="s">
        <v>11444</v>
      </c>
      <c r="F2095" s="27" t="s">
        <v>11528</v>
      </c>
      <c r="G2095" s="285" t="s">
        <v>4296</v>
      </c>
      <c r="H2095" s="285" t="s">
        <v>10494</v>
      </c>
      <c r="I2095" s="289"/>
      <c r="J2095" s="285" t="s">
        <v>10461</v>
      </c>
      <c r="K2095" s="14">
        <v>44616</v>
      </c>
      <c r="L2095" s="289">
        <v>136</v>
      </c>
      <c r="M2095" s="14">
        <v>44595</v>
      </c>
      <c r="N2095" s="40">
        <v>1</v>
      </c>
      <c r="O2095" s="40">
        <v>19999</v>
      </c>
      <c r="P2095" s="40">
        <v>19999</v>
      </c>
      <c r="Q2095" s="40">
        <f t="shared" si="59"/>
        <v>0</v>
      </c>
      <c r="R2095" s="285" t="s">
        <v>10501</v>
      </c>
      <c r="S2095" s="14">
        <v>44578</v>
      </c>
      <c r="T2095" s="22" t="s">
        <v>11497</v>
      </c>
    </row>
    <row r="2096" spans="1:20" ht="60.75" customHeight="1" x14ac:dyDescent="0.2">
      <c r="A2096" s="289">
        <v>2127</v>
      </c>
      <c r="B2096" s="12" t="s">
        <v>11499</v>
      </c>
      <c r="C2096" s="289"/>
      <c r="D2096" s="9" t="s">
        <v>11500</v>
      </c>
      <c r="E2096" s="22" t="s">
        <v>11444</v>
      </c>
      <c r="F2096" s="27" t="s">
        <v>11530</v>
      </c>
      <c r="G2096" s="285" t="s">
        <v>4296</v>
      </c>
      <c r="H2096" s="285" t="s">
        <v>10494</v>
      </c>
      <c r="I2096" s="289"/>
      <c r="J2096" s="285" t="s">
        <v>10461</v>
      </c>
      <c r="K2096" s="14">
        <v>44616</v>
      </c>
      <c r="L2096" s="289">
        <v>136</v>
      </c>
      <c r="M2096" s="14">
        <v>44545</v>
      </c>
      <c r="N2096" s="40">
        <v>1</v>
      </c>
      <c r="O2096" s="40">
        <v>125833.33</v>
      </c>
      <c r="P2096" s="40">
        <v>41944.44</v>
      </c>
      <c r="Q2096" s="40">
        <f t="shared" si="59"/>
        <v>83888.89</v>
      </c>
      <c r="R2096" s="285" t="s">
        <v>10501</v>
      </c>
      <c r="S2096" s="14">
        <v>44343</v>
      </c>
      <c r="T2096" s="22" t="s">
        <v>11494</v>
      </c>
    </row>
    <row r="2097" spans="1:20" ht="60.75" customHeight="1" x14ac:dyDescent="0.2">
      <c r="A2097" s="289">
        <v>2128</v>
      </c>
      <c r="B2097" s="12" t="s">
        <v>11501</v>
      </c>
      <c r="C2097" s="289"/>
      <c r="D2097" s="9" t="s">
        <v>11500</v>
      </c>
      <c r="E2097" s="22" t="s">
        <v>11444</v>
      </c>
      <c r="F2097" s="27" t="s">
        <v>11531</v>
      </c>
      <c r="G2097" s="285" t="s">
        <v>4296</v>
      </c>
      <c r="H2097" s="285" t="s">
        <v>10494</v>
      </c>
      <c r="I2097" s="289"/>
      <c r="J2097" s="285" t="s">
        <v>10461</v>
      </c>
      <c r="K2097" s="14">
        <v>44616</v>
      </c>
      <c r="L2097" s="289">
        <v>136</v>
      </c>
      <c r="M2097" s="14">
        <v>44545</v>
      </c>
      <c r="N2097" s="40">
        <v>1</v>
      </c>
      <c r="O2097" s="40">
        <v>125833.33</v>
      </c>
      <c r="P2097" s="40">
        <v>41944.44</v>
      </c>
      <c r="Q2097" s="40">
        <f t="shared" si="59"/>
        <v>83888.89</v>
      </c>
      <c r="R2097" s="285" t="s">
        <v>10501</v>
      </c>
      <c r="S2097" s="14">
        <v>44343</v>
      </c>
      <c r="T2097" s="22" t="s">
        <v>11494</v>
      </c>
    </row>
    <row r="2098" spans="1:20" ht="60.75" customHeight="1" x14ac:dyDescent="0.2">
      <c r="A2098" s="289">
        <v>2129</v>
      </c>
      <c r="B2098" s="12" t="s">
        <v>11502</v>
      </c>
      <c r="C2098" s="289"/>
      <c r="D2098" s="9" t="s">
        <v>11503</v>
      </c>
      <c r="E2098" s="22" t="s">
        <v>11444</v>
      </c>
      <c r="F2098" s="27" t="s">
        <v>11532</v>
      </c>
      <c r="G2098" s="285" t="s">
        <v>4296</v>
      </c>
      <c r="H2098" s="285" t="s">
        <v>10494</v>
      </c>
      <c r="I2098" s="289"/>
      <c r="J2098" s="285" t="s">
        <v>10461</v>
      </c>
      <c r="K2098" s="14">
        <v>44616</v>
      </c>
      <c r="L2098" s="289">
        <v>136</v>
      </c>
      <c r="M2098" s="14">
        <v>44545</v>
      </c>
      <c r="N2098" s="40">
        <v>1</v>
      </c>
      <c r="O2098" s="40">
        <v>125833.34</v>
      </c>
      <c r="P2098" s="40">
        <v>41944.44</v>
      </c>
      <c r="Q2098" s="40">
        <f t="shared" si="59"/>
        <v>83888.9</v>
      </c>
      <c r="R2098" s="285" t="s">
        <v>10501</v>
      </c>
      <c r="S2098" s="14">
        <v>44343</v>
      </c>
      <c r="T2098" s="22" t="s">
        <v>11494</v>
      </c>
    </row>
    <row r="2099" spans="1:20" ht="79.5" customHeight="1" x14ac:dyDescent="0.2">
      <c r="A2099" s="289">
        <v>2130</v>
      </c>
      <c r="B2099" s="12" t="s">
        <v>11504</v>
      </c>
      <c r="C2099" s="289"/>
      <c r="D2099" s="9" t="s">
        <v>11503</v>
      </c>
      <c r="E2099" s="22" t="s">
        <v>11444</v>
      </c>
      <c r="F2099" s="27" t="s">
        <v>11533</v>
      </c>
      <c r="G2099" s="285" t="s">
        <v>4296</v>
      </c>
      <c r="H2099" s="285" t="s">
        <v>10494</v>
      </c>
      <c r="I2099" s="289"/>
      <c r="J2099" s="285" t="s">
        <v>10461</v>
      </c>
      <c r="K2099" s="14">
        <v>44616</v>
      </c>
      <c r="L2099" s="289">
        <v>136</v>
      </c>
      <c r="M2099" s="14">
        <v>44545</v>
      </c>
      <c r="N2099" s="40">
        <v>1</v>
      </c>
      <c r="O2099" s="40">
        <v>125833.33</v>
      </c>
      <c r="P2099" s="40">
        <v>41944.44</v>
      </c>
      <c r="Q2099" s="40">
        <f t="shared" ref="Q2099:Q2110" si="60">O2099-P2099</f>
        <v>83888.89</v>
      </c>
      <c r="R2099" s="285" t="s">
        <v>10501</v>
      </c>
      <c r="S2099" s="14">
        <v>44343</v>
      </c>
      <c r="T2099" s="22" t="s">
        <v>11494</v>
      </c>
    </row>
    <row r="2100" spans="1:20" ht="79.5" customHeight="1" x14ac:dyDescent="0.2">
      <c r="A2100" s="289">
        <v>2131</v>
      </c>
      <c r="B2100" s="12" t="s">
        <v>11505</v>
      </c>
      <c r="C2100" s="289"/>
      <c r="D2100" s="9" t="s">
        <v>11506</v>
      </c>
      <c r="E2100" s="22" t="s">
        <v>11444</v>
      </c>
      <c r="F2100" s="27" t="s">
        <v>11534</v>
      </c>
      <c r="G2100" s="285" t="s">
        <v>4296</v>
      </c>
      <c r="H2100" s="285" t="s">
        <v>10494</v>
      </c>
      <c r="I2100" s="289"/>
      <c r="J2100" s="285" t="s">
        <v>10461</v>
      </c>
      <c r="K2100" s="14">
        <v>44616</v>
      </c>
      <c r="L2100" s="289">
        <v>136</v>
      </c>
      <c r="M2100" s="14">
        <v>44545</v>
      </c>
      <c r="N2100" s="40">
        <v>1</v>
      </c>
      <c r="O2100" s="40">
        <v>40510.269999999997</v>
      </c>
      <c r="P2100" s="40">
        <v>13503.48</v>
      </c>
      <c r="Q2100" s="40">
        <f t="shared" si="60"/>
        <v>27006.789999999997</v>
      </c>
      <c r="R2100" s="285" t="s">
        <v>10501</v>
      </c>
      <c r="S2100" s="14">
        <v>44343</v>
      </c>
      <c r="T2100" s="22" t="s">
        <v>11494</v>
      </c>
    </row>
    <row r="2101" spans="1:20" ht="79.5" customHeight="1" x14ac:dyDescent="0.2">
      <c r="A2101" s="289">
        <v>2132</v>
      </c>
      <c r="B2101" s="12" t="s">
        <v>11507</v>
      </c>
      <c r="C2101" s="289"/>
      <c r="D2101" s="9" t="s">
        <v>11508</v>
      </c>
      <c r="E2101" s="22" t="s">
        <v>11444</v>
      </c>
      <c r="F2101" s="27" t="s">
        <v>11535</v>
      </c>
      <c r="G2101" s="285" t="s">
        <v>4296</v>
      </c>
      <c r="H2101" s="285" t="s">
        <v>10494</v>
      </c>
      <c r="I2101" s="289"/>
      <c r="J2101" s="285" t="s">
        <v>10461</v>
      </c>
      <c r="K2101" s="14">
        <v>44616</v>
      </c>
      <c r="L2101" s="289">
        <v>136</v>
      </c>
      <c r="M2101" s="14">
        <v>44545</v>
      </c>
      <c r="N2101" s="40">
        <v>1</v>
      </c>
      <c r="O2101" s="40">
        <v>93500</v>
      </c>
      <c r="P2101" s="40">
        <v>31166.639999999999</v>
      </c>
      <c r="Q2101" s="40">
        <f t="shared" si="60"/>
        <v>62333.36</v>
      </c>
      <c r="R2101" s="285" t="s">
        <v>10501</v>
      </c>
      <c r="S2101" s="14">
        <v>44343</v>
      </c>
      <c r="T2101" s="22" t="s">
        <v>11494</v>
      </c>
    </row>
    <row r="2102" spans="1:20" ht="79.5" customHeight="1" x14ac:dyDescent="0.2">
      <c r="A2102" s="289">
        <v>2133</v>
      </c>
      <c r="B2102" s="12" t="s">
        <v>11509</v>
      </c>
      <c r="C2102" s="289"/>
      <c r="D2102" s="9" t="s">
        <v>11510</v>
      </c>
      <c r="E2102" s="22" t="s">
        <v>11444</v>
      </c>
      <c r="F2102" s="27" t="s">
        <v>11536</v>
      </c>
      <c r="G2102" s="285" t="s">
        <v>4296</v>
      </c>
      <c r="H2102" s="285" t="s">
        <v>10494</v>
      </c>
      <c r="I2102" s="289"/>
      <c r="J2102" s="285" t="s">
        <v>10461</v>
      </c>
      <c r="K2102" s="14">
        <v>44616</v>
      </c>
      <c r="L2102" s="289">
        <v>136</v>
      </c>
      <c r="M2102" s="14">
        <v>44545</v>
      </c>
      <c r="N2102" s="40">
        <v>1</v>
      </c>
      <c r="O2102" s="40">
        <v>75250</v>
      </c>
      <c r="P2102" s="40">
        <v>25083.360000000001</v>
      </c>
      <c r="Q2102" s="40">
        <f t="shared" si="60"/>
        <v>50166.64</v>
      </c>
      <c r="R2102" s="285" t="s">
        <v>10501</v>
      </c>
      <c r="S2102" s="14">
        <v>44343</v>
      </c>
      <c r="T2102" s="22" t="s">
        <v>11494</v>
      </c>
    </row>
    <row r="2103" spans="1:20" ht="79.5" customHeight="1" x14ac:dyDescent="0.2">
      <c r="A2103" s="289">
        <v>2134</v>
      </c>
      <c r="B2103" s="12" t="s">
        <v>11511</v>
      </c>
      <c r="C2103" s="289"/>
      <c r="D2103" s="9" t="s">
        <v>9183</v>
      </c>
      <c r="E2103" s="22" t="s">
        <v>11444</v>
      </c>
      <c r="F2103" s="27" t="s">
        <v>11537</v>
      </c>
      <c r="G2103" s="285" t="s">
        <v>4296</v>
      </c>
      <c r="H2103" s="285" t="s">
        <v>10494</v>
      </c>
      <c r="I2103" s="289"/>
      <c r="J2103" s="285" t="s">
        <v>10461</v>
      </c>
      <c r="K2103" s="14">
        <v>44616</v>
      </c>
      <c r="L2103" s="289">
        <v>136</v>
      </c>
      <c r="M2103" s="14">
        <v>44545</v>
      </c>
      <c r="N2103" s="40">
        <v>1</v>
      </c>
      <c r="O2103" s="40">
        <v>63166.67</v>
      </c>
      <c r="P2103" s="40">
        <v>21055.56</v>
      </c>
      <c r="Q2103" s="40">
        <f t="shared" si="60"/>
        <v>42111.11</v>
      </c>
      <c r="R2103" s="285" t="s">
        <v>10501</v>
      </c>
      <c r="S2103" s="14">
        <v>44343</v>
      </c>
      <c r="T2103" s="22" t="s">
        <v>11494</v>
      </c>
    </row>
    <row r="2104" spans="1:20" ht="79.5" customHeight="1" x14ac:dyDescent="0.2">
      <c r="A2104" s="30">
        <v>2135</v>
      </c>
      <c r="B2104" s="42" t="s">
        <v>11512</v>
      </c>
      <c r="C2104" s="30"/>
      <c r="D2104" s="278" t="s">
        <v>9183</v>
      </c>
      <c r="E2104" s="22" t="s">
        <v>11444</v>
      </c>
      <c r="F2104" s="98" t="s">
        <v>11538</v>
      </c>
      <c r="G2104" s="49" t="s">
        <v>4296</v>
      </c>
      <c r="H2104" s="49" t="s">
        <v>10494</v>
      </c>
      <c r="I2104" s="30"/>
      <c r="J2104" s="49" t="s">
        <v>10461</v>
      </c>
      <c r="K2104" s="14">
        <v>44616</v>
      </c>
      <c r="L2104" s="289">
        <v>136</v>
      </c>
      <c r="M2104" s="53">
        <v>44545</v>
      </c>
      <c r="N2104" s="100">
        <v>1</v>
      </c>
      <c r="O2104" s="100">
        <v>63166.66</v>
      </c>
      <c r="P2104" s="100">
        <v>21055.56</v>
      </c>
      <c r="Q2104" s="100">
        <f t="shared" si="60"/>
        <v>42111.100000000006</v>
      </c>
      <c r="R2104" s="49" t="s">
        <v>10501</v>
      </c>
      <c r="S2104" s="53">
        <v>44343</v>
      </c>
      <c r="T2104" s="119" t="s">
        <v>11494</v>
      </c>
    </row>
    <row r="2105" spans="1:20" ht="79.5" customHeight="1" x14ac:dyDescent="0.2">
      <c r="A2105" s="289">
        <v>2136</v>
      </c>
      <c r="B2105" s="12" t="s">
        <v>11514</v>
      </c>
      <c r="C2105" s="289"/>
      <c r="D2105" s="85" t="s">
        <v>11513</v>
      </c>
      <c r="E2105" s="22" t="s">
        <v>11444</v>
      </c>
      <c r="F2105" s="27" t="s">
        <v>11539</v>
      </c>
      <c r="G2105" s="49" t="s">
        <v>4296</v>
      </c>
      <c r="H2105" s="49" t="s">
        <v>10494</v>
      </c>
      <c r="I2105" s="30"/>
      <c r="J2105" s="49" t="s">
        <v>10461</v>
      </c>
      <c r="K2105" s="14">
        <v>44616</v>
      </c>
      <c r="L2105" s="289">
        <v>136</v>
      </c>
      <c r="M2105" s="53">
        <v>44545</v>
      </c>
      <c r="N2105" s="100">
        <v>1</v>
      </c>
      <c r="O2105" s="40">
        <v>43333.33</v>
      </c>
      <c r="P2105" s="40">
        <v>14444.4</v>
      </c>
      <c r="Q2105" s="40">
        <f t="shared" si="60"/>
        <v>28888.93</v>
      </c>
      <c r="R2105" s="49" t="s">
        <v>10501</v>
      </c>
      <c r="S2105" s="53">
        <v>44343</v>
      </c>
      <c r="T2105" s="119" t="s">
        <v>11494</v>
      </c>
    </row>
    <row r="2106" spans="1:20" ht="79.5" customHeight="1" x14ac:dyDescent="0.2">
      <c r="A2106" s="289">
        <v>2137</v>
      </c>
      <c r="B2106" s="12" t="s">
        <v>11515</v>
      </c>
      <c r="C2106" s="289"/>
      <c r="D2106" s="85" t="s">
        <v>11513</v>
      </c>
      <c r="E2106" s="22" t="s">
        <v>11444</v>
      </c>
      <c r="F2106" s="27" t="s">
        <v>11540</v>
      </c>
      <c r="G2106" s="49" t="s">
        <v>4296</v>
      </c>
      <c r="H2106" s="49" t="s">
        <v>10494</v>
      </c>
      <c r="I2106" s="30"/>
      <c r="J2106" s="49" t="s">
        <v>10461</v>
      </c>
      <c r="K2106" s="14">
        <v>44616</v>
      </c>
      <c r="L2106" s="289">
        <v>136</v>
      </c>
      <c r="M2106" s="53">
        <v>44545</v>
      </c>
      <c r="N2106" s="100">
        <v>1</v>
      </c>
      <c r="O2106" s="40">
        <v>43333.34</v>
      </c>
      <c r="P2106" s="40">
        <v>14444.4</v>
      </c>
      <c r="Q2106" s="40">
        <f t="shared" si="60"/>
        <v>28888.939999999995</v>
      </c>
      <c r="R2106" s="49" t="s">
        <v>10501</v>
      </c>
      <c r="S2106" s="53">
        <v>44343</v>
      </c>
      <c r="T2106" s="119" t="s">
        <v>11494</v>
      </c>
    </row>
    <row r="2107" spans="1:20" ht="79.5" customHeight="1" x14ac:dyDescent="0.2">
      <c r="A2107" s="289">
        <v>2138</v>
      </c>
      <c r="B2107" s="12" t="s">
        <v>11516</v>
      </c>
      <c r="C2107" s="289"/>
      <c r="D2107" s="85" t="s">
        <v>11513</v>
      </c>
      <c r="E2107" s="22" t="s">
        <v>11444</v>
      </c>
      <c r="F2107" s="27" t="s">
        <v>11541</v>
      </c>
      <c r="G2107" s="49" t="s">
        <v>4296</v>
      </c>
      <c r="H2107" s="49" t="s">
        <v>10494</v>
      </c>
      <c r="I2107" s="30"/>
      <c r="J2107" s="49" t="s">
        <v>10461</v>
      </c>
      <c r="K2107" s="14">
        <v>44616</v>
      </c>
      <c r="L2107" s="289">
        <v>136</v>
      </c>
      <c r="M2107" s="53">
        <v>44545</v>
      </c>
      <c r="N2107" s="100">
        <v>1</v>
      </c>
      <c r="O2107" s="40">
        <v>43333.33</v>
      </c>
      <c r="P2107" s="40">
        <v>14444.4</v>
      </c>
      <c r="Q2107" s="40">
        <f t="shared" si="60"/>
        <v>28888.93</v>
      </c>
      <c r="R2107" s="49" t="s">
        <v>10501</v>
      </c>
      <c r="S2107" s="53">
        <v>44343</v>
      </c>
      <c r="T2107" s="119" t="s">
        <v>11494</v>
      </c>
    </row>
    <row r="2108" spans="1:20" ht="79.5" customHeight="1" x14ac:dyDescent="0.2">
      <c r="A2108" s="289">
        <v>2139</v>
      </c>
      <c r="B2108" s="12" t="s">
        <v>11517</v>
      </c>
      <c r="C2108" s="289"/>
      <c r="D2108" s="85" t="s">
        <v>11513</v>
      </c>
      <c r="E2108" s="22" t="s">
        <v>11444</v>
      </c>
      <c r="F2108" s="27" t="s">
        <v>11542</v>
      </c>
      <c r="G2108" s="49" t="s">
        <v>4296</v>
      </c>
      <c r="H2108" s="49" t="s">
        <v>10494</v>
      </c>
      <c r="I2108" s="30"/>
      <c r="J2108" s="49" t="s">
        <v>10461</v>
      </c>
      <c r="K2108" s="14">
        <v>44616</v>
      </c>
      <c r="L2108" s="289">
        <v>136</v>
      </c>
      <c r="M2108" s="53">
        <v>44545</v>
      </c>
      <c r="N2108" s="100">
        <v>1</v>
      </c>
      <c r="O2108" s="40">
        <v>43333.34</v>
      </c>
      <c r="P2108" s="40">
        <v>14444.4</v>
      </c>
      <c r="Q2108" s="40">
        <f t="shared" si="60"/>
        <v>28888.939999999995</v>
      </c>
      <c r="R2108" s="49" t="s">
        <v>10501</v>
      </c>
      <c r="S2108" s="53">
        <v>44343</v>
      </c>
      <c r="T2108" s="119" t="s">
        <v>11494</v>
      </c>
    </row>
    <row r="2109" spans="1:20" ht="79.5" customHeight="1" x14ac:dyDescent="0.2">
      <c r="A2109" s="289">
        <v>2140</v>
      </c>
      <c r="B2109" s="12" t="s">
        <v>11518</v>
      </c>
      <c r="C2109" s="289"/>
      <c r="D2109" s="85" t="s">
        <v>11519</v>
      </c>
      <c r="E2109" s="22" t="s">
        <v>11444</v>
      </c>
      <c r="F2109" s="27" t="s">
        <v>11543</v>
      </c>
      <c r="G2109" s="285" t="s">
        <v>4296</v>
      </c>
      <c r="H2109" s="285" t="s">
        <v>10494</v>
      </c>
      <c r="I2109" s="289"/>
      <c r="J2109" s="285" t="s">
        <v>10461</v>
      </c>
      <c r="K2109" s="14">
        <v>44616</v>
      </c>
      <c r="L2109" s="289">
        <v>136</v>
      </c>
      <c r="M2109" s="14">
        <v>44545</v>
      </c>
      <c r="N2109" s="40">
        <v>1</v>
      </c>
      <c r="O2109" s="40">
        <v>43333.33</v>
      </c>
      <c r="P2109" s="40">
        <v>14444.4</v>
      </c>
      <c r="Q2109" s="40">
        <f t="shared" si="60"/>
        <v>28888.93</v>
      </c>
      <c r="R2109" s="285" t="s">
        <v>10501</v>
      </c>
      <c r="S2109" s="14">
        <v>44343</v>
      </c>
      <c r="T2109" s="22" t="s">
        <v>11494</v>
      </c>
    </row>
    <row r="2110" spans="1:20" ht="79.5" customHeight="1" x14ac:dyDescent="0.2">
      <c r="A2110" s="289">
        <v>2141</v>
      </c>
      <c r="B2110" s="12" t="s">
        <v>11520</v>
      </c>
      <c r="C2110" s="289"/>
      <c r="D2110" s="85" t="s">
        <v>11521</v>
      </c>
      <c r="E2110" s="22" t="s">
        <v>11444</v>
      </c>
      <c r="F2110" s="27" t="s">
        <v>11527</v>
      </c>
      <c r="G2110" s="285" t="s">
        <v>4296</v>
      </c>
      <c r="H2110" s="285" t="s">
        <v>10494</v>
      </c>
      <c r="I2110" s="289"/>
      <c r="J2110" s="285" t="s">
        <v>10461</v>
      </c>
      <c r="K2110" s="14">
        <v>44616</v>
      </c>
      <c r="L2110" s="289">
        <v>136</v>
      </c>
      <c r="M2110" s="14">
        <v>44545</v>
      </c>
      <c r="N2110" s="40">
        <v>1</v>
      </c>
      <c r="O2110" s="40">
        <v>20711.669999999998</v>
      </c>
      <c r="P2110" s="40">
        <v>20711.669999999998</v>
      </c>
      <c r="Q2110" s="40">
        <f t="shared" si="60"/>
        <v>0</v>
      </c>
      <c r="R2110" s="285" t="s">
        <v>10501</v>
      </c>
      <c r="S2110" s="14">
        <v>44343</v>
      </c>
      <c r="T2110" s="22" t="s">
        <v>11494</v>
      </c>
    </row>
    <row r="2111" spans="1:20" ht="79.5" customHeight="1" x14ac:dyDescent="0.2">
      <c r="A2111" s="289">
        <v>2142</v>
      </c>
      <c r="B2111" s="12" t="s">
        <v>11556</v>
      </c>
      <c r="C2111" s="289"/>
      <c r="D2111" s="85" t="s">
        <v>11557</v>
      </c>
      <c r="E2111" s="22" t="s">
        <v>11444</v>
      </c>
      <c r="F2111" s="27"/>
      <c r="G2111" s="285" t="s">
        <v>2074</v>
      </c>
      <c r="H2111" s="285" t="s">
        <v>10499</v>
      </c>
      <c r="I2111" s="289"/>
      <c r="J2111" s="285" t="s">
        <v>10461</v>
      </c>
      <c r="K2111" s="14">
        <v>44630</v>
      </c>
      <c r="L2111" s="289">
        <v>180</v>
      </c>
      <c r="M2111" s="14">
        <v>44546</v>
      </c>
      <c r="N2111" s="40">
        <v>1</v>
      </c>
      <c r="O2111" s="40">
        <v>26300</v>
      </c>
      <c r="P2111" s="40">
        <v>26300</v>
      </c>
      <c r="Q2111" s="40">
        <v>0</v>
      </c>
      <c r="R2111" s="285" t="s">
        <v>10501</v>
      </c>
      <c r="S2111" s="14">
        <v>44546</v>
      </c>
      <c r="T2111" s="22" t="s">
        <v>11562</v>
      </c>
    </row>
    <row r="2112" spans="1:20" ht="79.5" customHeight="1" x14ac:dyDescent="0.2">
      <c r="A2112" s="289">
        <v>2143</v>
      </c>
      <c r="B2112" s="12" t="s">
        <v>11558</v>
      </c>
      <c r="C2112" s="289"/>
      <c r="D2112" s="85" t="s">
        <v>11559</v>
      </c>
      <c r="E2112" s="22" t="s">
        <v>11444</v>
      </c>
      <c r="F2112" s="27"/>
      <c r="G2112" s="285" t="s">
        <v>2074</v>
      </c>
      <c r="H2112" s="285" t="s">
        <v>10499</v>
      </c>
      <c r="I2112" s="289"/>
      <c r="J2112" s="285" t="s">
        <v>10461</v>
      </c>
      <c r="K2112" s="14">
        <v>44630</v>
      </c>
      <c r="L2112" s="289">
        <v>180</v>
      </c>
      <c r="M2112" s="14">
        <v>44551</v>
      </c>
      <c r="N2112" s="40">
        <v>1</v>
      </c>
      <c r="O2112" s="40">
        <v>13499</v>
      </c>
      <c r="P2112" s="40">
        <v>13499</v>
      </c>
      <c r="Q2112" s="40">
        <f>O2112-P2112</f>
        <v>0</v>
      </c>
      <c r="R2112" s="285" t="s">
        <v>11561</v>
      </c>
      <c r="S2112" s="14">
        <v>44546</v>
      </c>
      <c r="T2112" s="22" t="s">
        <v>11560</v>
      </c>
    </row>
    <row r="2113" spans="1:20" ht="79.5" customHeight="1" x14ac:dyDescent="0.2">
      <c r="A2113" s="289">
        <v>2144</v>
      </c>
      <c r="B2113" s="12" t="s">
        <v>12269</v>
      </c>
      <c r="C2113" s="289"/>
      <c r="D2113" s="85" t="s">
        <v>11563</v>
      </c>
      <c r="E2113" s="22" t="s">
        <v>11444</v>
      </c>
      <c r="F2113" s="27"/>
      <c r="G2113" s="285" t="s">
        <v>258</v>
      </c>
      <c r="H2113" s="285" t="s">
        <v>10499</v>
      </c>
      <c r="I2113" s="289"/>
      <c r="J2113" s="285" t="s">
        <v>10461</v>
      </c>
      <c r="K2113" s="14" t="s">
        <v>11718</v>
      </c>
      <c r="L2113" s="289" t="s">
        <v>11719</v>
      </c>
      <c r="M2113" s="14"/>
      <c r="N2113" s="40">
        <v>1</v>
      </c>
      <c r="O2113" s="40">
        <v>15256.72</v>
      </c>
      <c r="P2113" s="40">
        <f>O2113</f>
        <v>15256.72</v>
      </c>
      <c r="Q2113" s="40">
        <f>O2113-P2113</f>
        <v>0</v>
      </c>
      <c r="R2113" s="285" t="s">
        <v>10874</v>
      </c>
      <c r="S2113" s="14">
        <v>44550</v>
      </c>
      <c r="T2113" s="22" t="s">
        <v>11564</v>
      </c>
    </row>
    <row r="2114" spans="1:20" ht="51.75" customHeight="1" x14ac:dyDescent="0.2">
      <c r="A2114" s="289">
        <v>2145</v>
      </c>
      <c r="B2114" s="12" t="s">
        <v>12248</v>
      </c>
      <c r="C2114" s="289"/>
      <c r="D2114" s="85" t="s">
        <v>11565</v>
      </c>
      <c r="E2114" s="22" t="s">
        <v>11444</v>
      </c>
      <c r="F2114" s="27"/>
      <c r="G2114" s="285" t="s">
        <v>258</v>
      </c>
      <c r="H2114" s="285" t="s">
        <v>10499</v>
      </c>
      <c r="I2114" s="289"/>
      <c r="J2114" s="285" t="s">
        <v>10461</v>
      </c>
      <c r="K2114" s="14" t="s">
        <v>11718</v>
      </c>
      <c r="L2114" s="289" t="s">
        <v>11719</v>
      </c>
      <c r="M2114" s="14"/>
      <c r="N2114" s="40">
        <v>3</v>
      </c>
      <c r="O2114" s="40">
        <v>184587.81</v>
      </c>
      <c r="P2114" s="40">
        <f>O2114</f>
        <v>184587.81</v>
      </c>
      <c r="Q2114" s="40">
        <f>O2114-P2114</f>
        <v>0</v>
      </c>
      <c r="R2114" s="285" t="s">
        <v>10874</v>
      </c>
      <c r="S2114" s="14">
        <v>44571</v>
      </c>
      <c r="T2114" s="22" t="s">
        <v>2382</v>
      </c>
    </row>
    <row r="2115" spans="1:20" ht="51" customHeight="1" x14ac:dyDescent="0.2">
      <c r="A2115" s="289">
        <v>2146</v>
      </c>
      <c r="B2115" s="12" t="s">
        <v>12257</v>
      </c>
      <c r="C2115" s="289"/>
      <c r="D2115" s="85" t="s">
        <v>11566</v>
      </c>
      <c r="E2115" s="22" t="s">
        <v>11444</v>
      </c>
      <c r="F2115" s="27"/>
      <c r="G2115" s="285" t="s">
        <v>2436</v>
      </c>
      <c r="H2115" s="285" t="s">
        <v>10499</v>
      </c>
      <c r="I2115" s="289"/>
      <c r="J2115" s="285" t="s">
        <v>10461</v>
      </c>
      <c r="K2115" s="14" t="s">
        <v>12240</v>
      </c>
      <c r="L2115" s="289" t="s">
        <v>12258</v>
      </c>
      <c r="M2115" s="14"/>
      <c r="N2115" s="40">
        <v>1</v>
      </c>
      <c r="O2115" s="40">
        <v>154563.29999999999</v>
      </c>
      <c r="P2115" s="40">
        <v>10304.24</v>
      </c>
      <c r="Q2115" s="40">
        <f t="shared" ref="Q2115:Q2127" si="61">O2115-P2115</f>
        <v>144259.06</v>
      </c>
      <c r="R2115" s="285" t="s">
        <v>10874</v>
      </c>
      <c r="S2115" s="14">
        <v>44543</v>
      </c>
      <c r="T2115" s="22" t="s">
        <v>11567</v>
      </c>
    </row>
    <row r="2116" spans="1:20" ht="51" customHeight="1" x14ac:dyDescent="0.2">
      <c r="A2116" s="289">
        <v>2147</v>
      </c>
      <c r="B2116" s="12" t="s">
        <v>12239</v>
      </c>
      <c r="C2116" s="289"/>
      <c r="D2116" s="85" t="s">
        <v>11568</v>
      </c>
      <c r="E2116" s="22" t="s">
        <v>11444</v>
      </c>
      <c r="F2116" s="27"/>
      <c r="G2116" s="285" t="s">
        <v>258</v>
      </c>
      <c r="H2116" s="285" t="s">
        <v>10499</v>
      </c>
      <c r="I2116" s="289"/>
      <c r="J2116" s="285" t="s">
        <v>10461</v>
      </c>
      <c r="K2116" s="14" t="s">
        <v>12240</v>
      </c>
      <c r="L2116" s="289" t="s">
        <v>12241</v>
      </c>
      <c r="M2116" s="14"/>
      <c r="N2116" s="40">
        <v>1</v>
      </c>
      <c r="O2116" s="40">
        <v>45864</v>
      </c>
      <c r="P2116" s="40">
        <v>0</v>
      </c>
      <c r="Q2116" s="40">
        <f t="shared" si="61"/>
        <v>45864</v>
      </c>
      <c r="R2116" s="285" t="s">
        <v>10874</v>
      </c>
      <c r="S2116" s="14">
        <v>44543</v>
      </c>
      <c r="T2116" s="22" t="s">
        <v>11567</v>
      </c>
    </row>
    <row r="2117" spans="1:20" ht="51" customHeight="1" x14ac:dyDescent="0.2">
      <c r="A2117" s="289">
        <v>2148</v>
      </c>
      <c r="B2117" s="12" t="s">
        <v>12259</v>
      </c>
      <c r="C2117" s="289"/>
      <c r="D2117" s="85" t="s">
        <v>11569</v>
      </c>
      <c r="E2117" s="22" t="s">
        <v>11444</v>
      </c>
      <c r="F2117" s="27"/>
      <c r="G2117" s="285" t="s">
        <v>2436</v>
      </c>
      <c r="H2117" s="285" t="s">
        <v>10499</v>
      </c>
      <c r="I2117" s="289"/>
      <c r="J2117" s="285" t="s">
        <v>10461</v>
      </c>
      <c r="K2117" s="14" t="s">
        <v>12240</v>
      </c>
      <c r="L2117" s="289" t="s">
        <v>12258</v>
      </c>
      <c r="M2117" s="14"/>
      <c r="N2117" s="40">
        <v>1</v>
      </c>
      <c r="O2117" s="40">
        <v>56007</v>
      </c>
      <c r="P2117" s="40">
        <v>0</v>
      </c>
      <c r="Q2117" s="40">
        <v>56007</v>
      </c>
      <c r="R2117" s="285" t="s">
        <v>10874</v>
      </c>
      <c r="S2117" s="14">
        <v>44543</v>
      </c>
      <c r="T2117" s="22" t="s">
        <v>11567</v>
      </c>
    </row>
    <row r="2118" spans="1:20" ht="51" customHeight="1" x14ac:dyDescent="0.2">
      <c r="A2118" s="289">
        <v>2149</v>
      </c>
      <c r="B2118" s="12" t="s">
        <v>12247</v>
      </c>
      <c r="C2118" s="289"/>
      <c r="D2118" s="85" t="s">
        <v>11571</v>
      </c>
      <c r="E2118" s="22" t="s">
        <v>11444</v>
      </c>
      <c r="F2118" s="27"/>
      <c r="G2118" s="285" t="s">
        <v>258</v>
      </c>
      <c r="H2118" s="285" t="s">
        <v>10499</v>
      </c>
      <c r="I2118" s="289"/>
      <c r="J2118" s="285" t="s">
        <v>10461</v>
      </c>
      <c r="K2118" s="14" t="s">
        <v>12240</v>
      </c>
      <c r="L2118" s="289" t="s">
        <v>12241</v>
      </c>
      <c r="M2118" s="14"/>
      <c r="N2118" s="40">
        <v>1</v>
      </c>
      <c r="O2118" s="40">
        <v>74684.7</v>
      </c>
      <c r="P2118" s="40">
        <v>0</v>
      </c>
      <c r="Q2118" s="40">
        <f t="shared" si="61"/>
        <v>74684.7</v>
      </c>
      <c r="R2118" s="285" t="s">
        <v>10874</v>
      </c>
      <c r="S2118" s="14">
        <v>44543</v>
      </c>
      <c r="T2118" s="22" t="s">
        <v>11567</v>
      </c>
    </row>
    <row r="2119" spans="1:20" ht="51" customHeight="1" x14ac:dyDescent="0.2">
      <c r="A2119" s="289">
        <v>2150</v>
      </c>
      <c r="B2119" s="12" t="s">
        <v>11583</v>
      </c>
      <c r="C2119" s="289"/>
      <c r="D2119" s="85" t="s">
        <v>11584</v>
      </c>
      <c r="E2119" s="22" t="s">
        <v>11444</v>
      </c>
      <c r="F2119" s="27" t="s">
        <v>11313</v>
      </c>
      <c r="G2119" s="285" t="s">
        <v>2437</v>
      </c>
      <c r="H2119" s="285" t="s">
        <v>5127</v>
      </c>
      <c r="I2119" s="289"/>
      <c r="J2119" s="285" t="s">
        <v>10461</v>
      </c>
      <c r="K2119" s="14">
        <v>44637</v>
      </c>
      <c r="L2119" s="289">
        <v>212</v>
      </c>
      <c r="M2119" s="14"/>
      <c r="N2119" s="40">
        <v>1</v>
      </c>
      <c r="O2119" s="40">
        <v>31349</v>
      </c>
      <c r="P2119" s="40">
        <f>O2119</f>
        <v>31349</v>
      </c>
      <c r="Q2119" s="40">
        <f t="shared" si="61"/>
        <v>0</v>
      </c>
      <c r="R2119" s="285" t="s">
        <v>10654</v>
      </c>
      <c r="S2119" s="14">
        <v>44602</v>
      </c>
      <c r="T2119" s="22" t="s">
        <v>11585</v>
      </c>
    </row>
    <row r="2120" spans="1:20" ht="51" customHeight="1" x14ac:dyDescent="0.2">
      <c r="A2120" s="289">
        <v>2151</v>
      </c>
      <c r="B2120" s="12" t="s">
        <v>11586</v>
      </c>
      <c r="C2120" s="289"/>
      <c r="D2120" s="85" t="s">
        <v>11587</v>
      </c>
      <c r="E2120" s="22" t="s">
        <v>11444</v>
      </c>
      <c r="F2120" s="27" t="s">
        <v>11588</v>
      </c>
      <c r="G2120" s="285" t="s">
        <v>258</v>
      </c>
      <c r="H2120" s="285" t="s">
        <v>5127</v>
      </c>
      <c r="I2120" s="289"/>
      <c r="J2120" s="285" t="s">
        <v>10461</v>
      </c>
      <c r="K2120" s="14">
        <v>44637</v>
      </c>
      <c r="L2120" s="289">
        <v>211</v>
      </c>
      <c r="M2120" s="14"/>
      <c r="N2120" s="40">
        <v>1</v>
      </c>
      <c r="O2120" s="40">
        <v>28999</v>
      </c>
      <c r="P2120" s="40">
        <f>O2120</f>
        <v>28999</v>
      </c>
      <c r="Q2120" s="40">
        <f t="shared" si="61"/>
        <v>0</v>
      </c>
      <c r="R2120" s="285" t="s">
        <v>10654</v>
      </c>
      <c r="S2120" s="14">
        <v>44614</v>
      </c>
      <c r="T2120" s="22" t="s">
        <v>11589</v>
      </c>
    </row>
    <row r="2121" spans="1:20" ht="51" customHeight="1" x14ac:dyDescent="0.2">
      <c r="A2121" s="289">
        <v>2152</v>
      </c>
      <c r="B2121" s="12" t="s">
        <v>11590</v>
      </c>
      <c r="C2121" s="289"/>
      <c r="D2121" s="85" t="s">
        <v>11591</v>
      </c>
      <c r="E2121" s="22" t="s">
        <v>11444</v>
      </c>
      <c r="F2121" s="27" t="s">
        <v>11593</v>
      </c>
      <c r="G2121" s="285" t="s">
        <v>9194</v>
      </c>
      <c r="H2121" s="285" t="s">
        <v>5127</v>
      </c>
      <c r="I2121" s="289"/>
      <c r="J2121" s="285" t="s">
        <v>10461</v>
      </c>
      <c r="K2121" s="14">
        <v>44637</v>
      </c>
      <c r="L2121" s="289">
        <v>210</v>
      </c>
      <c r="M2121" s="14"/>
      <c r="N2121" s="40">
        <v>1</v>
      </c>
      <c r="O2121" s="40">
        <v>21199</v>
      </c>
      <c r="P2121" s="40">
        <v>21199</v>
      </c>
      <c r="Q2121" s="40">
        <f t="shared" si="61"/>
        <v>0</v>
      </c>
      <c r="R2121" s="285" t="s">
        <v>10654</v>
      </c>
      <c r="S2121" s="14">
        <v>44592</v>
      </c>
      <c r="T2121" s="22" t="s">
        <v>11592</v>
      </c>
    </row>
    <row r="2122" spans="1:20" ht="78" customHeight="1" x14ac:dyDescent="0.2">
      <c r="A2122" s="289">
        <v>2153</v>
      </c>
      <c r="B2122" s="12" t="s">
        <v>11605</v>
      </c>
      <c r="C2122" s="289"/>
      <c r="D2122" s="85" t="s">
        <v>11604</v>
      </c>
      <c r="E2122" s="22" t="s">
        <v>11444</v>
      </c>
      <c r="F2122" s="9" t="s">
        <v>11608</v>
      </c>
      <c r="G2122" s="285" t="s">
        <v>4296</v>
      </c>
      <c r="H2122" s="285" t="s">
        <v>10494</v>
      </c>
      <c r="I2122" s="289"/>
      <c r="J2122" s="285" t="s">
        <v>10461</v>
      </c>
      <c r="K2122" s="14">
        <v>44648</v>
      </c>
      <c r="L2122" s="289">
        <v>242</v>
      </c>
      <c r="M2122" s="14">
        <v>44606</v>
      </c>
      <c r="N2122" s="40">
        <v>1</v>
      </c>
      <c r="O2122" s="40">
        <v>48748.33</v>
      </c>
      <c r="P2122" s="40">
        <v>8124.7</v>
      </c>
      <c r="Q2122" s="40">
        <f t="shared" si="61"/>
        <v>40623.630000000005</v>
      </c>
      <c r="R2122" s="285" t="s">
        <v>10654</v>
      </c>
      <c r="S2122" s="14">
        <v>44572</v>
      </c>
      <c r="T2122" s="22" t="s">
        <v>11609</v>
      </c>
    </row>
    <row r="2123" spans="1:20" ht="51" customHeight="1" x14ac:dyDescent="0.2">
      <c r="A2123" s="30">
        <v>2154</v>
      </c>
      <c r="B2123" s="42" t="s">
        <v>11607</v>
      </c>
      <c r="C2123" s="30"/>
      <c r="D2123" s="278" t="s">
        <v>11611</v>
      </c>
      <c r="E2123" s="22" t="s">
        <v>11444</v>
      </c>
      <c r="F2123" s="98" t="s">
        <v>11606</v>
      </c>
      <c r="G2123" s="49" t="s">
        <v>4296</v>
      </c>
      <c r="H2123" s="49" t="s">
        <v>10494</v>
      </c>
      <c r="I2123" s="30"/>
      <c r="J2123" s="49" t="s">
        <v>10461</v>
      </c>
      <c r="K2123" s="14">
        <v>44648</v>
      </c>
      <c r="L2123" s="289">
        <v>242</v>
      </c>
      <c r="M2123" s="53">
        <v>44613</v>
      </c>
      <c r="N2123" s="100">
        <v>1</v>
      </c>
      <c r="O2123" s="100">
        <v>122166.67</v>
      </c>
      <c r="P2123" s="100">
        <v>16967.599999999999</v>
      </c>
      <c r="Q2123" s="100">
        <f t="shared" si="61"/>
        <v>105199.07</v>
      </c>
      <c r="R2123" s="49" t="s">
        <v>10654</v>
      </c>
      <c r="S2123" s="53">
        <v>44572</v>
      </c>
      <c r="T2123" s="119" t="s">
        <v>11610</v>
      </c>
    </row>
    <row r="2124" spans="1:20" ht="60.75" customHeight="1" x14ac:dyDescent="0.2">
      <c r="A2124" s="30">
        <v>2155</v>
      </c>
      <c r="B2124" s="42" t="s">
        <v>11612</v>
      </c>
      <c r="C2124" s="289"/>
      <c r="D2124" s="85" t="s">
        <v>11616</v>
      </c>
      <c r="E2124" s="22" t="s">
        <v>11444</v>
      </c>
      <c r="F2124" s="27" t="s">
        <v>11617</v>
      </c>
      <c r="G2124" s="285" t="s">
        <v>6266</v>
      </c>
      <c r="H2124" s="285" t="s">
        <v>5127</v>
      </c>
      <c r="I2124" s="289"/>
      <c r="J2124" s="49" t="s">
        <v>10461</v>
      </c>
      <c r="K2124" s="53">
        <v>44648</v>
      </c>
      <c r="L2124" s="30">
        <v>243</v>
      </c>
      <c r="M2124" s="14">
        <v>44546</v>
      </c>
      <c r="N2124" s="40">
        <v>1</v>
      </c>
      <c r="O2124" s="40">
        <v>10799</v>
      </c>
      <c r="P2124" s="40">
        <f>O2124</f>
        <v>10799</v>
      </c>
      <c r="Q2124" s="40">
        <f t="shared" si="61"/>
        <v>0</v>
      </c>
      <c r="R2124" s="49" t="s">
        <v>10654</v>
      </c>
      <c r="S2124" s="14">
        <v>44537</v>
      </c>
      <c r="T2124" s="22" t="s">
        <v>11619</v>
      </c>
    </row>
    <row r="2125" spans="1:20" ht="60.75" customHeight="1" x14ac:dyDescent="0.2">
      <c r="A2125" s="30">
        <v>2156</v>
      </c>
      <c r="B2125" s="42" t="s">
        <v>11613</v>
      </c>
      <c r="C2125" s="289"/>
      <c r="D2125" s="85" t="s">
        <v>10855</v>
      </c>
      <c r="E2125" s="22" t="s">
        <v>11444</v>
      </c>
      <c r="F2125" s="27" t="s">
        <v>11618</v>
      </c>
      <c r="G2125" s="285" t="s">
        <v>6266</v>
      </c>
      <c r="H2125" s="285" t="s">
        <v>5127</v>
      </c>
      <c r="I2125" s="289"/>
      <c r="J2125" s="49" t="s">
        <v>10461</v>
      </c>
      <c r="K2125" s="53">
        <v>44648</v>
      </c>
      <c r="L2125" s="30">
        <v>243</v>
      </c>
      <c r="M2125" s="14"/>
      <c r="N2125" s="40">
        <v>1</v>
      </c>
      <c r="O2125" s="40">
        <v>26099</v>
      </c>
      <c r="P2125" s="40">
        <v>26099</v>
      </c>
      <c r="Q2125" s="40">
        <f t="shared" si="61"/>
        <v>0</v>
      </c>
      <c r="R2125" s="49" t="s">
        <v>10654</v>
      </c>
      <c r="S2125" s="14">
        <v>44537</v>
      </c>
      <c r="T2125" s="22" t="s">
        <v>11620</v>
      </c>
    </row>
    <row r="2126" spans="1:20" ht="63.75" customHeight="1" x14ac:dyDescent="0.2">
      <c r="A2126" s="30">
        <v>2157</v>
      </c>
      <c r="B2126" s="42" t="s">
        <v>11614</v>
      </c>
      <c r="C2126" s="289"/>
      <c r="D2126" s="85" t="s">
        <v>10855</v>
      </c>
      <c r="E2126" s="22" t="s">
        <v>11444</v>
      </c>
      <c r="F2126" s="27" t="s">
        <v>11621</v>
      </c>
      <c r="G2126" s="285" t="s">
        <v>6266</v>
      </c>
      <c r="H2126" s="285" t="s">
        <v>5127</v>
      </c>
      <c r="I2126" s="289"/>
      <c r="J2126" s="49" t="s">
        <v>10461</v>
      </c>
      <c r="K2126" s="53">
        <v>44648</v>
      </c>
      <c r="L2126" s="30">
        <v>243</v>
      </c>
      <c r="M2126" s="14"/>
      <c r="N2126" s="40">
        <v>1</v>
      </c>
      <c r="O2126" s="40">
        <v>28400</v>
      </c>
      <c r="P2126" s="40">
        <f>O2126</f>
        <v>28400</v>
      </c>
      <c r="Q2126" s="40">
        <f t="shared" si="61"/>
        <v>0</v>
      </c>
      <c r="R2126" s="49" t="s">
        <v>10654</v>
      </c>
      <c r="S2126" s="14">
        <v>44455</v>
      </c>
      <c r="T2126" s="14" t="s">
        <v>11622</v>
      </c>
    </row>
    <row r="2127" spans="1:20" ht="60" customHeight="1" x14ac:dyDescent="0.2">
      <c r="A2127" s="30">
        <v>2158</v>
      </c>
      <c r="B2127" s="42" t="s">
        <v>11615</v>
      </c>
      <c r="C2127" s="30"/>
      <c r="D2127" s="278" t="s">
        <v>11616</v>
      </c>
      <c r="E2127" s="22" t="s">
        <v>11444</v>
      </c>
      <c r="F2127" s="98" t="s">
        <v>11625</v>
      </c>
      <c r="G2127" s="49" t="s">
        <v>6266</v>
      </c>
      <c r="H2127" s="49" t="s">
        <v>5127</v>
      </c>
      <c r="I2127" s="30"/>
      <c r="J2127" s="49" t="s">
        <v>10461</v>
      </c>
      <c r="K2127" s="53">
        <v>44648</v>
      </c>
      <c r="L2127" s="30">
        <v>243</v>
      </c>
      <c r="M2127" s="53">
        <v>44550</v>
      </c>
      <c r="N2127" s="100">
        <v>1</v>
      </c>
      <c r="O2127" s="100">
        <v>10000</v>
      </c>
      <c r="P2127" s="100">
        <f>O2127</f>
        <v>10000</v>
      </c>
      <c r="Q2127" s="100">
        <f t="shared" si="61"/>
        <v>0</v>
      </c>
      <c r="R2127" s="49" t="s">
        <v>11623</v>
      </c>
      <c r="S2127" s="53">
        <v>44550</v>
      </c>
      <c r="T2127" s="119" t="s">
        <v>11624</v>
      </c>
    </row>
    <row r="2128" spans="1:20" ht="60" customHeight="1" x14ac:dyDescent="0.2">
      <c r="A2128" s="289">
        <v>2159</v>
      </c>
      <c r="B2128" s="12" t="s">
        <v>11631</v>
      </c>
      <c r="C2128" s="289"/>
      <c r="D2128" s="85" t="s">
        <v>11632</v>
      </c>
      <c r="E2128" s="22" t="s">
        <v>11444</v>
      </c>
      <c r="F2128" s="27"/>
      <c r="G2128" s="285" t="s">
        <v>7980</v>
      </c>
      <c r="H2128" s="285" t="s">
        <v>10499</v>
      </c>
      <c r="I2128" s="289"/>
      <c r="J2128" s="285" t="s">
        <v>10461</v>
      </c>
      <c r="K2128" s="14">
        <v>44659</v>
      </c>
      <c r="L2128" s="289">
        <v>281</v>
      </c>
      <c r="M2128" s="14">
        <v>44606</v>
      </c>
      <c r="N2128" s="40">
        <v>1</v>
      </c>
      <c r="O2128" s="40">
        <v>15000</v>
      </c>
      <c r="P2128" s="40">
        <f>O2128</f>
        <v>15000</v>
      </c>
      <c r="Q2128" s="40">
        <f>O2128-P2128</f>
        <v>0</v>
      </c>
      <c r="R2128" s="285" t="s">
        <v>10463</v>
      </c>
      <c r="S2128" s="14">
        <v>44582</v>
      </c>
      <c r="T2128" s="22" t="s">
        <v>11633</v>
      </c>
    </row>
    <row r="2129" spans="1:20" ht="60" customHeight="1" x14ac:dyDescent="0.2">
      <c r="A2129" s="289">
        <v>2162</v>
      </c>
      <c r="B2129" s="12" t="s">
        <v>11634</v>
      </c>
      <c r="C2129" s="289"/>
      <c r="D2129" s="85" t="s">
        <v>11641</v>
      </c>
      <c r="E2129" s="22" t="s">
        <v>11444</v>
      </c>
      <c r="F2129" s="27" t="s">
        <v>11639</v>
      </c>
      <c r="G2129" s="285" t="s">
        <v>3699</v>
      </c>
      <c r="H2129" s="285" t="s">
        <v>5127</v>
      </c>
      <c r="I2129" s="289"/>
      <c r="J2129" s="285" t="s">
        <v>10461</v>
      </c>
      <c r="K2129" s="14">
        <v>44659</v>
      </c>
      <c r="L2129" s="289">
        <v>282</v>
      </c>
      <c r="M2129" s="14">
        <v>44538</v>
      </c>
      <c r="N2129" s="40">
        <v>1</v>
      </c>
      <c r="O2129" s="40">
        <v>17979</v>
      </c>
      <c r="P2129" s="40">
        <v>17979</v>
      </c>
      <c r="Q2129" s="40">
        <f>O2129-P2129</f>
        <v>0</v>
      </c>
      <c r="R2129" s="285" t="s">
        <v>10501</v>
      </c>
      <c r="S2129" s="14">
        <v>44539</v>
      </c>
      <c r="T2129" s="22" t="s">
        <v>11642</v>
      </c>
    </row>
    <row r="2130" spans="1:20" ht="60" customHeight="1" x14ac:dyDescent="0.2">
      <c r="A2130" s="289">
        <v>2163</v>
      </c>
      <c r="B2130" s="12" t="s">
        <v>11637</v>
      </c>
      <c r="C2130" s="289"/>
      <c r="D2130" s="85" t="s">
        <v>11645</v>
      </c>
      <c r="E2130" s="22" t="s">
        <v>11444</v>
      </c>
      <c r="F2130" s="27" t="s">
        <v>11644</v>
      </c>
      <c r="G2130" s="285" t="s">
        <v>6266</v>
      </c>
      <c r="H2130" s="285" t="s">
        <v>5127</v>
      </c>
      <c r="I2130" s="289"/>
      <c r="J2130" s="285" t="s">
        <v>10461</v>
      </c>
      <c r="K2130" s="14">
        <v>44659</v>
      </c>
      <c r="L2130" s="289">
        <v>283</v>
      </c>
      <c r="M2130" s="14"/>
      <c r="N2130" s="40">
        <v>1</v>
      </c>
      <c r="O2130" s="40">
        <v>20300</v>
      </c>
      <c r="P2130" s="40">
        <f>O2130</f>
        <v>20300</v>
      </c>
      <c r="Q2130" s="40">
        <f>O2130-P2130</f>
        <v>0</v>
      </c>
      <c r="R2130" s="285" t="s">
        <v>10501</v>
      </c>
      <c r="S2130" s="14">
        <v>44621</v>
      </c>
      <c r="T2130" s="22" t="s">
        <v>11648</v>
      </c>
    </row>
    <row r="2131" spans="1:20" ht="60" customHeight="1" x14ac:dyDescent="0.2">
      <c r="A2131" s="289">
        <v>2164</v>
      </c>
      <c r="B2131" s="12" t="s">
        <v>11640</v>
      </c>
      <c r="C2131" s="289"/>
      <c r="D2131" s="85" t="s">
        <v>11649</v>
      </c>
      <c r="E2131" s="22" t="s">
        <v>11444</v>
      </c>
      <c r="F2131" s="27" t="s">
        <v>11650</v>
      </c>
      <c r="G2131" s="285" t="s">
        <v>7983</v>
      </c>
      <c r="H2131" s="285" t="s">
        <v>10499</v>
      </c>
      <c r="I2131" s="289"/>
      <c r="J2131" s="285" t="s">
        <v>10461</v>
      </c>
      <c r="K2131" s="14">
        <v>44662</v>
      </c>
      <c r="L2131" s="289">
        <v>287</v>
      </c>
      <c r="M2131" s="14">
        <v>44624</v>
      </c>
      <c r="N2131" s="40">
        <v>1</v>
      </c>
      <c r="O2131" s="40">
        <v>34860</v>
      </c>
      <c r="P2131" s="40">
        <v>34860</v>
      </c>
      <c r="Q2131" s="40">
        <v>0</v>
      </c>
      <c r="R2131" s="285" t="s">
        <v>10456</v>
      </c>
      <c r="S2131" s="14">
        <v>44623</v>
      </c>
      <c r="T2131" s="22" t="s">
        <v>11651</v>
      </c>
    </row>
    <row r="2132" spans="1:20" ht="60" customHeight="1" x14ac:dyDescent="0.2">
      <c r="A2132" s="289">
        <v>2165</v>
      </c>
      <c r="B2132" s="12" t="s">
        <v>11643</v>
      </c>
      <c r="C2132" s="289"/>
      <c r="D2132" s="85" t="s">
        <v>11652</v>
      </c>
      <c r="E2132" s="22" t="s">
        <v>11444</v>
      </c>
      <c r="F2132" s="27" t="s">
        <v>11653</v>
      </c>
      <c r="G2132" s="285" t="s">
        <v>7983</v>
      </c>
      <c r="H2132" s="285" t="s">
        <v>10499</v>
      </c>
      <c r="I2132" s="289"/>
      <c r="J2132" s="285" t="s">
        <v>10461</v>
      </c>
      <c r="K2132" s="14">
        <v>44662</v>
      </c>
      <c r="L2132" s="289">
        <v>287</v>
      </c>
      <c r="M2132" s="14">
        <v>44624</v>
      </c>
      <c r="N2132" s="40">
        <v>1</v>
      </c>
      <c r="O2132" s="62">
        <v>28900</v>
      </c>
      <c r="P2132" s="62">
        <v>28900</v>
      </c>
      <c r="Q2132" s="62">
        <v>0</v>
      </c>
      <c r="R2132" s="285" t="s">
        <v>10456</v>
      </c>
      <c r="S2132" s="14">
        <v>44623</v>
      </c>
      <c r="T2132" s="22" t="s">
        <v>11651</v>
      </c>
    </row>
    <row r="2133" spans="1:20" ht="60" customHeight="1" x14ac:dyDescent="0.2">
      <c r="A2133" s="289">
        <v>2166</v>
      </c>
      <c r="B2133" s="12" t="s">
        <v>11656</v>
      </c>
      <c r="C2133" s="289"/>
      <c r="D2133" s="85" t="s">
        <v>11652</v>
      </c>
      <c r="E2133" s="22" t="s">
        <v>11444</v>
      </c>
      <c r="F2133" s="27" t="s">
        <v>11657</v>
      </c>
      <c r="G2133" s="285" t="s">
        <v>4296</v>
      </c>
      <c r="H2133" s="285" t="s">
        <v>10494</v>
      </c>
      <c r="I2133" s="289"/>
      <c r="J2133" s="285" t="s">
        <v>10461</v>
      </c>
      <c r="K2133" s="83">
        <v>44670</v>
      </c>
      <c r="L2133" s="289">
        <v>305</v>
      </c>
      <c r="M2133" s="14">
        <v>44645</v>
      </c>
      <c r="N2133" s="40">
        <v>1</v>
      </c>
      <c r="O2133" s="40">
        <v>38855</v>
      </c>
      <c r="P2133" s="40">
        <v>38855</v>
      </c>
      <c r="Q2133" s="40">
        <v>0</v>
      </c>
      <c r="R2133" s="285" t="s">
        <v>11658</v>
      </c>
      <c r="S2133" s="14">
        <v>44635</v>
      </c>
      <c r="T2133" s="22" t="s">
        <v>11659</v>
      </c>
    </row>
    <row r="2134" spans="1:20" ht="78.75" customHeight="1" x14ac:dyDescent="0.2">
      <c r="A2134" s="289">
        <v>2167</v>
      </c>
      <c r="B2134" s="12" t="s">
        <v>11671</v>
      </c>
      <c r="C2134" s="18"/>
      <c r="D2134" s="85" t="s">
        <v>11668</v>
      </c>
      <c r="E2134" s="22" t="s">
        <v>11444</v>
      </c>
      <c r="F2134" s="27" t="s">
        <v>11670</v>
      </c>
      <c r="G2134" s="285" t="s">
        <v>4296</v>
      </c>
      <c r="H2134" s="285" t="s">
        <v>10494</v>
      </c>
      <c r="I2134" s="289"/>
      <c r="J2134" s="285" t="s">
        <v>10461</v>
      </c>
      <c r="K2134" s="14">
        <v>44699</v>
      </c>
      <c r="L2134" s="289">
        <v>363</v>
      </c>
      <c r="M2134" s="14">
        <v>44666</v>
      </c>
      <c r="N2134" s="40">
        <v>1</v>
      </c>
      <c r="O2134" s="40">
        <v>20670</v>
      </c>
      <c r="P2134" s="40">
        <v>20670</v>
      </c>
      <c r="Q2134" s="40">
        <v>0</v>
      </c>
      <c r="R2134" s="285" t="s">
        <v>10995</v>
      </c>
      <c r="S2134" s="14">
        <v>44666</v>
      </c>
      <c r="T2134" s="22" t="s">
        <v>11669</v>
      </c>
    </row>
    <row r="2135" spans="1:20" ht="46.5" customHeight="1" x14ac:dyDescent="0.2">
      <c r="A2135" s="289">
        <v>2168</v>
      </c>
      <c r="B2135" s="12" t="s">
        <v>11673</v>
      </c>
      <c r="C2135" s="18"/>
      <c r="D2135" s="85" t="s">
        <v>11674</v>
      </c>
      <c r="E2135" s="22" t="s">
        <v>11444</v>
      </c>
      <c r="F2135" s="27" t="s">
        <v>11675</v>
      </c>
      <c r="G2135" s="285" t="s">
        <v>7983</v>
      </c>
      <c r="H2135" s="285" t="s">
        <v>10499</v>
      </c>
      <c r="I2135" s="289"/>
      <c r="J2135" s="285" t="s">
        <v>10461</v>
      </c>
      <c r="K2135" s="14">
        <v>44706</v>
      </c>
      <c r="L2135" s="289">
        <v>386</v>
      </c>
      <c r="M2135" s="14">
        <v>44694</v>
      </c>
      <c r="N2135" s="40">
        <v>1</v>
      </c>
      <c r="O2135" s="40">
        <v>26998</v>
      </c>
      <c r="P2135" s="40">
        <v>26998</v>
      </c>
      <c r="Q2135" s="40">
        <v>0</v>
      </c>
      <c r="R2135" s="285" t="s">
        <v>10456</v>
      </c>
      <c r="S2135" s="14">
        <v>44694</v>
      </c>
      <c r="T2135" s="22" t="s">
        <v>11676</v>
      </c>
    </row>
    <row r="2136" spans="1:20" ht="40.5" customHeight="1" x14ac:dyDescent="0.2">
      <c r="A2136" s="289">
        <v>2169</v>
      </c>
      <c r="B2136" s="12" t="s">
        <v>11677</v>
      </c>
      <c r="C2136" s="18"/>
      <c r="D2136" s="85" t="s">
        <v>11680</v>
      </c>
      <c r="E2136" s="22" t="s">
        <v>11444</v>
      </c>
      <c r="F2136" s="27" t="s">
        <v>11679</v>
      </c>
      <c r="G2136" s="285" t="s">
        <v>4296</v>
      </c>
      <c r="H2136" s="285" t="s">
        <v>10494</v>
      </c>
      <c r="I2136" s="289"/>
      <c r="J2136" s="285" t="s">
        <v>10461</v>
      </c>
      <c r="K2136" s="14">
        <v>44706</v>
      </c>
      <c r="L2136" s="289">
        <v>387</v>
      </c>
      <c r="M2136" s="14">
        <v>44622</v>
      </c>
      <c r="N2136" s="40">
        <v>1</v>
      </c>
      <c r="O2136" s="40">
        <v>57400</v>
      </c>
      <c r="P2136" s="40">
        <v>4304.97</v>
      </c>
      <c r="Q2136" s="40">
        <f t="shared" ref="Q2136:Q2141" si="62">O2136-P2136</f>
        <v>53095.03</v>
      </c>
      <c r="R2136" s="285" t="s">
        <v>10501</v>
      </c>
      <c r="S2136" s="14">
        <v>44581</v>
      </c>
      <c r="T2136" s="22" t="s">
        <v>11695</v>
      </c>
    </row>
    <row r="2137" spans="1:20" ht="53.25" customHeight="1" x14ac:dyDescent="0.2">
      <c r="A2137" s="289">
        <v>2170</v>
      </c>
      <c r="B2137" s="12" t="s">
        <v>11678</v>
      </c>
      <c r="C2137" s="18"/>
      <c r="D2137" s="85" t="s">
        <v>11681</v>
      </c>
      <c r="E2137" s="22" t="s">
        <v>11444</v>
      </c>
      <c r="F2137" s="27" t="s">
        <v>11683</v>
      </c>
      <c r="G2137" s="285" t="s">
        <v>4296</v>
      </c>
      <c r="H2137" s="285" t="s">
        <v>10494</v>
      </c>
      <c r="I2137" s="289"/>
      <c r="J2137" s="285" t="s">
        <v>10461</v>
      </c>
      <c r="K2137" s="14">
        <v>44706</v>
      </c>
      <c r="L2137" s="289">
        <v>387</v>
      </c>
      <c r="M2137" s="14">
        <v>44636</v>
      </c>
      <c r="N2137" s="40">
        <v>1</v>
      </c>
      <c r="O2137" s="40">
        <v>84284.63</v>
      </c>
      <c r="P2137" s="40">
        <v>12642.66</v>
      </c>
      <c r="Q2137" s="40">
        <f t="shared" si="62"/>
        <v>71641.97</v>
      </c>
      <c r="R2137" s="285" t="s">
        <v>10501</v>
      </c>
      <c r="S2137" s="14">
        <v>44578</v>
      </c>
      <c r="T2137" s="22" t="s">
        <v>11696</v>
      </c>
    </row>
    <row r="2138" spans="1:20" ht="50.25" customHeight="1" x14ac:dyDescent="0.2">
      <c r="A2138" s="289">
        <v>2171</v>
      </c>
      <c r="B2138" s="12" t="s">
        <v>11682</v>
      </c>
      <c r="C2138" s="18"/>
      <c r="D2138" s="85" t="s">
        <v>11686</v>
      </c>
      <c r="E2138" s="22" t="s">
        <v>11444</v>
      </c>
      <c r="F2138" s="27" t="s">
        <v>11684</v>
      </c>
      <c r="G2138" s="285" t="s">
        <v>4296</v>
      </c>
      <c r="H2138" s="285" t="s">
        <v>10494</v>
      </c>
      <c r="I2138" s="289"/>
      <c r="J2138" s="285" t="s">
        <v>10461</v>
      </c>
      <c r="K2138" s="14">
        <v>44706</v>
      </c>
      <c r="L2138" s="289">
        <v>387</v>
      </c>
      <c r="M2138" s="14">
        <v>44636</v>
      </c>
      <c r="N2138" s="40">
        <v>1</v>
      </c>
      <c r="O2138" s="40">
        <v>56731.21</v>
      </c>
      <c r="P2138" s="40">
        <v>3545.73</v>
      </c>
      <c r="Q2138" s="40">
        <f t="shared" si="62"/>
        <v>53185.479999999996</v>
      </c>
      <c r="R2138" s="285" t="s">
        <v>10501</v>
      </c>
      <c r="S2138" s="14">
        <v>44579</v>
      </c>
      <c r="T2138" s="22" t="s">
        <v>11697</v>
      </c>
    </row>
    <row r="2139" spans="1:20" ht="41.25" customHeight="1" x14ac:dyDescent="0.2">
      <c r="A2139" s="289">
        <v>2172</v>
      </c>
      <c r="B2139" s="12" t="s">
        <v>11685</v>
      </c>
      <c r="C2139" s="18"/>
      <c r="D2139" s="85" t="s">
        <v>11687</v>
      </c>
      <c r="E2139" s="22" t="s">
        <v>11444</v>
      </c>
      <c r="F2139" s="27" t="s">
        <v>11688</v>
      </c>
      <c r="G2139" s="285" t="s">
        <v>4296</v>
      </c>
      <c r="H2139" s="285" t="s">
        <v>10494</v>
      </c>
      <c r="I2139" s="289"/>
      <c r="J2139" s="285" t="s">
        <v>10461</v>
      </c>
      <c r="K2139" s="14">
        <v>44706</v>
      </c>
      <c r="L2139" s="289">
        <v>387</v>
      </c>
      <c r="M2139" s="14">
        <v>44599</v>
      </c>
      <c r="N2139" s="40">
        <v>1</v>
      </c>
      <c r="O2139" s="40">
        <v>50591.67</v>
      </c>
      <c r="P2139" s="40">
        <v>14053.2</v>
      </c>
      <c r="Q2139" s="40">
        <f t="shared" si="62"/>
        <v>36538.47</v>
      </c>
      <c r="R2139" s="285" t="s">
        <v>10501</v>
      </c>
      <c r="S2139" s="14">
        <v>44588</v>
      </c>
      <c r="T2139" s="22" t="s">
        <v>11698</v>
      </c>
    </row>
    <row r="2140" spans="1:20" ht="50.25" customHeight="1" x14ac:dyDescent="0.2">
      <c r="A2140" s="289">
        <v>2172</v>
      </c>
      <c r="B2140" s="12" t="s">
        <v>11689</v>
      </c>
      <c r="C2140" s="18"/>
      <c r="D2140" s="85" t="s">
        <v>11690</v>
      </c>
      <c r="E2140" s="22" t="s">
        <v>11444</v>
      </c>
      <c r="F2140" s="27" t="s">
        <v>11691</v>
      </c>
      <c r="G2140" s="285" t="s">
        <v>4296</v>
      </c>
      <c r="H2140" s="285" t="s">
        <v>10494</v>
      </c>
      <c r="I2140" s="289"/>
      <c r="J2140" s="285" t="s">
        <v>10461</v>
      </c>
      <c r="K2140" s="14">
        <v>44706</v>
      </c>
      <c r="L2140" s="289">
        <v>387</v>
      </c>
      <c r="M2140" s="14">
        <v>44657</v>
      </c>
      <c r="N2140" s="40">
        <v>1</v>
      </c>
      <c r="O2140" s="40">
        <v>53537.5</v>
      </c>
      <c r="P2140" s="40">
        <v>11897.2</v>
      </c>
      <c r="Q2140" s="40">
        <f t="shared" si="62"/>
        <v>41640.300000000003</v>
      </c>
      <c r="R2140" s="285" t="s">
        <v>10501</v>
      </c>
      <c r="S2140" s="14">
        <v>44550</v>
      </c>
      <c r="T2140" s="22" t="s">
        <v>11699</v>
      </c>
    </row>
    <row r="2141" spans="1:20" ht="50.25" customHeight="1" x14ac:dyDescent="0.2">
      <c r="A2141" s="289">
        <v>2173</v>
      </c>
      <c r="B2141" s="12" t="s">
        <v>11692</v>
      </c>
      <c r="C2141" s="18"/>
      <c r="D2141" s="85" t="s">
        <v>11693</v>
      </c>
      <c r="E2141" s="22" t="s">
        <v>11444</v>
      </c>
      <c r="F2141" s="27" t="s">
        <v>11694</v>
      </c>
      <c r="G2141" s="285" t="s">
        <v>4296</v>
      </c>
      <c r="H2141" s="285" t="s">
        <v>10494</v>
      </c>
      <c r="I2141" s="289"/>
      <c r="J2141" s="285" t="s">
        <v>10461</v>
      </c>
      <c r="K2141" s="14">
        <v>44706</v>
      </c>
      <c r="L2141" s="289">
        <v>387</v>
      </c>
      <c r="M2141" s="14">
        <v>44658</v>
      </c>
      <c r="N2141" s="40">
        <v>1</v>
      </c>
      <c r="O2141" s="40">
        <v>251000</v>
      </c>
      <c r="P2141" s="40">
        <v>16733.36</v>
      </c>
      <c r="Q2141" s="40">
        <f t="shared" si="62"/>
        <v>234266.64</v>
      </c>
      <c r="R2141" s="285" t="s">
        <v>10501</v>
      </c>
      <c r="S2141" s="14">
        <v>44589</v>
      </c>
      <c r="T2141" s="22" t="s">
        <v>11700</v>
      </c>
    </row>
    <row r="2142" spans="1:20" ht="50.25" customHeight="1" x14ac:dyDescent="0.2">
      <c r="A2142" s="289">
        <v>2174</v>
      </c>
      <c r="B2142" s="12" t="s">
        <v>11701</v>
      </c>
      <c r="C2142" s="18"/>
      <c r="D2142" s="85" t="s">
        <v>11702</v>
      </c>
      <c r="E2142" s="22" t="s">
        <v>11444</v>
      </c>
      <c r="F2142" s="27" t="s">
        <v>11704</v>
      </c>
      <c r="G2142" s="285" t="s">
        <v>7981</v>
      </c>
      <c r="H2142" s="285" t="s">
        <v>10499</v>
      </c>
      <c r="I2142" s="289"/>
      <c r="J2142" s="285" t="s">
        <v>10461</v>
      </c>
      <c r="K2142" s="14">
        <v>44706</v>
      </c>
      <c r="L2142" s="289">
        <v>385</v>
      </c>
      <c r="M2142" s="14">
        <v>44700</v>
      </c>
      <c r="N2142" s="40">
        <v>1</v>
      </c>
      <c r="O2142" s="40">
        <v>49999</v>
      </c>
      <c r="P2142" s="40">
        <f>O2142</f>
        <v>49999</v>
      </c>
      <c r="Q2142" s="40">
        <f>O2142-P2142</f>
        <v>0</v>
      </c>
      <c r="R2142" s="285" t="s">
        <v>10501</v>
      </c>
      <c r="S2142" s="14">
        <v>44669</v>
      </c>
      <c r="T2142" s="22" t="s">
        <v>11703</v>
      </c>
    </row>
    <row r="2143" spans="1:20" ht="42" customHeight="1" x14ac:dyDescent="0.2">
      <c r="A2143" s="289">
        <v>2175</v>
      </c>
      <c r="B2143" s="12" t="s">
        <v>11710</v>
      </c>
      <c r="C2143" s="18"/>
      <c r="D2143" s="85" t="s">
        <v>11711</v>
      </c>
      <c r="E2143" s="22" t="s">
        <v>11444</v>
      </c>
      <c r="F2143" s="27" t="s">
        <v>11713</v>
      </c>
      <c r="G2143" s="285" t="s">
        <v>4296</v>
      </c>
      <c r="H2143" s="285" t="s">
        <v>10494</v>
      </c>
      <c r="I2143" s="289"/>
      <c r="J2143" s="285" t="s">
        <v>10461</v>
      </c>
      <c r="K2143" s="14">
        <v>44733</v>
      </c>
      <c r="L2143" s="289">
        <v>466</v>
      </c>
      <c r="M2143" s="14">
        <v>44686</v>
      </c>
      <c r="N2143" s="40">
        <v>1</v>
      </c>
      <c r="O2143" s="40">
        <v>18332.5</v>
      </c>
      <c r="P2143" s="40">
        <v>18332.5</v>
      </c>
      <c r="Q2143" s="40">
        <f>O2143-P2143</f>
        <v>0</v>
      </c>
      <c r="R2143" s="285" t="s">
        <v>10501</v>
      </c>
      <c r="S2143" s="14">
        <v>44670</v>
      </c>
      <c r="T2143" s="22" t="s">
        <v>11712</v>
      </c>
    </row>
    <row r="2144" spans="1:20" ht="44.25" customHeight="1" x14ac:dyDescent="0.2">
      <c r="A2144" s="289">
        <v>2176</v>
      </c>
      <c r="B2144" s="12" t="s">
        <v>11714</v>
      </c>
      <c r="C2144" s="18"/>
      <c r="D2144" s="85" t="s">
        <v>11715</v>
      </c>
      <c r="E2144" s="22" t="s">
        <v>11444</v>
      </c>
      <c r="F2144" s="27" t="s">
        <v>11716</v>
      </c>
      <c r="G2144" s="285" t="s">
        <v>101</v>
      </c>
      <c r="H2144" s="285" t="s">
        <v>10499</v>
      </c>
      <c r="I2144" s="289"/>
      <c r="J2144" s="285" t="s">
        <v>10461</v>
      </c>
      <c r="K2144" s="14">
        <v>44729</v>
      </c>
      <c r="L2144" s="289">
        <v>449</v>
      </c>
      <c r="M2144" s="14">
        <v>44706</v>
      </c>
      <c r="N2144" s="40">
        <v>1</v>
      </c>
      <c r="O2144" s="40">
        <v>358000</v>
      </c>
      <c r="P2144" s="40">
        <v>41766.69</v>
      </c>
      <c r="Q2144" s="40">
        <f>O2144-P2144</f>
        <v>316233.31</v>
      </c>
      <c r="R2144" s="285" t="s">
        <v>10501</v>
      </c>
      <c r="S2144" s="14">
        <v>44635</v>
      </c>
      <c r="T2144" s="22" t="s">
        <v>11717</v>
      </c>
    </row>
    <row r="2145" spans="1:20" ht="44.25" customHeight="1" x14ac:dyDescent="0.2">
      <c r="A2145" s="289">
        <v>2177</v>
      </c>
      <c r="B2145" s="12" t="s">
        <v>11721</v>
      </c>
      <c r="C2145" s="18"/>
      <c r="D2145" s="85" t="s">
        <v>11722</v>
      </c>
      <c r="E2145" s="22" t="s">
        <v>11444</v>
      </c>
      <c r="F2145" s="27"/>
      <c r="G2145" s="285" t="s">
        <v>7980</v>
      </c>
      <c r="H2145" s="285" t="s">
        <v>10499</v>
      </c>
      <c r="I2145" s="289"/>
      <c r="J2145" s="285" t="s">
        <v>10461</v>
      </c>
      <c r="K2145" s="14">
        <v>44735</v>
      </c>
      <c r="L2145" s="289">
        <v>476</v>
      </c>
      <c r="M2145" s="14">
        <v>44694</v>
      </c>
      <c r="N2145" s="40">
        <v>1</v>
      </c>
      <c r="O2145" s="40">
        <v>11810</v>
      </c>
      <c r="P2145" s="40">
        <f>O2145</f>
        <v>11810</v>
      </c>
      <c r="Q2145" s="40">
        <f>O2145-P2145</f>
        <v>0</v>
      </c>
      <c r="R2145" s="285" t="s">
        <v>10501</v>
      </c>
      <c r="S2145" s="14">
        <v>44582</v>
      </c>
      <c r="T2145" s="22" t="s">
        <v>11633</v>
      </c>
    </row>
    <row r="2146" spans="1:20" ht="76.5" customHeight="1" x14ac:dyDescent="0.2">
      <c r="A2146" s="289">
        <v>2178</v>
      </c>
      <c r="B2146" s="12" t="s">
        <v>11729</v>
      </c>
      <c r="C2146" s="18"/>
      <c r="D2146" s="85" t="s">
        <v>11728</v>
      </c>
      <c r="E2146" s="22" t="s">
        <v>11444</v>
      </c>
      <c r="F2146" s="27" t="s">
        <v>11805</v>
      </c>
      <c r="G2146" s="285" t="s">
        <v>12393</v>
      </c>
      <c r="H2146" s="285" t="s">
        <v>10784</v>
      </c>
      <c r="I2146" s="289"/>
      <c r="J2146" s="285" t="s">
        <v>11798</v>
      </c>
      <c r="K2146" s="14" t="s">
        <v>11795</v>
      </c>
      <c r="L2146" s="289" t="s">
        <v>11796</v>
      </c>
      <c r="M2146" s="14"/>
      <c r="N2146" s="40">
        <v>1</v>
      </c>
      <c r="O2146" s="40">
        <v>218850</v>
      </c>
      <c r="P2146" s="40">
        <v>3647.49</v>
      </c>
      <c r="Q2146" s="40">
        <f t="shared" ref="Q2146:Q2151" si="63">O2146-P2146</f>
        <v>215202.51</v>
      </c>
      <c r="R2146" s="285" t="s">
        <v>10874</v>
      </c>
      <c r="S2146" s="14">
        <v>44656</v>
      </c>
      <c r="T2146" s="22" t="s">
        <v>11797</v>
      </c>
    </row>
    <row r="2147" spans="1:20" ht="76.5" customHeight="1" x14ac:dyDescent="0.2">
      <c r="A2147" s="289">
        <v>2179</v>
      </c>
      <c r="B2147" s="12" t="s">
        <v>11730</v>
      </c>
      <c r="C2147" s="18"/>
      <c r="D2147" s="85" t="s">
        <v>11728</v>
      </c>
      <c r="E2147" s="22" t="s">
        <v>11444</v>
      </c>
      <c r="F2147" s="27" t="s">
        <v>11806</v>
      </c>
      <c r="G2147" s="285" t="s">
        <v>12392</v>
      </c>
      <c r="H2147" s="285" t="s">
        <v>10784</v>
      </c>
      <c r="I2147" s="289"/>
      <c r="J2147" s="285" t="s">
        <v>11799</v>
      </c>
      <c r="K2147" s="14" t="s">
        <v>11795</v>
      </c>
      <c r="L2147" s="289" t="s">
        <v>11796</v>
      </c>
      <c r="M2147" s="14"/>
      <c r="N2147" s="40">
        <v>1</v>
      </c>
      <c r="O2147" s="40">
        <v>218850</v>
      </c>
      <c r="P2147" s="40">
        <v>3647.49</v>
      </c>
      <c r="Q2147" s="40">
        <f t="shared" si="63"/>
        <v>215202.51</v>
      </c>
      <c r="R2147" s="285" t="s">
        <v>10874</v>
      </c>
      <c r="S2147" s="14">
        <v>44656</v>
      </c>
      <c r="T2147" s="22" t="s">
        <v>11797</v>
      </c>
    </row>
    <row r="2148" spans="1:20" ht="76.5" customHeight="1" x14ac:dyDescent="0.2">
      <c r="A2148" s="289">
        <v>2180</v>
      </c>
      <c r="B2148" s="12" t="s">
        <v>11731</v>
      </c>
      <c r="C2148" s="18"/>
      <c r="D2148" s="85" t="s">
        <v>11728</v>
      </c>
      <c r="E2148" s="22" t="s">
        <v>11444</v>
      </c>
      <c r="F2148" s="27" t="s">
        <v>11807</v>
      </c>
      <c r="G2148" s="285" t="s">
        <v>12389</v>
      </c>
      <c r="H2148" s="285" t="s">
        <v>10784</v>
      </c>
      <c r="I2148" s="289"/>
      <c r="J2148" s="285" t="s">
        <v>11800</v>
      </c>
      <c r="K2148" s="14" t="s">
        <v>11795</v>
      </c>
      <c r="L2148" s="289" t="s">
        <v>11796</v>
      </c>
      <c r="M2148" s="14"/>
      <c r="N2148" s="40">
        <v>1</v>
      </c>
      <c r="O2148" s="40">
        <v>218850</v>
      </c>
      <c r="P2148" s="40">
        <v>3647.49</v>
      </c>
      <c r="Q2148" s="40">
        <f t="shared" si="63"/>
        <v>215202.51</v>
      </c>
      <c r="R2148" s="285" t="s">
        <v>10874</v>
      </c>
      <c r="S2148" s="14">
        <v>44656</v>
      </c>
      <c r="T2148" s="22" t="s">
        <v>11797</v>
      </c>
    </row>
    <row r="2149" spans="1:20" ht="76.5" customHeight="1" x14ac:dyDescent="0.2">
      <c r="A2149" s="289">
        <v>2181</v>
      </c>
      <c r="B2149" s="12" t="s">
        <v>11732</v>
      </c>
      <c r="C2149" s="18"/>
      <c r="D2149" s="85" t="s">
        <v>11728</v>
      </c>
      <c r="E2149" s="22" t="s">
        <v>11444</v>
      </c>
      <c r="F2149" s="27" t="s">
        <v>11808</v>
      </c>
      <c r="G2149" s="285" t="s">
        <v>12388</v>
      </c>
      <c r="H2149" s="285" t="s">
        <v>10784</v>
      </c>
      <c r="I2149" s="289"/>
      <c r="J2149" s="285" t="s">
        <v>11801</v>
      </c>
      <c r="K2149" s="14" t="s">
        <v>11795</v>
      </c>
      <c r="L2149" s="289" t="s">
        <v>11796</v>
      </c>
      <c r="M2149" s="14"/>
      <c r="N2149" s="40">
        <v>1</v>
      </c>
      <c r="O2149" s="40">
        <v>218850</v>
      </c>
      <c r="P2149" s="40">
        <v>3647.49</v>
      </c>
      <c r="Q2149" s="40">
        <f t="shared" si="63"/>
        <v>215202.51</v>
      </c>
      <c r="R2149" s="285" t="s">
        <v>10874</v>
      </c>
      <c r="S2149" s="14">
        <v>44656</v>
      </c>
      <c r="T2149" s="22" t="s">
        <v>11797</v>
      </c>
    </row>
    <row r="2150" spans="1:20" ht="76.5" customHeight="1" x14ac:dyDescent="0.2">
      <c r="A2150" s="289">
        <v>2182</v>
      </c>
      <c r="B2150" s="12" t="s">
        <v>11733</v>
      </c>
      <c r="C2150" s="18"/>
      <c r="D2150" s="85" t="s">
        <v>11728</v>
      </c>
      <c r="E2150" s="22" t="s">
        <v>11444</v>
      </c>
      <c r="F2150" s="27" t="s">
        <v>11809</v>
      </c>
      <c r="G2150" s="285" t="s">
        <v>12390</v>
      </c>
      <c r="H2150" s="285" t="s">
        <v>10784</v>
      </c>
      <c r="I2150" s="289"/>
      <c r="J2150" s="285" t="s">
        <v>11802</v>
      </c>
      <c r="K2150" s="14" t="s">
        <v>11795</v>
      </c>
      <c r="L2150" s="289" t="s">
        <v>11796</v>
      </c>
      <c r="M2150" s="14"/>
      <c r="N2150" s="40">
        <v>1</v>
      </c>
      <c r="O2150" s="40">
        <v>218850</v>
      </c>
      <c r="P2150" s="40">
        <v>3647.49</v>
      </c>
      <c r="Q2150" s="40">
        <f t="shared" si="63"/>
        <v>215202.51</v>
      </c>
      <c r="R2150" s="285" t="s">
        <v>10874</v>
      </c>
      <c r="S2150" s="14">
        <v>44656</v>
      </c>
      <c r="T2150" s="22" t="s">
        <v>11797</v>
      </c>
    </row>
    <row r="2151" spans="1:20" ht="76.5" customHeight="1" x14ac:dyDescent="0.2">
      <c r="A2151" s="289">
        <v>2183</v>
      </c>
      <c r="B2151" s="12" t="s">
        <v>11734</v>
      </c>
      <c r="C2151" s="18"/>
      <c r="D2151" s="85" t="s">
        <v>11728</v>
      </c>
      <c r="E2151" s="22" t="s">
        <v>11444</v>
      </c>
      <c r="F2151" s="27" t="s">
        <v>11810</v>
      </c>
      <c r="G2151" s="285" t="s">
        <v>12391</v>
      </c>
      <c r="H2151" s="285" t="s">
        <v>10784</v>
      </c>
      <c r="I2151" s="289"/>
      <c r="J2151" s="285" t="s">
        <v>11803</v>
      </c>
      <c r="K2151" s="14" t="s">
        <v>11795</v>
      </c>
      <c r="L2151" s="289" t="s">
        <v>11796</v>
      </c>
      <c r="M2151" s="14"/>
      <c r="N2151" s="40">
        <v>1</v>
      </c>
      <c r="O2151" s="40">
        <v>218850</v>
      </c>
      <c r="P2151" s="40">
        <v>3647.49</v>
      </c>
      <c r="Q2151" s="40">
        <f t="shared" si="63"/>
        <v>215202.51</v>
      </c>
      <c r="R2151" s="285" t="s">
        <v>10874</v>
      </c>
      <c r="S2151" s="14">
        <v>44656</v>
      </c>
      <c r="T2151" s="22" t="s">
        <v>11797</v>
      </c>
    </row>
    <row r="2152" spans="1:20" ht="44.25" customHeight="1" x14ac:dyDescent="0.2">
      <c r="A2152" s="289">
        <v>2184</v>
      </c>
      <c r="B2152" s="12" t="s">
        <v>11789</v>
      </c>
      <c r="C2152" s="18"/>
      <c r="D2152" s="85" t="s">
        <v>11787</v>
      </c>
      <c r="E2152" s="22" t="s">
        <v>11444</v>
      </c>
      <c r="F2152" s="27" t="s">
        <v>11804</v>
      </c>
      <c r="G2152" s="285" t="s">
        <v>7967</v>
      </c>
      <c r="H2152" s="285" t="s">
        <v>10499</v>
      </c>
      <c r="I2152" s="289"/>
      <c r="J2152" s="285" t="s">
        <v>10461</v>
      </c>
      <c r="K2152" s="14">
        <v>44763</v>
      </c>
      <c r="L2152" s="289">
        <v>558</v>
      </c>
      <c r="M2152" s="14">
        <v>44708</v>
      </c>
      <c r="N2152" s="40">
        <v>2</v>
      </c>
      <c r="O2152" s="40">
        <v>37188</v>
      </c>
      <c r="P2152" s="40">
        <v>37188</v>
      </c>
      <c r="Q2152" s="40">
        <f t="shared" ref="Q2152" si="64">O2152-P2152</f>
        <v>0</v>
      </c>
      <c r="R2152" s="285" t="s">
        <v>10501</v>
      </c>
      <c r="S2152" s="14">
        <v>44708</v>
      </c>
      <c r="T2152" s="22" t="s">
        <v>11788</v>
      </c>
    </row>
    <row r="2153" spans="1:20" ht="54" customHeight="1" x14ac:dyDescent="0.2">
      <c r="A2153" s="289">
        <v>2185</v>
      </c>
      <c r="B2153" s="12" t="s">
        <v>11815</v>
      </c>
      <c r="C2153" s="18"/>
      <c r="D2153" s="85" t="s">
        <v>11818</v>
      </c>
      <c r="E2153" s="22" t="s">
        <v>11444</v>
      </c>
      <c r="F2153" s="27" t="s">
        <v>11965</v>
      </c>
      <c r="G2153" s="285" t="s">
        <v>4946</v>
      </c>
      <c r="H2153" s="285" t="s">
        <v>10499</v>
      </c>
      <c r="I2153" s="289"/>
      <c r="J2153" s="285" t="s">
        <v>10461</v>
      </c>
      <c r="K2153" s="14">
        <v>44783</v>
      </c>
      <c r="L2153" s="289">
        <v>622</v>
      </c>
      <c r="M2153" s="14">
        <v>44769</v>
      </c>
      <c r="N2153" s="40">
        <v>1</v>
      </c>
      <c r="O2153" s="40">
        <v>21999</v>
      </c>
      <c r="P2153" s="40">
        <v>21999</v>
      </c>
      <c r="Q2153" s="40">
        <f t="shared" ref="Q2153" si="65">O2153-P2153</f>
        <v>0</v>
      </c>
      <c r="R2153" s="285" t="s">
        <v>11816</v>
      </c>
      <c r="S2153" s="14">
        <v>44768</v>
      </c>
      <c r="T2153" s="22" t="s">
        <v>11817</v>
      </c>
    </row>
    <row r="2154" spans="1:20" ht="86.25" customHeight="1" x14ac:dyDescent="0.2">
      <c r="A2154" s="289">
        <v>2186</v>
      </c>
      <c r="B2154" s="12" t="s">
        <v>11821</v>
      </c>
      <c r="C2154" s="18"/>
      <c r="D2154" s="85" t="s">
        <v>11822</v>
      </c>
      <c r="E2154" s="22" t="s">
        <v>11444</v>
      </c>
      <c r="F2154" s="27"/>
      <c r="G2154" s="285" t="s">
        <v>7464</v>
      </c>
      <c r="H2154" s="285" t="s">
        <v>10499</v>
      </c>
      <c r="I2154" s="289"/>
      <c r="J2154" s="285" t="s">
        <v>10461</v>
      </c>
      <c r="K2154" s="14">
        <v>44783</v>
      </c>
      <c r="L2154" s="289">
        <v>620</v>
      </c>
      <c r="M2154" s="14">
        <v>44768</v>
      </c>
      <c r="N2154" s="40">
        <v>1</v>
      </c>
      <c r="O2154" s="40">
        <v>22000</v>
      </c>
      <c r="P2154" s="40">
        <v>22000</v>
      </c>
      <c r="Q2154" s="40">
        <f t="shared" ref="Q2154:Q2163" si="66">O2154-P2154</f>
        <v>0</v>
      </c>
      <c r="R2154" s="285" t="s">
        <v>11823</v>
      </c>
      <c r="S2154" s="14">
        <v>44767</v>
      </c>
      <c r="T2154" s="22" t="s">
        <v>11824</v>
      </c>
    </row>
    <row r="2155" spans="1:20" ht="86.25" customHeight="1" x14ac:dyDescent="0.2">
      <c r="A2155" s="289">
        <v>2187</v>
      </c>
      <c r="B2155" s="12" t="s">
        <v>11825</v>
      </c>
      <c r="C2155" s="18"/>
      <c r="D2155" s="85" t="s">
        <v>11826</v>
      </c>
      <c r="E2155" s="22" t="s">
        <v>11444</v>
      </c>
      <c r="F2155" s="27"/>
      <c r="G2155" s="285" t="s">
        <v>7983</v>
      </c>
      <c r="H2155" s="285" t="s">
        <v>10499</v>
      </c>
      <c r="I2155" s="289"/>
      <c r="J2155" s="285" t="s">
        <v>10461</v>
      </c>
      <c r="K2155" s="14">
        <v>44785</v>
      </c>
      <c r="L2155" s="289">
        <v>632</v>
      </c>
      <c r="M2155" s="14">
        <v>44777</v>
      </c>
      <c r="N2155" s="40">
        <v>2</v>
      </c>
      <c r="O2155" s="40">
        <v>69800</v>
      </c>
      <c r="P2155" s="40">
        <v>69800</v>
      </c>
      <c r="Q2155" s="40">
        <f t="shared" si="66"/>
        <v>0</v>
      </c>
      <c r="R2155" s="285" t="s">
        <v>10456</v>
      </c>
      <c r="S2155" s="14">
        <v>44777</v>
      </c>
      <c r="T2155" s="22" t="s">
        <v>11827</v>
      </c>
    </row>
    <row r="2156" spans="1:20" ht="86.25" customHeight="1" x14ac:dyDescent="0.2">
      <c r="A2156" s="289">
        <v>2188</v>
      </c>
      <c r="B2156" s="12" t="s">
        <v>11908</v>
      </c>
      <c r="C2156" s="18"/>
      <c r="D2156" s="85" t="s">
        <v>11909</v>
      </c>
      <c r="E2156" s="22" t="s">
        <v>11444</v>
      </c>
      <c r="F2156" s="27" t="s">
        <v>11914</v>
      </c>
      <c r="G2156" s="285" t="s">
        <v>4296</v>
      </c>
      <c r="H2156" s="285" t="s">
        <v>10494</v>
      </c>
      <c r="I2156" s="289"/>
      <c r="J2156" s="285" t="s">
        <v>10461</v>
      </c>
      <c r="K2156" s="14">
        <v>44831</v>
      </c>
      <c r="L2156" s="289">
        <v>782</v>
      </c>
      <c r="M2156" s="14">
        <v>44776</v>
      </c>
      <c r="N2156" s="40">
        <v>1</v>
      </c>
      <c r="O2156" s="40">
        <v>13167.5</v>
      </c>
      <c r="P2156" s="40">
        <v>13167.5</v>
      </c>
      <c r="Q2156" s="40">
        <f t="shared" si="66"/>
        <v>0</v>
      </c>
      <c r="R2156" s="285" t="s">
        <v>10654</v>
      </c>
      <c r="S2156" s="14">
        <v>44755</v>
      </c>
      <c r="T2156" s="22" t="s">
        <v>11910</v>
      </c>
    </row>
    <row r="2157" spans="1:20" ht="86.25" customHeight="1" x14ac:dyDescent="0.2">
      <c r="A2157" s="289">
        <v>2189</v>
      </c>
      <c r="B2157" s="12" t="s">
        <v>11911</v>
      </c>
      <c r="C2157" s="18"/>
      <c r="D2157" s="85" t="s">
        <v>11912</v>
      </c>
      <c r="E2157" s="22" t="s">
        <v>11444</v>
      </c>
      <c r="F2157" s="27" t="s">
        <v>11913</v>
      </c>
      <c r="G2157" s="285" t="s">
        <v>4296</v>
      </c>
      <c r="H2157" s="285" t="s">
        <v>10494</v>
      </c>
      <c r="I2157" s="289"/>
      <c r="J2157" s="285" t="s">
        <v>10461</v>
      </c>
      <c r="K2157" s="14">
        <v>44831</v>
      </c>
      <c r="L2157" s="289">
        <v>782</v>
      </c>
      <c r="M2157" s="14">
        <v>44776</v>
      </c>
      <c r="N2157" s="40">
        <v>1</v>
      </c>
      <c r="O2157" s="40">
        <v>21500</v>
      </c>
      <c r="P2157" s="40">
        <v>21500</v>
      </c>
      <c r="Q2157" s="40">
        <f t="shared" si="66"/>
        <v>0</v>
      </c>
      <c r="R2157" s="285" t="s">
        <v>10654</v>
      </c>
      <c r="S2157" s="14">
        <v>44642</v>
      </c>
      <c r="T2157" s="22" t="s">
        <v>11915</v>
      </c>
    </row>
    <row r="2158" spans="1:20" ht="86.25" customHeight="1" x14ac:dyDescent="0.2">
      <c r="A2158" s="289">
        <v>2190</v>
      </c>
      <c r="B2158" s="12" t="s">
        <v>11916</v>
      </c>
      <c r="C2158" s="18"/>
      <c r="D2158" s="85" t="s">
        <v>11917</v>
      </c>
      <c r="E2158" s="22" t="s">
        <v>11444</v>
      </c>
      <c r="F2158" s="27" t="s">
        <v>11918</v>
      </c>
      <c r="G2158" s="285" t="s">
        <v>4296</v>
      </c>
      <c r="H2158" s="285" t="s">
        <v>10494</v>
      </c>
      <c r="I2158" s="289"/>
      <c r="J2158" s="285" t="s">
        <v>10461</v>
      </c>
      <c r="K2158" s="14">
        <v>44831</v>
      </c>
      <c r="L2158" s="289">
        <v>782</v>
      </c>
      <c r="M2158" s="14">
        <v>44781</v>
      </c>
      <c r="N2158" s="40">
        <v>1</v>
      </c>
      <c r="O2158" s="40">
        <v>81379.53</v>
      </c>
      <c r="P2158" s="40">
        <v>2690.24</v>
      </c>
      <c r="Q2158" s="40">
        <f t="shared" si="66"/>
        <v>78689.289999999994</v>
      </c>
      <c r="R2158" s="285" t="s">
        <v>10654</v>
      </c>
      <c r="S2158" s="14">
        <v>44593</v>
      </c>
      <c r="T2158" s="22" t="s">
        <v>11919</v>
      </c>
    </row>
    <row r="2159" spans="1:20" ht="120.75" customHeight="1" x14ac:dyDescent="0.2">
      <c r="A2159" s="289">
        <v>2191</v>
      </c>
      <c r="B2159" s="12" t="s">
        <v>11929</v>
      </c>
      <c r="C2159" s="18"/>
      <c r="D2159" s="85" t="s">
        <v>11937</v>
      </c>
      <c r="E2159" s="22" t="s">
        <v>11444</v>
      </c>
      <c r="F2159" s="27" t="s">
        <v>11930</v>
      </c>
      <c r="G2159" s="285" t="s">
        <v>8293</v>
      </c>
      <c r="H2159" s="285" t="s">
        <v>10499</v>
      </c>
      <c r="I2159" s="289"/>
      <c r="J2159" s="285" t="s">
        <v>10461</v>
      </c>
      <c r="K2159" s="14">
        <v>44831</v>
      </c>
      <c r="L2159" s="289">
        <v>781</v>
      </c>
      <c r="M2159" s="14">
        <v>44791</v>
      </c>
      <c r="N2159" s="40">
        <v>1</v>
      </c>
      <c r="O2159" s="40">
        <v>26700</v>
      </c>
      <c r="P2159" s="40">
        <v>26700</v>
      </c>
      <c r="Q2159" s="40">
        <f t="shared" si="66"/>
        <v>0</v>
      </c>
      <c r="R2159" s="285" t="s">
        <v>11920</v>
      </c>
      <c r="S2159" s="14">
        <v>44774</v>
      </c>
      <c r="T2159" s="22" t="s">
        <v>11931</v>
      </c>
    </row>
    <row r="2160" spans="1:20" ht="86.25" customHeight="1" x14ac:dyDescent="0.2">
      <c r="A2160" s="19">
        <v>2192</v>
      </c>
      <c r="B2160" s="12" t="s">
        <v>11940</v>
      </c>
      <c r="C2160" s="18"/>
      <c r="D2160" s="85" t="s">
        <v>11563</v>
      </c>
      <c r="E2160" s="22" t="s">
        <v>11444</v>
      </c>
      <c r="F2160" s="27"/>
      <c r="G2160" s="285" t="s">
        <v>10465</v>
      </c>
      <c r="H2160" s="285" t="s">
        <v>10784</v>
      </c>
      <c r="I2160" s="289"/>
      <c r="J2160" s="285" t="s">
        <v>10461</v>
      </c>
      <c r="K2160" s="14">
        <v>44834</v>
      </c>
      <c r="L2160" s="289">
        <v>809</v>
      </c>
      <c r="M2160" s="14"/>
      <c r="N2160" s="40">
        <v>2</v>
      </c>
      <c r="O2160" s="40">
        <v>55370</v>
      </c>
      <c r="P2160" s="40">
        <v>0</v>
      </c>
      <c r="Q2160" s="40">
        <f t="shared" si="66"/>
        <v>55370</v>
      </c>
      <c r="R2160" s="285" t="s">
        <v>10874</v>
      </c>
      <c r="S2160" s="14">
        <v>44770</v>
      </c>
      <c r="T2160" s="22" t="s">
        <v>12010</v>
      </c>
    </row>
    <row r="2161" spans="1:20" ht="143.25" customHeight="1" x14ac:dyDescent="0.2">
      <c r="A2161" s="289">
        <v>2193</v>
      </c>
      <c r="B2161" s="12" t="s">
        <v>11942</v>
      </c>
      <c r="C2161" s="289"/>
      <c r="D2161" s="13" t="s">
        <v>11941</v>
      </c>
      <c r="E2161" s="12">
        <v>2022</v>
      </c>
      <c r="F2161" s="18"/>
      <c r="G2161" s="285" t="s">
        <v>10465</v>
      </c>
      <c r="H2161" s="285" t="s">
        <v>10784</v>
      </c>
      <c r="I2161" s="224"/>
      <c r="J2161" s="285" t="s">
        <v>10461</v>
      </c>
      <c r="K2161" s="14">
        <v>44834</v>
      </c>
      <c r="L2161" s="289">
        <v>809</v>
      </c>
      <c r="M2161" s="224"/>
      <c r="N2161" s="16">
        <v>40</v>
      </c>
      <c r="O2161" s="17">
        <v>2728586.8</v>
      </c>
      <c r="P2161" s="17">
        <v>0</v>
      </c>
      <c r="Q2161" s="17">
        <f t="shared" si="66"/>
        <v>2728586.8</v>
      </c>
      <c r="R2161" s="285" t="s">
        <v>10874</v>
      </c>
      <c r="S2161" s="15">
        <v>44796</v>
      </c>
      <c r="T2161" s="285">
        <v>1172</v>
      </c>
    </row>
    <row r="2162" spans="1:20" ht="33.75" customHeight="1" x14ac:dyDescent="0.2">
      <c r="A2162" s="289">
        <v>2194</v>
      </c>
      <c r="B2162" s="12" t="s">
        <v>11943</v>
      </c>
      <c r="C2162" s="289"/>
      <c r="D2162" s="13" t="s">
        <v>11563</v>
      </c>
      <c r="E2162" s="12">
        <v>2022</v>
      </c>
      <c r="F2162" s="18"/>
      <c r="G2162" s="285" t="s">
        <v>10465</v>
      </c>
      <c r="H2162" s="285" t="s">
        <v>10784</v>
      </c>
      <c r="I2162" s="224"/>
      <c r="J2162" s="285" t="s">
        <v>10461</v>
      </c>
      <c r="K2162" s="14">
        <v>44834</v>
      </c>
      <c r="L2162" s="289">
        <v>809</v>
      </c>
      <c r="M2162" s="224"/>
      <c r="N2162" s="16">
        <v>1</v>
      </c>
      <c r="O2162" s="17">
        <v>20895</v>
      </c>
      <c r="P2162" s="17">
        <v>0</v>
      </c>
      <c r="Q2162" s="17">
        <f t="shared" si="66"/>
        <v>20895</v>
      </c>
      <c r="R2162" s="285" t="s">
        <v>10874</v>
      </c>
      <c r="S2162" s="15">
        <v>44803</v>
      </c>
      <c r="T2162" s="285">
        <v>1203</v>
      </c>
    </row>
    <row r="2163" spans="1:20" ht="29.25" customHeight="1" x14ac:dyDescent="0.2">
      <c r="A2163" s="289">
        <v>2195</v>
      </c>
      <c r="B2163" s="12" t="s">
        <v>11946</v>
      </c>
      <c r="C2163" s="289"/>
      <c r="D2163" s="13" t="s">
        <v>2744</v>
      </c>
      <c r="E2163" s="12">
        <v>2022</v>
      </c>
      <c r="F2163" s="18"/>
      <c r="G2163" s="285" t="s">
        <v>10465</v>
      </c>
      <c r="H2163" s="285" t="s">
        <v>10784</v>
      </c>
      <c r="I2163" s="224"/>
      <c r="J2163" s="285" t="s">
        <v>10461</v>
      </c>
      <c r="K2163" s="14">
        <v>44834</v>
      </c>
      <c r="L2163" s="289">
        <v>809</v>
      </c>
      <c r="M2163" s="224"/>
      <c r="N2163" s="16">
        <v>3</v>
      </c>
      <c r="O2163" s="17">
        <v>35289.39</v>
      </c>
      <c r="P2163" s="17">
        <v>0</v>
      </c>
      <c r="Q2163" s="17">
        <f t="shared" si="66"/>
        <v>35289.39</v>
      </c>
      <c r="R2163" s="285" t="s">
        <v>10874</v>
      </c>
      <c r="S2163" s="15">
        <v>44803</v>
      </c>
      <c r="T2163" s="285">
        <v>1203</v>
      </c>
    </row>
    <row r="2164" spans="1:20" ht="74.25" customHeight="1" x14ac:dyDescent="0.2">
      <c r="A2164" s="289">
        <v>2196</v>
      </c>
      <c r="B2164" s="12" t="s">
        <v>11948</v>
      </c>
      <c r="C2164" s="289"/>
      <c r="D2164" s="13" t="s">
        <v>11951</v>
      </c>
      <c r="E2164" s="12">
        <v>2022</v>
      </c>
      <c r="F2164" s="9" t="s">
        <v>12021</v>
      </c>
      <c r="G2164" s="285" t="s">
        <v>12020</v>
      </c>
      <c r="H2164" s="285" t="s">
        <v>10784</v>
      </c>
      <c r="I2164" s="224"/>
      <c r="J2164" s="285" t="s">
        <v>12131</v>
      </c>
      <c r="K2164" s="226" t="s">
        <v>12130</v>
      </c>
      <c r="L2164" s="224" t="s">
        <v>12129</v>
      </c>
      <c r="M2164" s="225">
        <v>44806</v>
      </c>
      <c r="N2164" s="16">
        <v>5</v>
      </c>
      <c r="O2164" s="17">
        <v>146000</v>
      </c>
      <c r="P2164" s="17">
        <v>0</v>
      </c>
      <c r="Q2164" s="17">
        <f t="shared" ref="Q2164:Q2171" si="67">O2164-P2164</f>
        <v>146000</v>
      </c>
      <c r="R2164" s="285" t="s">
        <v>11956</v>
      </c>
      <c r="S2164" s="15">
        <v>44805</v>
      </c>
      <c r="T2164" s="285" t="s">
        <v>11957</v>
      </c>
    </row>
    <row r="2165" spans="1:20" ht="53.25" customHeight="1" x14ac:dyDescent="0.2">
      <c r="A2165" s="289">
        <v>2197</v>
      </c>
      <c r="B2165" s="12" t="s">
        <v>11949</v>
      </c>
      <c r="C2165" s="289"/>
      <c r="D2165" s="13" t="s">
        <v>11952</v>
      </c>
      <c r="E2165" s="12">
        <v>2022</v>
      </c>
      <c r="F2165" s="9" t="s">
        <v>12022</v>
      </c>
      <c r="G2165" s="285" t="s">
        <v>12020</v>
      </c>
      <c r="H2165" s="285" t="s">
        <v>10784</v>
      </c>
      <c r="I2165" s="224"/>
      <c r="J2165" s="285" t="s">
        <v>12131</v>
      </c>
      <c r="K2165" s="226" t="s">
        <v>12130</v>
      </c>
      <c r="L2165" s="224" t="s">
        <v>12129</v>
      </c>
      <c r="M2165" s="225">
        <v>44806</v>
      </c>
      <c r="N2165" s="16">
        <v>2</v>
      </c>
      <c r="O2165" s="17">
        <v>29000</v>
      </c>
      <c r="P2165" s="17">
        <v>0</v>
      </c>
      <c r="Q2165" s="17">
        <f t="shared" si="67"/>
        <v>29000</v>
      </c>
      <c r="R2165" s="285" t="s">
        <v>11956</v>
      </c>
      <c r="S2165" s="15">
        <v>44805</v>
      </c>
      <c r="T2165" s="285" t="s">
        <v>11957</v>
      </c>
    </row>
    <row r="2166" spans="1:20" ht="52.5" customHeight="1" x14ac:dyDescent="0.2">
      <c r="A2166" s="289">
        <v>2199</v>
      </c>
      <c r="B2166" s="12" t="s">
        <v>11954</v>
      </c>
      <c r="C2166" s="289"/>
      <c r="D2166" s="13" t="s">
        <v>11955</v>
      </c>
      <c r="E2166" s="12">
        <v>2022</v>
      </c>
      <c r="F2166" s="9" t="s">
        <v>12023</v>
      </c>
      <c r="G2166" s="285" t="s">
        <v>12020</v>
      </c>
      <c r="H2166" s="285" t="s">
        <v>10784</v>
      </c>
      <c r="I2166" s="224"/>
      <c r="J2166" s="285" t="s">
        <v>12132</v>
      </c>
      <c r="K2166" s="226" t="s">
        <v>12130</v>
      </c>
      <c r="L2166" s="224" t="s">
        <v>12129</v>
      </c>
      <c r="M2166" s="225">
        <v>44806</v>
      </c>
      <c r="N2166" s="16">
        <v>5</v>
      </c>
      <c r="O2166" s="17">
        <v>102000</v>
      </c>
      <c r="P2166" s="17">
        <v>0</v>
      </c>
      <c r="Q2166" s="17">
        <f t="shared" si="67"/>
        <v>102000</v>
      </c>
      <c r="R2166" s="285" t="s">
        <v>11956</v>
      </c>
      <c r="S2166" s="15">
        <v>44805</v>
      </c>
      <c r="T2166" s="285" t="s">
        <v>11957</v>
      </c>
    </row>
    <row r="2167" spans="1:20" ht="42.75" customHeight="1" x14ac:dyDescent="0.2">
      <c r="A2167" s="289">
        <v>2200</v>
      </c>
      <c r="B2167" s="12" t="s">
        <v>11993</v>
      </c>
      <c r="C2167" s="289"/>
      <c r="D2167" s="13" t="s">
        <v>11992</v>
      </c>
      <c r="E2167" s="12">
        <v>2022</v>
      </c>
      <c r="F2167" s="9" t="s">
        <v>12135</v>
      </c>
      <c r="G2167" s="285" t="s">
        <v>9194</v>
      </c>
      <c r="H2167" s="285" t="s">
        <v>10499</v>
      </c>
      <c r="I2167" s="224"/>
      <c r="J2167" s="285" t="s">
        <v>10461</v>
      </c>
      <c r="K2167" s="226">
        <v>44847</v>
      </c>
      <c r="L2167" s="224">
        <v>871</v>
      </c>
      <c r="M2167" s="225">
        <v>44816</v>
      </c>
      <c r="N2167" s="16">
        <v>1</v>
      </c>
      <c r="O2167" s="17">
        <v>12000</v>
      </c>
      <c r="P2167" s="17">
        <v>12000</v>
      </c>
      <c r="Q2167" s="17">
        <f t="shared" si="67"/>
        <v>0</v>
      </c>
      <c r="R2167" s="285" t="s">
        <v>8503</v>
      </c>
      <c r="S2167" s="14">
        <v>44816</v>
      </c>
      <c r="T2167" s="22" t="s">
        <v>12134</v>
      </c>
    </row>
    <row r="2168" spans="1:20" ht="50.25" customHeight="1" x14ac:dyDescent="0.2">
      <c r="A2168" s="289">
        <v>2201</v>
      </c>
      <c r="B2168" s="12" t="s">
        <v>11994</v>
      </c>
      <c r="C2168" s="289"/>
      <c r="D2168" s="13" t="s">
        <v>11995</v>
      </c>
      <c r="E2168" s="12">
        <v>2022</v>
      </c>
      <c r="F2168" s="9" t="s">
        <v>11999</v>
      </c>
      <c r="G2168" s="285" t="s">
        <v>4296</v>
      </c>
      <c r="H2168" s="285" t="s">
        <v>10494</v>
      </c>
      <c r="I2168" s="224"/>
      <c r="J2168" s="285" t="s">
        <v>10461</v>
      </c>
      <c r="K2168" s="226">
        <v>44851</v>
      </c>
      <c r="L2168" s="224">
        <v>880</v>
      </c>
      <c r="M2168" s="225">
        <v>44776</v>
      </c>
      <c r="N2168" s="16">
        <v>1</v>
      </c>
      <c r="O2168" s="17">
        <v>87430</v>
      </c>
      <c r="P2168" s="17">
        <v>2914.32</v>
      </c>
      <c r="Q2168" s="17">
        <f>O2168-P2168</f>
        <v>84515.68</v>
      </c>
      <c r="R2168" s="285" t="s">
        <v>10501</v>
      </c>
      <c r="S2168" s="14">
        <v>44755</v>
      </c>
      <c r="T2168" s="22" t="s">
        <v>11996</v>
      </c>
    </row>
    <row r="2169" spans="1:20" ht="55.5" customHeight="1" x14ac:dyDescent="0.2">
      <c r="A2169" s="289">
        <v>2202</v>
      </c>
      <c r="B2169" s="12" t="s">
        <v>11997</v>
      </c>
      <c r="C2169" s="289"/>
      <c r="D2169" s="13" t="s">
        <v>11998</v>
      </c>
      <c r="E2169" s="12">
        <v>2022</v>
      </c>
      <c r="F2169" s="9" t="s">
        <v>12000</v>
      </c>
      <c r="G2169" s="285" t="s">
        <v>4296</v>
      </c>
      <c r="H2169" s="285" t="s">
        <v>10494</v>
      </c>
      <c r="I2169" s="224"/>
      <c r="J2169" s="285" t="s">
        <v>10461</v>
      </c>
      <c r="K2169" s="226">
        <v>44851</v>
      </c>
      <c r="L2169" s="224">
        <v>880</v>
      </c>
      <c r="M2169" s="225">
        <v>44777</v>
      </c>
      <c r="N2169" s="16">
        <v>1</v>
      </c>
      <c r="O2169" s="17">
        <v>75500</v>
      </c>
      <c r="P2169" s="17">
        <v>2516.6799999999998</v>
      </c>
      <c r="Q2169" s="17">
        <f t="shared" si="67"/>
        <v>72983.320000000007</v>
      </c>
      <c r="R2169" s="285" t="s">
        <v>10501</v>
      </c>
      <c r="S2169" s="14">
        <v>44356</v>
      </c>
      <c r="T2169" s="22" t="s">
        <v>12001</v>
      </c>
    </row>
    <row r="2170" spans="1:20" ht="51" customHeight="1" x14ac:dyDescent="0.2">
      <c r="A2170" s="289">
        <v>2203</v>
      </c>
      <c r="B2170" s="12" t="s">
        <v>12002</v>
      </c>
      <c r="C2170" s="289"/>
      <c r="D2170" s="13" t="s">
        <v>12004</v>
      </c>
      <c r="E2170" s="12">
        <v>2022</v>
      </c>
      <c r="F2170" s="9" t="s">
        <v>12003</v>
      </c>
      <c r="G2170" s="285" t="s">
        <v>4296</v>
      </c>
      <c r="H2170" s="285" t="s">
        <v>10494</v>
      </c>
      <c r="I2170" s="224"/>
      <c r="J2170" s="285" t="s">
        <v>10461</v>
      </c>
      <c r="K2170" s="226">
        <v>44851</v>
      </c>
      <c r="L2170" s="224">
        <v>880</v>
      </c>
      <c r="M2170" s="225">
        <v>44781</v>
      </c>
      <c r="N2170" s="16">
        <v>1</v>
      </c>
      <c r="O2170" s="17">
        <v>57700</v>
      </c>
      <c r="P2170" s="17">
        <v>1602.76</v>
      </c>
      <c r="Q2170" s="17">
        <f t="shared" si="67"/>
        <v>56097.24</v>
      </c>
      <c r="R2170" s="285" t="s">
        <v>10501</v>
      </c>
      <c r="S2170" s="14">
        <v>44211</v>
      </c>
      <c r="T2170" s="22" t="s">
        <v>12005</v>
      </c>
    </row>
    <row r="2171" spans="1:20" ht="121.5" customHeight="1" x14ac:dyDescent="0.2">
      <c r="A2171" s="289">
        <v>2204</v>
      </c>
      <c r="B2171" s="12" t="s">
        <v>12006</v>
      </c>
      <c r="C2171" s="289"/>
      <c r="D2171" s="13" t="s">
        <v>12007</v>
      </c>
      <c r="E2171" s="12">
        <v>2022</v>
      </c>
      <c r="F2171" s="9" t="s">
        <v>12008</v>
      </c>
      <c r="G2171" s="285" t="s">
        <v>4296</v>
      </c>
      <c r="H2171" s="285" t="s">
        <v>10494</v>
      </c>
      <c r="I2171" s="224"/>
      <c r="J2171" s="285" t="s">
        <v>10461</v>
      </c>
      <c r="K2171" s="226">
        <v>44851</v>
      </c>
      <c r="L2171" s="224">
        <v>880</v>
      </c>
      <c r="M2171" s="225">
        <v>44782</v>
      </c>
      <c r="N2171" s="16">
        <v>1</v>
      </c>
      <c r="O2171" s="17">
        <v>78000</v>
      </c>
      <c r="P2171" s="17">
        <v>5200</v>
      </c>
      <c r="Q2171" s="17">
        <f t="shared" si="67"/>
        <v>72800</v>
      </c>
      <c r="R2171" s="285" t="s">
        <v>10501</v>
      </c>
      <c r="S2171" s="14">
        <v>44441</v>
      </c>
      <c r="T2171" s="22" t="s">
        <v>12009</v>
      </c>
    </row>
    <row r="2172" spans="1:20" ht="50.25" customHeight="1" x14ac:dyDescent="0.2">
      <c r="A2172" s="289">
        <v>2205</v>
      </c>
      <c r="B2172" s="12" t="s">
        <v>12024</v>
      </c>
      <c r="C2172" s="289"/>
      <c r="D2172" s="13" t="s">
        <v>12025</v>
      </c>
      <c r="E2172" s="12">
        <v>2022</v>
      </c>
      <c r="F2172" s="9" t="s">
        <v>12029</v>
      </c>
      <c r="G2172" s="285" t="s">
        <v>4296</v>
      </c>
      <c r="H2172" s="285" t="s">
        <v>10494</v>
      </c>
      <c r="I2172" s="224"/>
      <c r="J2172" s="285" t="s">
        <v>10461</v>
      </c>
      <c r="K2172" s="226">
        <v>44861</v>
      </c>
      <c r="L2172" s="224">
        <v>937</v>
      </c>
      <c r="M2172" s="225">
        <v>44778</v>
      </c>
      <c r="N2172" s="16">
        <v>1</v>
      </c>
      <c r="O2172" s="17">
        <v>81000</v>
      </c>
      <c r="P2172" s="17">
        <v>2700</v>
      </c>
      <c r="Q2172" s="17">
        <f t="shared" ref="Q2172" si="68">O2172-P2172</f>
        <v>78300</v>
      </c>
      <c r="R2172" s="285" t="s">
        <v>10501</v>
      </c>
      <c r="S2172" s="14">
        <v>44622</v>
      </c>
      <c r="T2172" s="22" t="s">
        <v>12028</v>
      </c>
    </row>
    <row r="2173" spans="1:20" ht="48" customHeight="1" x14ac:dyDescent="0.2">
      <c r="A2173" s="289">
        <v>2206</v>
      </c>
      <c r="B2173" s="12" t="s">
        <v>12026</v>
      </c>
      <c r="C2173" s="289"/>
      <c r="D2173" s="13" t="s">
        <v>12027</v>
      </c>
      <c r="E2173" s="12">
        <v>2022</v>
      </c>
      <c r="F2173" s="9" t="s">
        <v>12030</v>
      </c>
      <c r="G2173" s="285" t="s">
        <v>4296</v>
      </c>
      <c r="H2173" s="285" t="s">
        <v>10494</v>
      </c>
      <c r="I2173" s="224"/>
      <c r="J2173" s="285" t="s">
        <v>10461</v>
      </c>
      <c r="K2173" s="226">
        <v>44861</v>
      </c>
      <c r="L2173" s="224">
        <v>937</v>
      </c>
      <c r="M2173" s="225">
        <v>44778</v>
      </c>
      <c r="N2173" s="16">
        <v>1</v>
      </c>
      <c r="O2173" s="17">
        <v>83300</v>
      </c>
      <c r="P2173" s="17">
        <v>2082.5100000000002</v>
      </c>
      <c r="Q2173" s="17">
        <f t="shared" ref="Q2173" si="69">O2173-P2173</f>
        <v>81217.490000000005</v>
      </c>
      <c r="R2173" s="285" t="s">
        <v>10501</v>
      </c>
      <c r="S2173" s="14">
        <v>44760</v>
      </c>
      <c r="T2173" s="22" t="s">
        <v>12031</v>
      </c>
    </row>
    <row r="2174" spans="1:20" ht="48" customHeight="1" x14ac:dyDescent="0.2">
      <c r="A2174" s="289">
        <v>2207</v>
      </c>
      <c r="B2174" s="12" t="s">
        <v>12032</v>
      </c>
      <c r="C2174" s="289"/>
      <c r="D2174" s="13" t="s">
        <v>12033</v>
      </c>
      <c r="E2174" s="12">
        <v>2022</v>
      </c>
      <c r="F2174" s="9" t="s">
        <v>12034</v>
      </c>
      <c r="G2174" s="285" t="s">
        <v>9194</v>
      </c>
      <c r="H2174" s="285" t="s">
        <v>10499</v>
      </c>
      <c r="I2174" s="224"/>
      <c r="J2174" s="285" t="s">
        <v>10461</v>
      </c>
      <c r="K2174" s="226">
        <v>44861</v>
      </c>
      <c r="L2174" s="224">
        <v>936</v>
      </c>
      <c r="M2174" s="225">
        <v>44820</v>
      </c>
      <c r="N2174" s="16">
        <v>1</v>
      </c>
      <c r="O2174" s="17">
        <v>595900</v>
      </c>
      <c r="P2174" s="17">
        <v>0</v>
      </c>
      <c r="Q2174" s="17">
        <f>O2174-P2174</f>
        <v>595900</v>
      </c>
      <c r="R2174" s="285" t="s">
        <v>10501</v>
      </c>
      <c r="S2174" s="14">
        <v>44781</v>
      </c>
      <c r="T2174" s="22" t="s">
        <v>12035</v>
      </c>
    </row>
    <row r="2175" spans="1:20" ht="48" customHeight="1" x14ac:dyDescent="0.2">
      <c r="A2175" s="289">
        <v>2208</v>
      </c>
      <c r="B2175" s="12" t="s">
        <v>12036</v>
      </c>
      <c r="C2175" s="289"/>
      <c r="D2175" s="13" t="s">
        <v>12037</v>
      </c>
      <c r="E2175" s="12">
        <v>2022</v>
      </c>
      <c r="F2175" s="9" t="s">
        <v>12038</v>
      </c>
      <c r="G2175" s="285" t="s">
        <v>9194</v>
      </c>
      <c r="H2175" s="285" t="s">
        <v>10499</v>
      </c>
      <c r="I2175" s="224"/>
      <c r="J2175" s="285" t="s">
        <v>10461</v>
      </c>
      <c r="K2175" s="226" t="s">
        <v>12255</v>
      </c>
      <c r="L2175" s="224" t="s">
        <v>12256</v>
      </c>
      <c r="M2175" s="225">
        <v>44833</v>
      </c>
      <c r="N2175" s="16">
        <v>1</v>
      </c>
      <c r="O2175" s="17">
        <f>264000+56000</f>
        <v>320000</v>
      </c>
      <c r="P2175" s="17">
        <v>4711.12</v>
      </c>
      <c r="Q2175" s="17">
        <f t="shared" ref="Q2175:Q2179" si="70">O2175-P2175</f>
        <v>315288.88</v>
      </c>
      <c r="R2175" s="285" t="s">
        <v>12252</v>
      </c>
      <c r="S2175" s="14" t="s">
        <v>12253</v>
      </c>
      <c r="T2175" s="22" t="s">
        <v>12254</v>
      </c>
    </row>
    <row r="2176" spans="1:20" ht="74.25" customHeight="1" x14ac:dyDescent="0.2">
      <c r="A2176" s="289">
        <v>2209</v>
      </c>
      <c r="B2176" s="12" t="s">
        <v>12039</v>
      </c>
      <c r="C2176" s="289"/>
      <c r="D2176" s="13" t="s">
        <v>11951</v>
      </c>
      <c r="E2176" s="12">
        <v>2022</v>
      </c>
      <c r="F2176" s="9" t="s">
        <v>12043</v>
      </c>
      <c r="G2176" s="285" t="s">
        <v>7983</v>
      </c>
      <c r="H2176" s="285" t="s">
        <v>10499</v>
      </c>
      <c r="I2176" s="224"/>
      <c r="J2176" s="285" t="s">
        <v>10461</v>
      </c>
      <c r="K2176" s="226" t="s">
        <v>12103</v>
      </c>
      <c r="L2176" s="224" t="s">
        <v>12102</v>
      </c>
      <c r="M2176" s="225">
        <v>44806</v>
      </c>
      <c r="N2176" s="16">
        <v>2</v>
      </c>
      <c r="O2176" s="17">
        <v>58400</v>
      </c>
      <c r="P2176" s="17">
        <v>58400</v>
      </c>
      <c r="Q2176" s="17">
        <f t="shared" si="70"/>
        <v>0</v>
      </c>
      <c r="R2176" s="285" t="s">
        <v>11956</v>
      </c>
      <c r="S2176" s="15">
        <v>44805</v>
      </c>
      <c r="T2176" s="285" t="s">
        <v>11957</v>
      </c>
    </row>
    <row r="2177" spans="1:20" ht="53.25" customHeight="1" x14ac:dyDescent="0.2">
      <c r="A2177" s="289">
        <v>2210</v>
      </c>
      <c r="B2177" s="12" t="s">
        <v>12040</v>
      </c>
      <c r="C2177" s="289"/>
      <c r="D2177" s="13" t="s">
        <v>11952</v>
      </c>
      <c r="E2177" s="12">
        <v>2022</v>
      </c>
      <c r="F2177" s="9"/>
      <c r="G2177" s="285" t="s">
        <v>7983</v>
      </c>
      <c r="H2177" s="285" t="s">
        <v>10499</v>
      </c>
      <c r="I2177" s="224"/>
      <c r="J2177" s="285" t="s">
        <v>10461</v>
      </c>
      <c r="K2177" s="226" t="s">
        <v>12103</v>
      </c>
      <c r="L2177" s="224" t="s">
        <v>12102</v>
      </c>
      <c r="M2177" s="225">
        <v>44806</v>
      </c>
      <c r="N2177" s="16">
        <v>2</v>
      </c>
      <c r="O2177" s="17">
        <v>29000</v>
      </c>
      <c r="P2177" s="17">
        <v>29000</v>
      </c>
      <c r="Q2177" s="17">
        <f t="shared" si="70"/>
        <v>0</v>
      </c>
      <c r="R2177" s="285" t="s">
        <v>11956</v>
      </c>
      <c r="S2177" s="15">
        <v>44805</v>
      </c>
      <c r="T2177" s="285" t="s">
        <v>11957</v>
      </c>
    </row>
    <row r="2178" spans="1:20" ht="42.75" customHeight="1" x14ac:dyDescent="0.2">
      <c r="A2178" s="289">
        <v>2211</v>
      </c>
      <c r="B2178" s="12" t="s">
        <v>12041</v>
      </c>
      <c r="C2178" s="289"/>
      <c r="D2178" s="13" t="s">
        <v>11953</v>
      </c>
      <c r="E2178" s="12">
        <v>2022</v>
      </c>
      <c r="F2178" s="9"/>
      <c r="G2178" s="285" t="s">
        <v>7983</v>
      </c>
      <c r="H2178" s="285" t="s">
        <v>10499</v>
      </c>
      <c r="I2178" s="224"/>
      <c r="J2178" s="285" t="s">
        <v>10461</v>
      </c>
      <c r="K2178" s="226" t="s">
        <v>12103</v>
      </c>
      <c r="L2178" s="224" t="s">
        <v>12102</v>
      </c>
      <c r="M2178" s="225">
        <v>44806</v>
      </c>
      <c r="N2178" s="16">
        <v>1</v>
      </c>
      <c r="O2178" s="17">
        <v>17000</v>
      </c>
      <c r="P2178" s="17">
        <v>17000</v>
      </c>
      <c r="Q2178" s="17">
        <f t="shared" si="70"/>
        <v>0</v>
      </c>
      <c r="R2178" s="285" t="s">
        <v>11956</v>
      </c>
      <c r="S2178" s="15">
        <v>44805</v>
      </c>
      <c r="T2178" s="285" t="s">
        <v>11957</v>
      </c>
    </row>
    <row r="2179" spans="1:20" ht="52.5" customHeight="1" x14ac:dyDescent="0.2">
      <c r="A2179" s="289">
        <v>2212</v>
      </c>
      <c r="B2179" s="12" t="s">
        <v>12042</v>
      </c>
      <c r="C2179" s="289"/>
      <c r="D2179" s="13" t="s">
        <v>11955</v>
      </c>
      <c r="E2179" s="12">
        <v>2022</v>
      </c>
      <c r="F2179" s="9"/>
      <c r="G2179" s="285" t="s">
        <v>7983</v>
      </c>
      <c r="H2179" s="285" t="s">
        <v>10499</v>
      </c>
      <c r="I2179" s="224"/>
      <c r="J2179" s="285" t="s">
        <v>10461</v>
      </c>
      <c r="K2179" s="226" t="s">
        <v>12103</v>
      </c>
      <c r="L2179" s="224" t="s">
        <v>12102</v>
      </c>
      <c r="M2179" s="225">
        <v>44806</v>
      </c>
      <c r="N2179" s="16">
        <v>2</v>
      </c>
      <c r="O2179" s="17">
        <v>40800</v>
      </c>
      <c r="P2179" s="17">
        <v>40800</v>
      </c>
      <c r="Q2179" s="17">
        <f t="shared" si="70"/>
        <v>0</v>
      </c>
      <c r="R2179" s="285" t="s">
        <v>11956</v>
      </c>
      <c r="S2179" s="15">
        <v>44805</v>
      </c>
      <c r="T2179" s="285" t="s">
        <v>11957</v>
      </c>
    </row>
    <row r="2180" spans="1:20" ht="72.75" customHeight="1" x14ac:dyDescent="0.2">
      <c r="A2180" s="289">
        <v>2213</v>
      </c>
      <c r="B2180" s="12" t="s">
        <v>12109</v>
      </c>
      <c r="C2180" s="289"/>
      <c r="D2180" s="13" t="s">
        <v>12121</v>
      </c>
      <c r="E2180" s="12">
        <v>2022</v>
      </c>
      <c r="F2180" s="9" t="s">
        <v>12119</v>
      </c>
      <c r="G2180" s="285" t="s">
        <v>10465</v>
      </c>
      <c r="H2180" s="285" t="s">
        <v>10784</v>
      </c>
      <c r="I2180" s="224"/>
      <c r="J2180" s="285" t="s">
        <v>10461</v>
      </c>
      <c r="K2180" s="226">
        <v>44867</v>
      </c>
      <c r="L2180" s="224">
        <v>981</v>
      </c>
      <c r="M2180" s="225"/>
      <c r="N2180" s="16">
        <v>8</v>
      </c>
      <c r="O2180" s="17">
        <v>539640</v>
      </c>
      <c r="P2180" s="17">
        <v>0</v>
      </c>
      <c r="Q2180" s="17">
        <f t="shared" ref="Q2180" si="71">O2180-P2180</f>
        <v>539640</v>
      </c>
      <c r="R2180" s="285" t="s">
        <v>10874</v>
      </c>
      <c r="S2180" s="15">
        <v>44847</v>
      </c>
      <c r="T2180" s="285">
        <v>1394</v>
      </c>
    </row>
    <row r="2181" spans="1:20" ht="58.5" customHeight="1" x14ac:dyDescent="0.2">
      <c r="A2181" s="289">
        <v>2214</v>
      </c>
      <c r="B2181" s="12" t="s">
        <v>12111</v>
      </c>
      <c r="C2181" s="289"/>
      <c r="D2181" s="13" t="s">
        <v>12113</v>
      </c>
      <c r="E2181" s="12">
        <v>2022</v>
      </c>
      <c r="F2181" s="9" t="s">
        <v>12112</v>
      </c>
      <c r="G2181" s="285" t="s">
        <v>10465</v>
      </c>
      <c r="H2181" s="285" t="s">
        <v>10784</v>
      </c>
      <c r="I2181" s="224"/>
      <c r="J2181" s="285" t="s">
        <v>10461</v>
      </c>
      <c r="K2181" s="226">
        <v>44867</v>
      </c>
      <c r="L2181" s="224">
        <v>981</v>
      </c>
      <c r="M2181" s="225"/>
      <c r="N2181" s="16">
        <v>3</v>
      </c>
      <c r="O2181" s="17">
        <v>249096</v>
      </c>
      <c r="P2181" s="17">
        <v>0</v>
      </c>
      <c r="Q2181" s="17">
        <f t="shared" ref="Q2181" si="72">O2181-P2181</f>
        <v>249096</v>
      </c>
      <c r="R2181" s="285" t="s">
        <v>10874</v>
      </c>
      <c r="S2181" s="15">
        <v>44847</v>
      </c>
      <c r="T2181" s="285">
        <v>1394</v>
      </c>
    </row>
    <row r="2182" spans="1:20" ht="58.5" customHeight="1" x14ac:dyDescent="0.2">
      <c r="A2182" s="289">
        <v>2215</v>
      </c>
      <c r="B2182" s="12" t="s">
        <v>12114</v>
      </c>
      <c r="C2182" s="289"/>
      <c r="D2182" s="13" t="s">
        <v>12115</v>
      </c>
      <c r="E2182" s="12">
        <v>2022</v>
      </c>
      <c r="F2182" s="9" t="s">
        <v>12112</v>
      </c>
      <c r="G2182" s="285" t="s">
        <v>10465</v>
      </c>
      <c r="H2182" s="285" t="s">
        <v>10784</v>
      </c>
      <c r="I2182" s="224"/>
      <c r="J2182" s="285" t="s">
        <v>10461</v>
      </c>
      <c r="K2182" s="226">
        <v>44867</v>
      </c>
      <c r="L2182" s="224">
        <v>981</v>
      </c>
      <c r="M2182" s="225"/>
      <c r="N2182" s="16">
        <v>3</v>
      </c>
      <c r="O2182" s="17">
        <v>249096</v>
      </c>
      <c r="P2182" s="17">
        <v>0</v>
      </c>
      <c r="Q2182" s="17">
        <f t="shared" ref="Q2182" si="73">O2182-P2182</f>
        <v>249096</v>
      </c>
      <c r="R2182" s="285" t="s">
        <v>10874</v>
      </c>
      <c r="S2182" s="15">
        <v>44847</v>
      </c>
      <c r="T2182" s="285">
        <v>1394</v>
      </c>
    </row>
    <row r="2183" spans="1:20" ht="58.5" customHeight="1" x14ac:dyDescent="0.2">
      <c r="A2183" s="289">
        <v>2216</v>
      </c>
      <c r="B2183" s="12" t="s">
        <v>12116</v>
      </c>
      <c r="C2183" s="289"/>
      <c r="D2183" s="13" t="s">
        <v>12117</v>
      </c>
      <c r="E2183" s="12">
        <v>2022</v>
      </c>
      <c r="F2183" s="9" t="s">
        <v>12112</v>
      </c>
      <c r="G2183" s="285" t="s">
        <v>10465</v>
      </c>
      <c r="H2183" s="285" t="s">
        <v>10784</v>
      </c>
      <c r="I2183" s="224"/>
      <c r="J2183" s="285" t="s">
        <v>10461</v>
      </c>
      <c r="K2183" s="226">
        <v>44867</v>
      </c>
      <c r="L2183" s="224">
        <v>981</v>
      </c>
      <c r="M2183" s="225"/>
      <c r="N2183" s="16">
        <v>3</v>
      </c>
      <c r="O2183" s="17">
        <v>249096</v>
      </c>
      <c r="P2183" s="17">
        <v>0</v>
      </c>
      <c r="Q2183" s="17">
        <f t="shared" ref="Q2183" si="74">O2183-P2183</f>
        <v>249096</v>
      </c>
      <c r="R2183" s="285" t="s">
        <v>10874</v>
      </c>
      <c r="S2183" s="15">
        <v>44847</v>
      </c>
      <c r="T2183" s="285">
        <v>1394</v>
      </c>
    </row>
    <row r="2184" spans="1:20" ht="58.5" customHeight="1" x14ac:dyDescent="0.2">
      <c r="A2184" s="289">
        <v>2217</v>
      </c>
      <c r="B2184" s="12" t="s">
        <v>12356</v>
      </c>
      <c r="C2184" s="289"/>
      <c r="D2184" s="13" t="s">
        <v>12122</v>
      </c>
      <c r="E2184" s="12">
        <v>2022</v>
      </c>
      <c r="F2184" s="9"/>
      <c r="G2184" s="285" t="s">
        <v>7981</v>
      </c>
      <c r="H2184" s="285" t="s">
        <v>10499</v>
      </c>
      <c r="I2184" s="224"/>
      <c r="J2184" s="285" t="s">
        <v>10461</v>
      </c>
      <c r="K2184" s="226" t="s">
        <v>12352</v>
      </c>
      <c r="L2184" s="224" t="s">
        <v>12353</v>
      </c>
      <c r="M2184" s="225"/>
      <c r="N2184" s="16">
        <v>6</v>
      </c>
      <c r="O2184" s="17">
        <v>851240.4</v>
      </c>
      <c r="P2184" s="17">
        <v>0</v>
      </c>
      <c r="Q2184" s="17">
        <f t="shared" ref="Q2184" si="75">O2184-P2184</f>
        <v>851240.4</v>
      </c>
      <c r="R2184" s="285" t="s">
        <v>10874</v>
      </c>
      <c r="S2184" s="15">
        <v>44852</v>
      </c>
      <c r="T2184" s="285">
        <v>1410</v>
      </c>
    </row>
    <row r="2185" spans="1:20" ht="48.75" customHeight="1" x14ac:dyDescent="0.2">
      <c r="A2185" s="289">
        <v>2218</v>
      </c>
      <c r="B2185" s="12" t="s">
        <v>12357</v>
      </c>
      <c r="C2185" s="289"/>
      <c r="D2185" s="13" t="s">
        <v>12122</v>
      </c>
      <c r="E2185" s="12">
        <v>2022</v>
      </c>
      <c r="F2185" s="9"/>
      <c r="G2185" s="285" t="s">
        <v>2437</v>
      </c>
      <c r="H2185" s="285" t="s">
        <v>5127</v>
      </c>
      <c r="I2185" s="224"/>
      <c r="J2185" s="285" t="s">
        <v>10461</v>
      </c>
      <c r="K2185" s="226" t="s">
        <v>12352</v>
      </c>
      <c r="L2185" s="224" t="s">
        <v>12353</v>
      </c>
      <c r="M2185" s="225"/>
      <c r="N2185" s="16">
        <v>6</v>
      </c>
      <c r="O2185" s="17">
        <v>851240.4</v>
      </c>
      <c r="P2185" s="17">
        <v>0</v>
      </c>
      <c r="Q2185" s="17">
        <f t="shared" ref="Q2185" si="76">O2185-P2185</f>
        <v>851240.4</v>
      </c>
      <c r="R2185" s="285" t="s">
        <v>10874</v>
      </c>
      <c r="S2185" s="15">
        <v>44852</v>
      </c>
      <c r="T2185" s="285">
        <v>1410</v>
      </c>
    </row>
    <row r="2186" spans="1:20" ht="65.25" customHeight="1" x14ac:dyDescent="0.2">
      <c r="A2186" s="289">
        <v>2219</v>
      </c>
      <c r="B2186" s="12" t="s">
        <v>12124</v>
      </c>
      <c r="C2186" s="289"/>
      <c r="D2186" s="13" t="s">
        <v>12105</v>
      </c>
      <c r="E2186" s="12">
        <v>2022</v>
      </c>
      <c r="F2186" s="9"/>
      <c r="G2186" s="285" t="s">
        <v>7983</v>
      </c>
      <c r="H2186" s="285" t="s">
        <v>10499</v>
      </c>
      <c r="I2186" s="224"/>
      <c r="J2186" s="285" t="s">
        <v>10461</v>
      </c>
      <c r="K2186" s="226">
        <v>44867</v>
      </c>
      <c r="L2186" s="224">
        <v>980</v>
      </c>
      <c r="M2186" s="225"/>
      <c r="N2186" s="16">
        <v>1</v>
      </c>
      <c r="O2186" s="17">
        <v>44042</v>
      </c>
      <c r="P2186" s="17">
        <v>44042</v>
      </c>
      <c r="Q2186" s="17">
        <f t="shared" ref="Q2186" si="77">O2186-P2186</f>
        <v>0</v>
      </c>
      <c r="R2186" s="285" t="s">
        <v>10456</v>
      </c>
      <c r="S2186" s="14" t="s">
        <v>12107</v>
      </c>
      <c r="T2186" s="22" t="s">
        <v>12108</v>
      </c>
    </row>
    <row r="2187" spans="1:20" ht="63" customHeight="1" x14ac:dyDescent="0.2">
      <c r="A2187" s="289">
        <v>2220</v>
      </c>
      <c r="B2187" s="12" t="s">
        <v>12126</v>
      </c>
      <c r="C2187" s="289"/>
      <c r="D2187" s="13" t="s">
        <v>12106</v>
      </c>
      <c r="E2187" s="12" t="s">
        <v>11444</v>
      </c>
      <c r="F2187" s="9"/>
      <c r="G2187" s="285" t="s">
        <v>7983</v>
      </c>
      <c r="H2187" s="285" t="s">
        <v>10499</v>
      </c>
      <c r="I2187" s="224"/>
      <c r="J2187" s="285" t="s">
        <v>10461</v>
      </c>
      <c r="K2187" s="226">
        <v>44867</v>
      </c>
      <c r="L2187" s="224">
        <v>980</v>
      </c>
      <c r="M2187" s="225"/>
      <c r="N2187" s="16">
        <v>1</v>
      </c>
      <c r="O2187" s="17">
        <v>37043</v>
      </c>
      <c r="P2187" s="17">
        <v>37043</v>
      </c>
      <c r="Q2187" s="17">
        <f t="shared" ref="Q2187" si="78">O2187-P2187</f>
        <v>0</v>
      </c>
      <c r="R2187" s="285" t="s">
        <v>10456</v>
      </c>
      <c r="S2187" s="14" t="s">
        <v>12107</v>
      </c>
      <c r="T2187" s="22" t="s">
        <v>12108</v>
      </c>
    </row>
    <row r="2188" spans="1:20" ht="64.5" customHeight="1" x14ac:dyDescent="0.2">
      <c r="A2188" s="289">
        <v>2221</v>
      </c>
      <c r="B2188" s="12" t="s">
        <v>12136</v>
      </c>
      <c r="C2188" s="289"/>
      <c r="D2188" s="13" t="s">
        <v>5870</v>
      </c>
      <c r="E2188" s="12">
        <v>2022</v>
      </c>
      <c r="F2188" s="9" t="s">
        <v>12123</v>
      </c>
      <c r="G2188" s="285" t="s">
        <v>4296</v>
      </c>
      <c r="H2188" s="285" t="s">
        <v>10494</v>
      </c>
      <c r="I2188" s="224"/>
      <c r="J2188" s="285" t="s">
        <v>10461</v>
      </c>
      <c r="K2188" s="226">
        <v>44881</v>
      </c>
      <c r="L2188" s="224">
        <v>1040</v>
      </c>
      <c r="M2188" s="225">
        <v>44831</v>
      </c>
      <c r="N2188" s="16">
        <v>1</v>
      </c>
      <c r="O2188" s="17">
        <v>12853.75</v>
      </c>
      <c r="P2188" s="17">
        <v>12853.75</v>
      </c>
      <c r="Q2188" s="17">
        <f t="shared" ref="Q2188" si="79">O2188-P2188</f>
        <v>0</v>
      </c>
      <c r="R2188" s="285" t="s">
        <v>12149</v>
      </c>
      <c r="S2188" s="14" t="s">
        <v>12150</v>
      </c>
      <c r="T2188" s="14" t="s">
        <v>12151</v>
      </c>
    </row>
    <row r="2189" spans="1:20" ht="73.150000000000006" customHeight="1" x14ac:dyDescent="0.2">
      <c r="A2189" s="289">
        <v>2222</v>
      </c>
      <c r="B2189" s="12" t="s">
        <v>12137</v>
      </c>
      <c r="C2189" s="289"/>
      <c r="D2189" s="13" t="s">
        <v>5870</v>
      </c>
      <c r="E2189" s="12">
        <v>2022</v>
      </c>
      <c r="F2189" s="9" t="s">
        <v>12125</v>
      </c>
      <c r="G2189" s="285" t="s">
        <v>4296</v>
      </c>
      <c r="H2189" s="285" t="s">
        <v>10494</v>
      </c>
      <c r="I2189" s="224"/>
      <c r="J2189" s="285" t="s">
        <v>10461</v>
      </c>
      <c r="K2189" s="226">
        <v>44881</v>
      </c>
      <c r="L2189" s="224">
        <v>1040</v>
      </c>
      <c r="M2189" s="225">
        <v>44831</v>
      </c>
      <c r="N2189" s="16">
        <v>1</v>
      </c>
      <c r="O2189" s="17">
        <v>12853.75</v>
      </c>
      <c r="P2189" s="17">
        <v>12853.75</v>
      </c>
      <c r="Q2189" s="17">
        <f t="shared" ref="Q2189" si="80">O2189-P2189</f>
        <v>0</v>
      </c>
      <c r="R2189" s="285" t="s">
        <v>12149</v>
      </c>
      <c r="S2189" s="14" t="s">
        <v>12150</v>
      </c>
      <c r="T2189" s="14" t="s">
        <v>12151</v>
      </c>
    </row>
    <row r="2190" spans="1:20" ht="64.5" customHeight="1" x14ac:dyDescent="0.2">
      <c r="A2190" s="289">
        <v>2223</v>
      </c>
      <c r="B2190" s="12" t="s">
        <v>12138</v>
      </c>
      <c r="C2190" s="289"/>
      <c r="D2190" s="13" t="s">
        <v>5870</v>
      </c>
      <c r="E2190" s="12">
        <v>2022</v>
      </c>
      <c r="F2190" s="9" t="s">
        <v>12127</v>
      </c>
      <c r="G2190" s="285" t="s">
        <v>4296</v>
      </c>
      <c r="H2190" s="285" t="s">
        <v>10494</v>
      </c>
      <c r="I2190" s="224"/>
      <c r="J2190" s="285" t="s">
        <v>10461</v>
      </c>
      <c r="K2190" s="226">
        <v>44881</v>
      </c>
      <c r="L2190" s="224">
        <v>1040</v>
      </c>
      <c r="M2190" s="225">
        <v>44834</v>
      </c>
      <c r="N2190" s="16">
        <v>2</v>
      </c>
      <c r="O2190" s="17">
        <v>32107.5</v>
      </c>
      <c r="P2190" s="17">
        <v>32107.5</v>
      </c>
      <c r="Q2190" s="17">
        <f t="shared" ref="Q2190" si="81">O2190-P2190</f>
        <v>0</v>
      </c>
      <c r="R2190" s="285" t="s">
        <v>12149</v>
      </c>
      <c r="S2190" s="14" t="s">
        <v>12150</v>
      </c>
      <c r="T2190" s="14" t="s">
        <v>12151</v>
      </c>
    </row>
    <row r="2191" spans="1:20" ht="64.5" customHeight="1" x14ac:dyDescent="0.2">
      <c r="A2191" s="289">
        <v>2224</v>
      </c>
      <c r="B2191" s="12" t="s">
        <v>12139</v>
      </c>
      <c r="C2191" s="289"/>
      <c r="D2191" s="13" t="s">
        <v>5870</v>
      </c>
      <c r="E2191" s="12">
        <v>2022</v>
      </c>
      <c r="F2191" s="9" t="s">
        <v>12128</v>
      </c>
      <c r="G2191" s="285" t="s">
        <v>4296</v>
      </c>
      <c r="H2191" s="285" t="s">
        <v>10494</v>
      </c>
      <c r="I2191" s="224"/>
      <c r="J2191" s="285" t="s">
        <v>10461</v>
      </c>
      <c r="K2191" s="226">
        <v>44881</v>
      </c>
      <c r="L2191" s="224">
        <v>1040</v>
      </c>
      <c r="M2191" s="225">
        <v>44846</v>
      </c>
      <c r="N2191" s="16">
        <v>1</v>
      </c>
      <c r="O2191" s="17">
        <v>20619.169999999998</v>
      </c>
      <c r="P2191" s="17">
        <v>20619.169999999998</v>
      </c>
      <c r="Q2191" s="17">
        <f t="shared" ref="Q2191" si="82">O2191-P2191</f>
        <v>0</v>
      </c>
      <c r="R2191" s="285" t="s">
        <v>12149</v>
      </c>
      <c r="S2191" s="14" t="s">
        <v>12150</v>
      </c>
      <c r="T2191" s="14" t="s">
        <v>12151</v>
      </c>
    </row>
    <row r="2192" spans="1:20" ht="63" customHeight="1" x14ac:dyDescent="0.2">
      <c r="A2192" s="289">
        <v>2225</v>
      </c>
      <c r="B2192" s="12" t="s">
        <v>12143</v>
      </c>
      <c r="C2192" s="289"/>
      <c r="D2192" s="13" t="s">
        <v>12141</v>
      </c>
      <c r="E2192" s="12" t="s">
        <v>11444</v>
      </c>
      <c r="F2192" s="9"/>
      <c r="G2192" s="285" t="s">
        <v>3090</v>
      </c>
      <c r="H2192" s="285" t="s">
        <v>5127</v>
      </c>
      <c r="I2192" s="224"/>
      <c r="J2192" s="285" t="s">
        <v>10461</v>
      </c>
      <c r="K2192" s="226">
        <v>44887</v>
      </c>
      <c r="L2192" s="224">
        <v>1059</v>
      </c>
      <c r="M2192" s="225">
        <v>44851</v>
      </c>
      <c r="N2192" s="16">
        <v>1</v>
      </c>
      <c r="O2192" s="17">
        <v>15999</v>
      </c>
      <c r="P2192" s="17">
        <v>15999</v>
      </c>
      <c r="Q2192" s="17">
        <f t="shared" ref="Q2192:Q2199" si="83">O2192-P2192</f>
        <v>0</v>
      </c>
      <c r="R2192" s="285" t="s">
        <v>11596</v>
      </c>
      <c r="S2192" s="14">
        <v>44849</v>
      </c>
      <c r="T2192" s="22" t="s">
        <v>12142</v>
      </c>
    </row>
    <row r="2193" spans="1:20" ht="63" customHeight="1" x14ac:dyDescent="0.2">
      <c r="A2193" s="289">
        <v>2226</v>
      </c>
      <c r="B2193" s="12" t="s">
        <v>12145</v>
      </c>
      <c r="C2193" s="289"/>
      <c r="D2193" s="85" t="s">
        <v>12146</v>
      </c>
      <c r="E2193" s="12" t="s">
        <v>11444</v>
      </c>
      <c r="F2193" s="9" t="s">
        <v>12147</v>
      </c>
      <c r="G2193" s="285" t="s">
        <v>7917</v>
      </c>
      <c r="H2193" s="285" t="s">
        <v>5127</v>
      </c>
      <c r="I2193" s="224"/>
      <c r="J2193" s="285" t="s">
        <v>10461</v>
      </c>
      <c r="K2193" s="226">
        <v>44887</v>
      </c>
      <c r="L2193" s="224">
        <v>1056</v>
      </c>
      <c r="M2193" s="225">
        <v>44813</v>
      </c>
      <c r="N2193" s="16">
        <v>1</v>
      </c>
      <c r="O2193" s="17">
        <v>12999</v>
      </c>
      <c r="P2193" s="17">
        <v>0</v>
      </c>
      <c r="Q2193" s="17">
        <f t="shared" si="83"/>
        <v>12999</v>
      </c>
      <c r="R2193" s="285" t="s">
        <v>10501</v>
      </c>
      <c r="S2193" s="14">
        <v>44806</v>
      </c>
      <c r="T2193" s="22" t="s">
        <v>12148</v>
      </c>
    </row>
    <row r="2194" spans="1:20" ht="63" customHeight="1" x14ac:dyDescent="0.2">
      <c r="A2194" s="289">
        <v>2227</v>
      </c>
      <c r="B2194" s="12" t="s">
        <v>12168</v>
      </c>
      <c r="C2194" s="289"/>
      <c r="D2194" s="85" t="s">
        <v>12169</v>
      </c>
      <c r="E2194" s="12" t="s">
        <v>11444</v>
      </c>
      <c r="F2194" s="9"/>
      <c r="G2194" s="285" t="s">
        <v>7982</v>
      </c>
      <c r="H2194" s="285" t="s">
        <v>5127</v>
      </c>
      <c r="I2194" s="224"/>
      <c r="J2194" s="285" t="s">
        <v>10461</v>
      </c>
      <c r="K2194" s="226">
        <v>44893</v>
      </c>
      <c r="L2194" s="224">
        <v>1081</v>
      </c>
      <c r="M2194" s="225">
        <v>44859</v>
      </c>
      <c r="N2194" s="16">
        <v>2</v>
      </c>
      <c r="O2194" s="17">
        <v>54998</v>
      </c>
      <c r="P2194" s="17">
        <v>0</v>
      </c>
      <c r="Q2194" s="17">
        <f t="shared" si="83"/>
        <v>54998</v>
      </c>
      <c r="R2194" s="285" t="s">
        <v>10501</v>
      </c>
      <c r="S2194" s="14">
        <v>44859</v>
      </c>
      <c r="T2194" s="22" t="s">
        <v>12170</v>
      </c>
    </row>
    <row r="2195" spans="1:20" ht="63" customHeight="1" x14ac:dyDescent="0.2">
      <c r="A2195" s="289">
        <v>2228</v>
      </c>
      <c r="B2195" s="12" t="s">
        <v>12171</v>
      </c>
      <c r="C2195" s="289"/>
      <c r="D2195" s="85" t="s">
        <v>12172</v>
      </c>
      <c r="E2195" s="12" t="s">
        <v>11444</v>
      </c>
      <c r="F2195" s="9"/>
      <c r="G2195" s="285" t="s">
        <v>7982</v>
      </c>
      <c r="H2195" s="285" t="s">
        <v>5127</v>
      </c>
      <c r="I2195" s="224"/>
      <c r="J2195" s="285" t="s">
        <v>10461</v>
      </c>
      <c r="K2195" s="226">
        <v>44893</v>
      </c>
      <c r="L2195" s="224">
        <v>1081</v>
      </c>
      <c r="M2195" s="225">
        <v>44859</v>
      </c>
      <c r="N2195" s="16">
        <v>1</v>
      </c>
      <c r="O2195" s="17">
        <v>64999</v>
      </c>
      <c r="P2195" s="17">
        <v>0</v>
      </c>
      <c r="Q2195" s="17">
        <f t="shared" si="83"/>
        <v>64999</v>
      </c>
      <c r="R2195" s="285" t="s">
        <v>10501</v>
      </c>
      <c r="S2195" s="14">
        <v>44859</v>
      </c>
      <c r="T2195" s="22" t="s">
        <v>12170</v>
      </c>
    </row>
    <row r="2196" spans="1:20" ht="63" customHeight="1" x14ac:dyDescent="0.2">
      <c r="A2196" s="289">
        <v>2229</v>
      </c>
      <c r="B2196" s="12" t="s">
        <v>12173</v>
      </c>
      <c r="C2196" s="289"/>
      <c r="D2196" s="85" t="s">
        <v>12174</v>
      </c>
      <c r="E2196" s="12" t="s">
        <v>11444</v>
      </c>
      <c r="F2196" s="9"/>
      <c r="G2196" s="285" t="s">
        <v>7982</v>
      </c>
      <c r="H2196" s="285" t="s">
        <v>5127</v>
      </c>
      <c r="I2196" s="224"/>
      <c r="J2196" s="285" t="s">
        <v>10461</v>
      </c>
      <c r="K2196" s="226">
        <v>44893</v>
      </c>
      <c r="L2196" s="224">
        <v>1081</v>
      </c>
      <c r="M2196" s="225">
        <v>44859</v>
      </c>
      <c r="N2196" s="16">
        <v>1</v>
      </c>
      <c r="O2196" s="17">
        <v>23999</v>
      </c>
      <c r="P2196" s="17">
        <v>0</v>
      </c>
      <c r="Q2196" s="17">
        <f t="shared" si="83"/>
        <v>23999</v>
      </c>
      <c r="R2196" s="285" t="s">
        <v>10501</v>
      </c>
      <c r="S2196" s="14">
        <v>44859</v>
      </c>
      <c r="T2196" s="22" t="s">
        <v>12170</v>
      </c>
    </row>
    <row r="2197" spans="1:20" ht="63" customHeight="1" x14ac:dyDescent="0.2">
      <c r="A2197" s="289">
        <v>2230</v>
      </c>
      <c r="B2197" s="12" t="s">
        <v>12175</v>
      </c>
      <c r="C2197" s="289"/>
      <c r="D2197" s="85" t="s">
        <v>12176</v>
      </c>
      <c r="E2197" s="12" t="s">
        <v>11444</v>
      </c>
      <c r="F2197" s="9" t="s">
        <v>12177</v>
      </c>
      <c r="G2197" s="285" t="s">
        <v>4296</v>
      </c>
      <c r="H2197" s="285" t="s">
        <v>10494</v>
      </c>
      <c r="I2197" s="224"/>
      <c r="J2197" s="285" t="s">
        <v>10461</v>
      </c>
      <c r="K2197" s="226">
        <v>44894</v>
      </c>
      <c r="L2197" s="224">
        <v>1090</v>
      </c>
      <c r="M2197" s="225">
        <v>44847</v>
      </c>
      <c r="N2197" s="16">
        <v>1</v>
      </c>
      <c r="O2197" s="17">
        <v>19824</v>
      </c>
      <c r="P2197" s="17">
        <v>19824</v>
      </c>
      <c r="Q2197" s="17">
        <f t="shared" si="83"/>
        <v>0</v>
      </c>
      <c r="R2197" s="285" t="s">
        <v>10995</v>
      </c>
      <c r="S2197" s="14">
        <v>44844</v>
      </c>
      <c r="T2197" s="22" t="s">
        <v>12182</v>
      </c>
    </row>
    <row r="2198" spans="1:20" ht="63" customHeight="1" x14ac:dyDescent="0.2">
      <c r="A2198" s="289">
        <v>2230</v>
      </c>
      <c r="B2198" s="12" t="s">
        <v>12180</v>
      </c>
      <c r="C2198" s="289"/>
      <c r="D2198" s="85" t="s">
        <v>12179</v>
      </c>
      <c r="E2198" s="12" t="s">
        <v>11444</v>
      </c>
      <c r="F2198" s="9" t="s">
        <v>12178</v>
      </c>
      <c r="G2198" s="285" t="s">
        <v>4296</v>
      </c>
      <c r="H2198" s="285" t="s">
        <v>10494</v>
      </c>
      <c r="I2198" s="224"/>
      <c r="J2198" s="285" t="s">
        <v>10461</v>
      </c>
      <c r="K2198" s="226">
        <v>44894</v>
      </c>
      <c r="L2198" s="224">
        <v>1090</v>
      </c>
      <c r="M2198" s="225">
        <v>44847</v>
      </c>
      <c r="N2198" s="16">
        <v>2</v>
      </c>
      <c r="O2198" s="17">
        <v>21398</v>
      </c>
      <c r="P2198" s="17">
        <v>21398</v>
      </c>
      <c r="Q2198" s="17">
        <f t="shared" si="83"/>
        <v>0</v>
      </c>
      <c r="R2198" s="285" t="s">
        <v>10995</v>
      </c>
      <c r="S2198" s="14">
        <v>44798</v>
      </c>
      <c r="T2198" s="22" t="s">
        <v>12183</v>
      </c>
    </row>
    <row r="2199" spans="1:20" ht="63" customHeight="1" x14ac:dyDescent="0.2">
      <c r="A2199" s="289">
        <v>2231</v>
      </c>
      <c r="B2199" s="12" t="s">
        <v>12185</v>
      </c>
      <c r="C2199" s="289"/>
      <c r="D2199" s="85" t="s">
        <v>5870</v>
      </c>
      <c r="E2199" s="12" t="s">
        <v>11444</v>
      </c>
      <c r="F2199" s="9" t="s">
        <v>12181</v>
      </c>
      <c r="G2199" s="285" t="s">
        <v>4296</v>
      </c>
      <c r="H2199" s="285" t="s">
        <v>10494</v>
      </c>
      <c r="I2199" s="224"/>
      <c r="J2199" s="285" t="s">
        <v>10461</v>
      </c>
      <c r="K2199" s="226">
        <v>44894</v>
      </c>
      <c r="L2199" s="224">
        <v>1090</v>
      </c>
      <c r="M2199" s="225">
        <v>44858</v>
      </c>
      <c r="N2199" s="16">
        <v>1</v>
      </c>
      <c r="O2199" s="17">
        <v>13620.85</v>
      </c>
      <c r="P2199" s="17">
        <v>13620.85</v>
      </c>
      <c r="Q2199" s="17">
        <f t="shared" si="83"/>
        <v>0</v>
      </c>
      <c r="R2199" s="285" t="s">
        <v>10501</v>
      </c>
      <c r="S2199" s="14">
        <v>44837</v>
      </c>
      <c r="T2199" s="22" t="s">
        <v>12184</v>
      </c>
    </row>
    <row r="2200" spans="1:20" ht="63" customHeight="1" x14ac:dyDescent="0.2">
      <c r="A2200" s="289">
        <v>2232</v>
      </c>
      <c r="B2200" s="12" t="s">
        <v>12186</v>
      </c>
      <c r="C2200" s="289"/>
      <c r="D2200" s="85" t="s">
        <v>12187</v>
      </c>
      <c r="E2200" s="12" t="s">
        <v>11444</v>
      </c>
      <c r="F2200" s="9" t="s">
        <v>12188</v>
      </c>
      <c r="G2200" s="285" t="s">
        <v>7983</v>
      </c>
      <c r="H2200" s="285" t="s">
        <v>10499</v>
      </c>
      <c r="I2200" s="224"/>
      <c r="J2200" s="285" t="s">
        <v>10461</v>
      </c>
      <c r="K2200" s="226">
        <v>44901</v>
      </c>
      <c r="L2200" s="224">
        <v>1118</v>
      </c>
      <c r="M2200" s="225">
        <v>44844</v>
      </c>
      <c r="N2200" s="16">
        <v>2</v>
      </c>
      <c r="O2200" s="17">
        <v>59500</v>
      </c>
      <c r="P2200" s="17">
        <v>59500</v>
      </c>
      <c r="Q2200" s="17">
        <f t="shared" ref="Q2200" si="84">O2200-P2200</f>
        <v>0</v>
      </c>
      <c r="R2200" s="285" t="s">
        <v>10456</v>
      </c>
      <c r="S2200" s="14">
        <v>44844</v>
      </c>
      <c r="T2200" s="22" t="s">
        <v>12189</v>
      </c>
    </row>
    <row r="2201" spans="1:20" ht="63" customHeight="1" x14ac:dyDescent="0.2">
      <c r="A2201" s="289">
        <v>2233</v>
      </c>
      <c r="B2201" s="12" t="s">
        <v>12193</v>
      </c>
      <c r="C2201" s="289"/>
      <c r="D2201" s="85" t="s">
        <v>2473</v>
      </c>
      <c r="E2201" s="12" t="s">
        <v>11444</v>
      </c>
      <c r="F2201" s="9" t="s">
        <v>12194</v>
      </c>
      <c r="G2201" s="285" t="s">
        <v>792</v>
      </c>
      <c r="H2201" s="285" t="s">
        <v>10499</v>
      </c>
      <c r="I2201" s="224"/>
      <c r="J2201" s="285" t="s">
        <v>10461</v>
      </c>
      <c r="K2201" s="226">
        <v>44901</v>
      </c>
      <c r="L2201" s="224">
        <v>1119</v>
      </c>
      <c r="M2201" s="225">
        <v>44804</v>
      </c>
      <c r="N2201" s="16">
        <v>3</v>
      </c>
      <c r="O2201" s="17">
        <v>125997</v>
      </c>
      <c r="P2201" s="17">
        <v>0</v>
      </c>
      <c r="Q2201" s="17">
        <f t="shared" ref="Q2201" si="85">O2201-P2201</f>
        <v>125997</v>
      </c>
      <c r="R2201" s="285" t="s">
        <v>10654</v>
      </c>
      <c r="S2201" s="14">
        <v>44804</v>
      </c>
      <c r="T2201" s="22" t="s">
        <v>12271</v>
      </c>
    </row>
    <row r="2202" spans="1:20" ht="63" customHeight="1" x14ac:dyDescent="0.2">
      <c r="A2202" s="289">
        <v>2234</v>
      </c>
      <c r="B2202" s="12" t="s">
        <v>12195</v>
      </c>
      <c r="C2202" s="289"/>
      <c r="D2202" s="85" t="s">
        <v>12197</v>
      </c>
      <c r="E2202" s="12" t="s">
        <v>11444</v>
      </c>
      <c r="F2202" s="9" t="s">
        <v>12196</v>
      </c>
      <c r="G2202" s="285" t="s">
        <v>792</v>
      </c>
      <c r="H2202" s="285" t="s">
        <v>10499</v>
      </c>
      <c r="I2202" s="224"/>
      <c r="J2202" s="285" t="s">
        <v>10461</v>
      </c>
      <c r="K2202" s="226">
        <v>44901</v>
      </c>
      <c r="L2202" s="224">
        <v>1119</v>
      </c>
      <c r="M2202" s="225">
        <v>44804</v>
      </c>
      <c r="N2202" s="16">
        <v>2</v>
      </c>
      <c r="O2202" s="17">
        <v>47998</v>
      </c>
      <c r="P2202" s="17">
        <v>0</v>
      </c>
      <c r="Q2202" s="17">
        <f t="shared" ref="Q2202" si="86">O2202-P2202</f>
        <v>47998</v>
      </c>
      <c r="R2202" s="285" t="s">
        <v>10654</v>
      </c>
      <c r="S2202" s="14">
        <v>44804</v>
      </c>
      <c r="T2202" s="22" t="s">
        <v>12271</v>
      </c>
    </row>
    <row r="2203" spans="1:20" ht="63" customHeight="1" x14ac:dyDescent="0.2">
      <c r="A2203" s="289">
        <v>2235</v>
      </c>
      <c r="B2203" s="12" t="s">
        <v>12198</v>
      </c>
      <c r="C2203" s="289"/>
      <c r="D2203" s="85" t="s">
        <v>12200</v>
      </c>
      <c r="E2203" s="12" t="s">
        <v>11444</v>
      </c>
      <c r="F2203" s="9" t="s">
        <v>12199</v>
      </c>
      <c r="G2203" s="285" t="s">
        <v>792</v>
      </c>
      <c r="H2203" s="285" t="s">
        <v>10499</v>
      </c>
      <c r="I2203" s="224"/>
      <c r="J2203" s="285" t="s">
        <v>10461</v>
      </c>
      <c r="K2203" s="226">
        <v>44901</v>
      </c>
      <c r="L2203" s="224">
        <v>1119</v>
      </c>
      <c r="M2203" s="225">
        <v>44862</v>
      </c>
      <c r="N2203" s="16">
        <v>1</v>
      </c>
      <c r="O2203" s="17">
        <v>23499</v>
      </c>
      <c r="P2203" s="17">
        <v>0</v>
      </c>
      <c r="Q2203" s="17">
        <f t="shared" ref="Q2203" si="87">O2203-P2203</f>
        <v>23499</v>
      </c>
      <c r="R2203" s="285" t="s">
        <v>10654</v>
      </c>
      <c r="S2203" s="14">
        <v>44862</v>
      </c>
      <c r="T2203" s="22" t="s">
        <v>12270</v>
      </c>
    </row>
    <row r="2204" spans="1:20" ht="63" customHeight="1" x14ac:dyDescent="0.2">
      <c r="A2204" s="289">
        <v>2236</v>
      </c>
      <c r="B2204" s="12" t="s">
        <v>12201</v>
      </c>
      <c r="C2204" s="289"/>
      <c r="D2204" s="85" t="s">
        <v>12202</v>
      </c>
      <c r="E2204" s="12" t="s">
        <v>11444</v>
      </c>
      <c r="F2204" s="9" t="s">
        <v>12203</v>
      </c>
      <c r="G2204" s="285" t="s">
        <v>7981</v>
      </c>
      <c r="H2204" s="285" t="s">
        <v>10499</v>
      </c>
      <c r="I2204" s="224"/>
      <c r="J2204" s="285" t="s">
        <v>10461</v>
      </c>
      <c r="K2204" s="226">
        <v>44901</v>
      </c>
      <c r="L2204" s="224">
        <v>1120</v>
      </c>
      <c r="M2204" s="225">
        <v>44888</v>
      </c>
      <c r="N2204" s="16">
        <v>3</v>
      </c>
      <c r="O2204" s="17">
        <v>53997</v>
      </c>
      <c r="P2204" s="17">
        <v>53997</v>
      </c>
      <c r="Q2204" s="17">
        <f t="shared" ref="Q2204" si="88">O2204-P2204</f>
        <v>0</v>
      </c>
      <c r="R2204" s="285" t="s">
        <v>10654</v>
      </c>
      <c r="S2204" s="14">
        <v>44873</v>
      </c>
      <c r="T2204" s="22" t="s">
        <v>12204</v>
      </c>
    </row>
    <row r="2205" spans="1:20" ht="63" customHeight="1" x14ac:dyDescent="0.2">
      <c r="A2205" s="289">
        <v>2237</v>
      </c>
      <c r="B2205" s="12" t="s">
        <v>12213</v>
      </c>
      <c r="C2205" s="289"/>
      <c r="D2205" s="85" t="s">
        <v>12214</v>
      </c>
      <c r="E2205" s="12" t="s">
        <v>11444</v>
      </c>
      <c r="F2205" s="9" t="s">
        <v>12215</v>
      </c>
      <c r="G2205" s="285" t="s">
        <v>7977</v>
      </c>
      <c r="H2205" s="285" t="s">
        <v>10499</v>
      </c>
      <c r="I2205" s="224"/>
      <c r="J2205" s="285" t="s">
        <v>10461</v>
      </c>
      <c r="K2205" s="226">
        <v>44908</v>
      </c>
      <c r="L2205" s="224">
        <v>1158</v>
      </c>
      <c r="M2205" s="225">
        <v>44897</v>
      </c>
      <c r="N2205" s="16">
        <v>1</v>
      </c>
      <c r="O2205" s="17">
        <v>13999</v>
      </c>
      <c r="P2205" s="17">
        <v>13999</v>
      </c>
      <c r="Q2205" s="17">
        <f>O2205-P2205</f>
        <v>0</v>
      </c>
      <c r="R2205" s="285" t="s">
        <v>10654</v>
      </c>
      <c r="S2205" s="14">
        <v>44861</v>
      </c>
      <c r="T2205" s="22" t="s">
        <v>12216</v>
      </c>
    </row>
    <row r="2206" spans="1:20" ht="63" customHeight="1" x14ac:dyDescent="0.2">
      <c r="A2206" s="289">
        <v>2238</v>
      </c>
      <c r="B2206" s="12" t="s">
        <v>12221</v>
      </c>
      <c r="C2206" s="289"/>
      <c r="D2206" s="85" t="s">
        <v>10779</v>
      </c>
      <c r="E2206" s="12" t="s">
        <v>11444</v>
      </c>
      <c r="F2206" s="9" t="s">
        <v>12301</v>
      </c>
      <c r="G2206" s="285" t="s">
        <v>7934</v>
      </c>
      <c r="H2206" s="285" t="s">
        <v>10499</v>
      </c>
      <c r="I2206" s="224"/>
      <c r="J2206" s="285" t="s">
        <v>10461</v>
      </c>
      <c r="K2206" s="226">
        <v>44911</v>
      </c>
      <c r="L2206" s="224">
        <v>1178</v>
      </c>
      <c r="M2206" s="225">
        <v>44872</v>
      </c>
      <c r="N2206" s="16">
        <v>1</v>
      </c>
      <c r="O2206" s="17">
        <v>24499</v>
      </c>
      <c r="P2206" s="17">
        <v>24499</v>
      </c>
      <c r="Q2206" s="17">
        <f t="shared" ref="Q2206" si="89">O2206-P2206</f>
        <v>0</v>
      </c>
      <c r="R2206" s="285" t="s">
        <v>10654</v>
      </c>
      <c r="S2206" s="14">
        <v>44872</v>
      </c>
      <c r="T2206" s="22" t="s">
        <v>12222</v>
      </c>
    </row>
    <row r="2207" spans="1:20" ht="63" customHeight="1" x14ac:dyDescent="0.2">
      <c r="A2207" s="289">
        <v>2239</v>
      </c>
      <c r="B2207" s="12" t="s">
        <v>12223</v>
      </c>
      <c r="C2207" s="289"/>
      <c r="D2207" s="85" t="s">
        <v>12224</v>
      </c>
      <c r="E2207" s="12" t="s">
        <v>11444</v>
      </c>
      <c r="F2207" s="9" t="s">
        <v>12226</v>
      </c>
      <c r="G2207" s="285" t="s">
        <v>7967</v>
      </c>
      <c r="H2207" s="285" t="s">
        <v>10499</v>
      </c>
      <c r="I2207" s="224"/>
      <c r="J2207" s="285" t="s">
        <v>10461</v>
      </c>
      <c r="K2207" s="226">
        <v>44911</v>
      </c>
      <c r="L2207" s="224">
        <v>1180</v>
      </c>
      <c r="M2207" s="225">
        <v>44902</v>
      </c>
      <c r="N2207" s="16">
        <v>1</v>
      </c>
      <c r="O2207" s="17">
        <v>49499</v>
      </c>
      <c r="P2207" s="17">
        <v>49499</v>
      </c>
      <c r="Q2207" s="17">
        <f t="shared" ref="Q2207" si="90">O2207-P2207</f>
        <v>0</v>
      </c>
      <c r="R2207" s="285" t="s">
        <v>10654</v>
      </c>
      <c r="S2207" s="14">
        <v>44902</v>
      </c>
      <c r="T2207" s="22" t="s">
        <v>12225</v>
      </c>
    </row>
    <row r="2208" spans="1:20" ht="63" customHeight="1" x14ac:dyDescent="0.2">
      <c r="A2208" s="289">
        <v>2240</v>
      </c>
      <c r="B2208" s="12" t="s">
        <v>12227</v>
      </c>
      <c r="C2208" s="289"/>
      <c r="D2208" s="85" t="s">
        <v>12228</v>
      </c>
      <c r="E2208" s="12" t="s">
        <v>11444</v>
      </c>
      <c r="F2208" s="9" t="s">
        <v>12229</v>
      </c>
      <c r="G2208" s="285" t="s">
        <v>7983</v>
      </c>
      <c r="H2208" s="285" t="s">
        <v>10499</v>
      </c>
      <c r="I2208" s="224"/>
      <c r="J2208" s="285" t="s">
        <v>10461</v>
      </c>
      <c r="K2208" s="226">
        <v>44911</v>
      </c>
      <c r="L2208" s="224">
        <v>1179</v>
      </c>
      <c r="M2208" s="225">
        <v>44901</v>
      </c>
      <c r="N2208" s="16">
        <v>1</v>
      </c>
      <c r="O2208" s="17">
        <v>79999</v>
      </c>
      <c r="P2208" s="17">
        <v>79999</v>
      </c>
      <c r="Q2208" s="17">
        <f t="shared" ref="Q2208" si="91">O2208-P2208</f>
        <v>0</v>
      </c>
      <c r="R2208" s="285" t="s">
        <v>10456</v>
      </c>
      <c r="S2208" s="14">
        <v>44900</v>
      </c>
      <c r="T2208" s="22" t="s">
        <v>12230</v>
      </c>
    </row>
    <row r="2209" spans="1:20" ht="63" customHeight="1" x14ac:dyDescent="0.2">
      <c r="A2209" s="289">
        <v>2241</v>
      </c>
      <c r="B2209" s="12" t="s">
        <v>12285</v>
      </c>
      <c r="C2209" s="289"/>
      <c r="D2209" s="85" t="s">
        <v>12281</v>
      </c>
      <c r="E2209" s="12" t="s">
        <v>11444</v>
      </c>
      <c r="F2209" s="9" t="s">
        <v>12284</v>
      </c>
      <c r="G2209" s="285" t="s">
        <v>10465</v>
      </c>
      <c r="H2209" s="285" t="s">
        <v>10784</v>
      </c>
      <c r="I2209" s="224"/>
      <c r="J2209" s="285" t="s">
        <v>10461</v>
      </c>
      <c r="K2209" s="226">
        <v>44914</v>
      </c>
      <c r="L2209" s="224">
        <v>1191</v>
      </c>
      <c r="M2209" s="225">
        <v>44895</v>
      </c>
      <c r="N2209" s="16">
        <v>20</v>
      </c>
      <c r="O2209" s="17">
        <v>142160</v>
      </c>
      <c r="P2209" s="17">
        <v>0</v>
      </c>
      <c r="Q2209" s="17">
        <f t="shared" ref="Q2209" si="92">O2209-P2209</f>
        <v>142160</v>
      </c>
      <c r="R2209" s="285" t="s">
        <v>12282</v>
      </c>
      <c r="S2209" s="14">
        <v>44883</v>
      </c>
      <c r="T2209" s="22" t="s">
        <v>12283</v>
      </c>
    </row>
    <row r="2210" spans="1:20" ht="38.450000000000003" customHeight="1" x14ac:dyDescent="0.2">
      <c r="A2210" s="289">
        <v>2242</v>
      </c>
      <c r="B2210" s="12" t="s">
        <v>12286</v>
      </c>
      <c r="C2210" s="289"/>
      <c r="D2210" s="85" t="s">
        <v>12288</v>
      </c>
      <c r="E2210" s="12" t="s">
        <v>11444</v>
      </c>
      <c r="F2210" s="9" t="s">
        <v>12287</v>
      </c>
      <c r="G2210" s="285" t="s">
        <v>7983</v>
      </c>
      <c r="H2210" s="285" t="s">
        <v>10499</v>
      </c>
      <c r="I2210" s="224"/>
      <c r="J2210" s="285" t="s">
        <v>10461</v>
      </c>
      <c r="K2210" s="226">
        <v>44914</v>
      </c>
      <c r="L2210" s="224">
        <v>1192</v>
      </c>
      <c r="M2210" s="225">
        <v>44903</v>
      </c>
      <c r="N2210" s="16">
        <v>5</v>
      </c>
      <c r="O2210" s="17">
        <v>178245</v>
      </c>
      <c r="P2210" s="17">
        <v>178245</v>
      </c>
      <c r="Q2210" s="17">
        <f t="shared" ref="Q2210" si="93">O2210-P2210</f>
        <v>0</v>
      </c>
      <c r="R2210" s="285" t="s">
        <v>12282</v>
      </c>
      <c r="S2210" s="14">
        <v>44902</v>
      </c>
      <c r="T2210" s="22" t="s">
        <v>12291</v>
      </c>
    </row>
    <row r="2211" spans="1:20" ht="83.45" customHeight="1" x14ac:dyDescent="0.2">
      <c r="A2211" s="289">
        <v>2243</v>
      </c>
      <c r="B2211" s="12" t="s">
        <v>12289</v>
      </c>
      <c r="C2211" s="289"/>
      <c r="D2211" s="85" t="s">
        <v>2579</v>
      </c>
      <c r="E2211" s="12" t="s">
        <v>11444</v>
      </c>
      <c r="F2211" s="9" t="s">
        <v>12290</v>
      </c>
      <c r="G2211" s="285" t="s">
        <v>7983</v>
      </c>
      <c r="H2211" s="285" t="s">
        <v>10499</v>
      </c>
      <c r="I2211" s="224"/>
      <c r="J2211" s="285" t="s">
        <v>10461</v>
      </c>
      <c r="K2211" s="226">
        <v>44914</v>
      </c>
      <c r="L2211" s="224">
        <v>1192</v>
      </c>
      <c r="M2211" s="225">
        <v>44907</v>
      </c>
      <c r="N2211" s="16">
        <v>5</v>
      </c>
      <c r="O2211" s="17">
        <v>59995</v>
      </c>
      <c r="P2211" s="17">
        <v>59995</v>
      </c>
      <c r="Q2211" s="17">
        <f t="shared" ref="Q2211" si="94">O2211-P2211</f>
        <v>0</v>
      </c>
      <c r="R2211" s="285" t="s">
        <v>12282</v>
      </c>
      <c r="S2211" s="14">
        <v>44907</v>
      </c>
      <c r="T2211" s="22" t="s">
        <v>12292</v>
      </c>
    </row>
    <row r="2212" spans="1:20" ht="83.45" customHeight="1" x14ac:dyDescent="0.2">
      <c r="A2212" s="289">
        <v>2244</v>
      </c>
      <c r="B2212" s="12" t="s">
        <v>12309</v>
      </c>
      <c r="C2212" s="289"/>
      <c r="D2212" s="85" t="s">
        <v>12310</v>
      </c>
      <c r="E2212" s="12" t="s">
        <v>11444</v>
      </c>
      <c r="F2212" s="9" t="s">
        <v>12378</v>
      </c>
      <c r="G2212" s="37" t="s">
        <v>4946</v>
      </c>
      <c r="H2212" s="37" t="s">
        <v>5127</v>
      </c>
      <c r="I2212" s="224"/>
      <c r="J2212" s="285" t="s">
        <v>10461</v>
      </c>
      <c r="K2212" s="226">
        <v>44917</v>
      </c>
      <c r="L2212" s="224">
        <v>1202</v>
      </c>
      <c r="M2212" s="225">
        <v>44909</v>
      </c>
      <c r="N2212" s="16">
        <v>1</v>
      </c>
      <c r="O2212" s="17">
        <v>180000</v>
      </c>
      <c r="P2212" s="17">
        <v>0</v>
      </c>
      <c r="Q2212" s="17">
        <f t="shared" ref="Q2212" si="95">O2212-P2212</f>
        <v>180000</v>
      </c>
      <c r="R2212" s="285" t="s">
        <v>12282</v>
      </c>
      <c r="S2212" s="14">
        <v>44909</v>
      </c>
      <c r="T2212" s="22" t="s">
        <v>12311</v>
      </c>
    </row>
    <row r="2213" spans="1:20" ht="83.45" customHeight="1" x14ac:dyDescent="0.2">
      <c r="A2213" s="289">
        <v>2245</v>
      </c>
      <c r="B2213" s="12" t="s">
        <v>12312</v>
      </c>
      <c r="C2213" s="289"/>
      <c r="D2213" s="85" t="s">
        <v>12313</v>
      </c>
      <c r="E2213" s="12" t="s">
        <v>11444</v>
      </c>
      <c r="F2213" s="9" t="s">
        <v>12379</v>
      </c>
      <c r="G2213" s="285" t="s">
        <v>8293</v>
      </c>
      <c r="H2213" s="37" t="s">
        <v>5127</v>
      </c>
      <c r="I2213" s="224"/>
      <c r="J2213" s="285" t="s">
        <v>10461</v>
      </c>
      <c r="K2213" s="226">
        <v>44917</v>
      </c>
      <c r="L2213" s="224">
        <v>1199</v>
      </c>
      <c r="M2213" s="225">
        <v>44914</v>
      </c>
      <c r="N2213" s="16">
        <v>2</v>
      </c>
      <c r="O2213" s="17">
        <v>400000</v>
      </c>
      <c r="P2213" s="17">
        <v>0</v>
      </c>
      <c r="Q2213" s="17">
        <f t="shared" ref="Q2213" si="96">O2213-P2213</f>
        <v>400000</v>
      </c>
      <c r="R2213" s="285" t="s">
        <v>12314</v>
      </c>
      <c r="S2213" s="14">
        <v>44909</v>
      </c>
      <c r="T2213" s="22" t="s">
        <v>12315</v>
      </c>
    </row>
    <row r="2214" spans="1:20" ht="182.45" customHeight="1" x14ac:dyDescent="0.2">
      <c r="A2214" s="289">
        <v>2246</v>
      </c>
      <c r="B2214" s="12" t="s">
        <v>12321</v>
      </c>
      <c r="C2214" s="289"/>
      <c r="D2214" s="279" t="s">
        <v>12318</v>
      </c>
      <c r="E2214" s="12" t="s">
        <v>11444</v>
      </c>
      <c r="F2214" s="9"/>
      <c r="G2214" s="285" t="s">
        <v>10465</v>
      </c>
      <c r="H2214" s="285" t="s">
        <v>10784</v>
      </c>
      <c r="I2214" s="224"/>
      <c r="J2214" s="285" t="s">
        <v>10461</v>
      </c>
      <c r="K2214" s="226">
        <v>44918</v>
      </c>
      <c r="L2214" s="224">
        <v>1206</v>
      </c>
      <c r="M2214" s="225"/>
      <c r="N2214" s="16">
        <v>9</v>
      </c>
      <c r="O2214" s="17">
        <v>732240</v>
      </c>
      <c r="P2214" s="17">
        <v>0</v>
      </c>
      <c r="Q2214" s="17">
        <f t="shared" ref="Q2214" si="97">O2214-P2214</f>
        <v>732240</v>
      </c>
      <c r="R2214" s="285" t="s">
        <v>10874</v>
      </c>
      <c r="S2214" s="14">
        <v>44903</v>
      </c>
      <c r="T2214" s="22" t="s">
        <v>12319</v>
      </c>
    </row>
    <row r="2215" spans="1:20" ht="39" customHeight="1" x14ac:dyDescent="0.2">
      <c r="A2215" s="289">
        <v>2247</v>
      </c>
      <c r="B2215" s="12" t="s">
        <v>12320</v>
      </c>
      <c r="C2215" s="289"/>
      <c r="D2215" s="279" t="s">
        <v>12322</v>
      </c>
      <c r="E2215" s="12" t="s">
        <v>11444</v>
      </c>
      <c r="F2215" s="9"/>
      <c r="G2215" s="285" t="s">
        <v>10465</v>
      </c>
      <c r="H2215" s="285" t="s">
        <v>10784</v>
      </c>
      <c r="I2215" s="224"/>
      <c r="J2215" s="285" t="s">
        <v>10461</v>
      </c>
      <c r="K2215" s="226">
        <v>44918</v>
      </c>
      <c r="L2215" s="224">
        <v>1206</v>
      </c>
      <c r="M2215" s="225"/>
      <c r="N2215" s="16">
        <v>9</v>
      </c>
      <c r="O2215" s="17">
        <v>367200</v>
      </c>
      <c r="P2215" s="17">
        <v>0</v>
      </c>
      <c r="Q2215" s="17">
        <f t="shared" ref="Q2215" si="98">O2215-P2215</f>
        <v>367200</v>
      </c>
      <c r="R2215" s="285" t="s">
        <v>10874</v>
      </c>
      <c r="S2215" s="14">
        <v>44903</v>
      </c>
      <c r="T2215" s="22" t="s">
        <v>12319</v>
      </c>
    </row>
    <row r="2216" spans="1:20" ht="39" customHeight="1" x14ac:dyDescent="0.2">
      <c r="A2216" s="289">
        <v>2248</v>
      </c>
      <c r="B2216" s="12" t="s">
        <v>12323</v>
      </c>
      <c r="C2216" s="289"/>
      <c r="D2216" s="279" t="s">
        <v>12324</v>
      </c>
      <c r="E2216" s="12" t="s">
        <v>11444</v>
      </c>
      <c r="F2216" s="9"/>
      <c r="G2216" s="285" t="s">
        <v>10465</v>
      </c>
      <c r="H2216" s="285" t="s">
        <v>10784</v>
      </c>
      <c r="I2216" s="224"/>
      <c r="J2216" s="285" t="s">
        <v>10461</v>
      </c>
      <c r="K2216" s="226">
        <v>44918</v>
      </c>
      <c r="L2216" s="224">
        <v>1205</v>
      </c>
      <c r="M2216" s="225"/>
      <c r="N2216" s="16">
        <v>10</v>
      </c>
      <c r="O2216" s="17">
        <v>429520</v>
      </c>
      <c r="P2216" s="17">
        <v>0</v>
      </c>
      <c r="Q2216" s="17">
        <f t="shared" ref="Q2216" si="99">O2216-P2216</f>
        <v>429520</v>
      </c>
      <c r="R2216" s="285" t="s">
        <v>10874</v>
      </c>
      <c r="S2216" s="14">
        <v>44886</v>
      </c>
      <c r="T2216" s="22" t="s">
        <v>12380</v>
      </c>
    </row>
    <row r="2217" spans="1:20" ht="85.9" customHeight="1" x14ac:dyDescent="0.2">
      <c r="A2217" s="289">
        <v>2249</v>
      </c>
      <c r="B2217" s="12" t="s">
        <v>12325</v>
      </c>
      <c r="C2217" s="289"/>
      <c r="D2217" s="279" t="s">
        <v>12326</v>
      </c>
      <c r="E2217" s="12" t="s">
        <v>11444</v>
      </c>
      <c r="F2217" s="9"/>
      <c r="G2217" s="285" t="s">
        <v>10465</v>
      </c>
      <c r="H2217" s="285" t="s">
        <v>10784</v>
      </c>
      <c r="I2217" s="224"/>
      <c r="J2217" s="285" t="s">
        <v>10461</v>
      </c>
      <c r="K2217" s="226">
        <v>44918</v>
      </c>
      <c r="L2217" s="224">
        <v>1205</v>
      </c>
      <c r="M2217" s="225"/>
      <c r="N2217" s="16">
        <v>1</v>
      </c>
      <c r="O2217" s="17">
        <v>100318</v>
      </c>
      <c r="P2217" s="17">
        <v>0</v>
      </c>
      <c r="Q2217" s="17">
        <f t="shared" ref="Q2217" si="100">O2217-P2217</f>
        <v>100318</v>
      </c>
      <c r="R2217" s="285" t="s">
        <v>10874</v>
      </c>
      <c r="S2217" s="14">
        <v>44886</v>
      </c>
      <c r="T2217" s="22" t="s">
        <v>12380</v>
      </c>
    </row>
    <row r="2218" spans="1:20" ht="85.9" customHeight="1" x14ac:dyDescent="0.2">
      <c r="A2218" s="289">
        <v>2250</v>
      </c>
      <c r="B2218" s="12" t="s">
        <v>12327</v>
      </c>
      <c r="C2218" s="289"/>
      <c r="D2218" s="279" t="s">
        <v>12328</v>
      </c>
      <c r="E2218" s="12" t="s">
        <v>11444</v>
      </c>
      <c r="F2218" s="9"/>
      <c r="G2218" s="285" t="s">
        <v>10465</v>
      </c>
      <c r="H2218" s="285" t="s">
        <v>10784</v>
      </c>
      <c r="I2218" s="224"/>
      <c r="J2218" s="285" t="s">
        <v>10461</v>
      </c>
      <c r="K2218" s="226">
        <v>44918</v>
      </c>
      <c r="L2218" s="224">
        <v>1205</v>
      </c>
      <c r="M2218" s="225"/>
      <c r="N2218" s="16">
        <v>1</v>
      </c>
      <c r="O2218" s="17">
        <v>65666</v>
      </c>
      <c r="P2218" s="17">
        <v>0</v>
      </c>
      <c r="Q2218" s="17">
        <f t="shared" ref="Q2218" si="101">O2218-P2218</f>
        <v>65666</v>
      </c>
      <c r="R2218" s="285" t="s">
        <v>10874</v>
      </c>
      <c r="S2218" s="14">
        <v>44886</v>
      </c>
      <c r="T2218" s="22" t="s">
        <v>12380</v>
      </c>
    </row>
    <row r="2219" spans="1:20" ht="28.9" customHeight="1" x14ac:dyDescent="0.2">
      <c r="A2219" s="289">
        <v>2251</v>
      </c>
      <c r="B2219" s="12" t="s">
        <v>12329</v>
      </c>
      <c r="C2219" s="289"/>
      <c r="D2219" s="279" t="s">
        <v>12330</v>
      </c>
      <c r="E2219" s="12" t="s">
        <v>11444</v>
      </c>
      <c r="F2219" s="9"/>
      <c r="G2219" s="285" t="s">
        <v>10465</v>
      </c>
      <c r="H2219" s="285" t="s">
        <v>10784</v>
      </c>
      <c r="I2219" s="224"/>
      <c r="J2219" s="285" t="s">
        <v>10461</v>
      </c>
      <c r="K2219" s="226">
        <v>44918</v>
      </c>
      <c r="L2219" s="224">
        <v>1205</v>
      </c>
      <c r="M2219" s="225"/>
      <c r="N2219" s="16">
        <v>10</v>
      </c>
      <c r="O2219" s="17">
        <v>14200</v>
      </c>
      <c r="P2219" s="17">
        <v>0</v>
      </c>
      <c r="Q2219" s="17">
        <f t="shared" ref="Q2219" si="102">O2219-P2219</f>
        <v>14200</v>
      </c>
      <c r="R2219" s="285" t="s">
        <v>10874</v>
      </c>
      <c r="S2219" s="14">
        <v>44886</v>
      </c>
      <c r="T2219" s="22" t="s">
        <v>12380</v>
      </c>
    </row>
    <row r="2220" spans="1:20" ht="34.15" customHeight="1" x14ac:dyDescent="0.2">
      <c r="A2220" s="289">
        <v>2252</v>
      </c>
      <c r="B2220" s="12" t="s">
        <v>12335</v>
      </c>
      <c r="C2220" s="289"/>
      <c r="D2220" s="279" t="s">
        <v>12331</v>
      </c>
      <c r="E2220" s="12" t="s">
        <v>11444</v>
      </c>
      <c r="F2220" s="9"/>
      <c r="G2220" s="285" t="s">
        <v>7917</v>
      </c>
      <c r="H2220" s="285" t="s">
        <v>5127</v>
      </c>
      <c r="I2220" s="224"/>
      <c r="J2220" s="285" t="s">
        <v>10461</v>
      </c>
      <c r="K2220" s="226">
        <v>44921</v>
      </c>
      <c r="L2220" s="224">
        <v>1218</v>
      </c>
      <c r="M2220" s="225">
        <v>44903</v>
      </c>
      <c r="N2220" s="16">
        <v>1</v>
      </c>
      <c r="O2220" s="17">
        <v>122838.5</v>
      </c>
      <c r="P2220" s="17">
        <v>4094.6</v>
      </c>
      <c r="Q2220" s="17">
        <f t="shared" ref="Q2220" si="103">O2220-P2220</f>
        <v>118743.9</v>
      </c>
      <c r="R2220" s="285" t="s">
        <v>10874</v>
      </c>
      <c r="S2220" s="14">
        <v>44880</v>
      </c>
      <c r="T2220" s="22" t="s">
        <v>12332</v>
      </c>
    </row>
    <row r="2221" spans="1:20" ht="34.15" customHeight="1" x14ac:dyDescent="0.2">
      <c r="A2221" s="289">
        <v>2253</v>
      </c>
      <c r="B2221" s="12" t="s">
        <v>12334</v>
      </c>
      <c r="C2221" s="289"/>
      <c r="D2221" s="279" t="s">
        <v>12337</v>
      </c>
      <c r="E2221" s="12" t="s">
        <v>11444</v>
      </c>
      <c r="F2221" s="9"/>
      <c r="G2221" s="285" t="s">
        <v>7981</v>
      </c>
      <c r="H2221" s="285" t="s">
        <v>10499</v>
      </c>
      <c r="I2221" s="224"/>
      <c r="J2221" s="285" t="s">
        <v>10461</v>
      </c>
      <c r="K2221" s="226">
        <v>44921</v>
      </c>
      <c r="L2221" s="224">
        <v>1219</v>
      </c>
      <c r="M2221" s="225">
        <v>44903</v>
      </c>
      <c r="N2221" s="16">
        <v>1</v>
      </c>
      <c r="O2221" s="17">
        <v>6423.28</v>
      </c>
      <c r="P2221" s="17">
        <v>0</v>
      </c>
      <c r="Q2221" s="17">
        <f t="shared" ref="Q2221" si="104">O2221-P2221</f>
        <v>6423.28</v>
      </c>
      <c r="R2221" s="285" t="s">
        <v>10874</v>
      </c>
      <c r="S2221" s="14">
        <v>44880</v>
      </c>
      <c r="T2221" s="22" t="s">
        <v>12332</v>
      </c>
    </row>
    <row r="2222" spans="1:20" ht="57" customHeight="1" x14ac:dyDescent="0.2">
      <c r="A2222" s="289">
        <v>2254</v>
      </c>
      <c r="B2222" s="12" t="s">
        <v>12336</v>
      </c>
      <c r="C2222" s="289"/>
      <c r="D2222" s="279" t="s">
        <v>12333</v>
      </c>
      <c r="E2222" s="12" t="s">
        <v>11444</v>
      </c>
      <c r="F2222" s="9"/>
      <c r="G2222" s="285" t="s">
        <v>7981</v>
      </c>
      <c r="H2222" s="285" t="s">
        <v>10499</v>
      </c>
      <c r="I2222" s="224"/>
      <c r="J2222" s="285" t="s">
        <v>10461</v>
      </c>
      <c r="K2222" s="226">
        <v>44921</v>
      </c>
      <c r="L2222" s="224">
        <v>1219</v>
      </c>
      <c r="M2222" s="225">
        <v>44903</v>
      </c>
      <c r="N2222" s="16">
        <v>1</v>
      </c>
      <c r="O2222" s="17">
        <v>8596.24</v>
      </c>
      <c r="P2222" s="17">
        <v>0</v>
      </c>
      <c r="Q2222" s="17">
        <f t="shared" ref="Q2222" si="105">O2222-P2222</f>
        <v>8596.24</v>
      </c>
      <c r="R2222" s="285" t="s">
        <v>10874</v>
      </c>
      <c r="S2222" s="14">
        <v>44880</v>
      </c>
      <c r="T2222" s="22" t="s">
        <v>12332</v>
      </c>
    </row>
    <row r="2223" spans="1:20" ht="39" customHeight="1" x14ac:dyDescent="0.2">
      <c r="A2223" s="289">
        <v>2255</v>
      </c>
      <c r="B2223" s="12" t="s">
        <v>12338</v>
      </c>
      <c r="C2223" s="289"/>
      <c r="D2223" s="279" t="s">
        <v>12339</v>
      </c>
      <c r="E2223" s="12" t="s">
        <v>11444</v>
      </c>
      <c r="F2223" s="9"/>
      <c r="G2223" s="285" t="s">
        <v>7981</v>
      </c>
      <c r="H2223" s="285" t="s">
        <v>10499</v>
      </c>
      <c r="I2223" s="224"/>
      <c r="J2223" s="285" t="s">
        <v>10461</v>
      </c>
      <c r="K2223" s="226">
        <v>44921</v>
      </c>
      <c r="L2223" s="224">
        <v>1219</v>
      </c>
      <c r="M2223" s="225">
        <v>44903</v>
      </c>
      <c r="N2223" s="16">
        <v>1</v>
      </c>
      <c r="O2223" s="17">
        <v>52937.16</v>
      </c>
      <c r="P2223" s="17">
        <v>0</v>
      </c>
      <c r="Q2223" s="17">
        <f t="shared" ref="Q2223" si="106">O2223-P2223</f>
        <v>52937.16</v>
      </c>
      <c r="R2223" s="285" t="s">
        <v>10874</v>
      </c>
      <c r="S2223" s="14">
        <v>44880</v>
      </c>
      <c r="T2223" s="22" t="s">
        <v>12332</v>
      </c>
    </row>
    <row r="2224" spans="1:20" ht="30" customHeight="1" x14ac:dyDescent="0.2">
      <c r="A2224" s="289">
        <v>2256</v>
      </c>
      <c r="B2224" s="12" t="s">
        <v>12340</v>
      </c>
      <c r="C2224" s="289"/>
      <c r="D2224" s="279" t="s">
        <v>12341</v>
      </c>
      <c r="E2224" s="12" t="s">
        <v>11444</v>
      </c>
      <c r="F2224" s="9"/>
      <c r="G2224" s="285" t="s">
        <v>7981</v>
      </c>
      <c r="H2224" s="285" t="s">
        <v>10499</v>
      </c>
      <c r="I2224" s="224"/>
      <c r="J2224" s="285" t="s">
        <v>10461</v>
      </c>
      <c r="K2224" s="226">
        <v>44921</v>
      </c>
      <c r="L2224" s="224">
        <v>1219</v>
      </c>
      <c r="M2224" s="225">
        <v>44903</v>
      </c>
      <c r="N2224" s="16">
        <v>1</v>
      </c>
      <c r="O2224" s="17">
        <v>149867.49</v>
      </c>
      <c r="P2224" s="17">
        <v>4995.6000000000004</v>
      </c>
      <c r="Q2224" s="17">
        <f t="shared" ref="Q2224" si="107">O2224-P2224</f>
        <v>144871.88999999998</v>
      </c>
      <c r="R2224" s="285" t="s">
        <v>10874</v>
      </c>
      <c r="S2224" s="14">
        <v>44880</v>
      </c>
      <c r="T2224" s="22" t="s">
        <v>12332</v>
      </c>
    </row>
    <row r="2225" spans="1:20" ht="48" customHeight="1" x14ac:dyDescent="0.2">
      <c r="A2225" s="289">
        <v>2257</v>
      </c>
      <c r="B2225" s="12" t="s">
        <v>12342</v>
      </c>
      <c r="C2225" s="289"/>
      <c r="D2225" s="279" t="s">
        <v>12343</v>
      </c>
      <c r="E2225" s="12" t="s">
        <v>11444</v>
      </c>
      <c r="F2225" s="9"/>
      <c r="G2225" s="285" t="s">
        <v>7981</v>
      </c>
      <c r="H2225" s="285" t="s">
        <v>10499</v>
      </c>
      <c r="I2225" s="224"/>
      <c r="J2225" s="285" t="s">
        <v>10461</v>
      </c>
      <c r="K2225" s="226">
        <v>44921</v>
      </c>
      <c r="L2225" s="224">
        <v>1219</v>
      </c>
      <c r="M2225" s="225">
        <v>44903</v>
      </c>
      <c r="N2225" s="16">
        <v>1</v>
      </c>
      <c r="O2225" s="17">
        <v>42092.5</v>
      </c>
      <c r="P2225" s="17">
        <v>0</v>
      </c>
      <c r="Q2225" s="17">
        <f t="shared" ref="Q2225" si="108">O2225-P2225</f>
        <v>42092.5</v>
      </c>
      <c r="R2225" s="285" t="s">
        <v>10874</v>
      </c>
      <c r="S2225" s="14">
        <v>44880</v>
      </c>
      <c r="T2225" s="22" t="s">
        <v>12332</v>
      </c>
    </row>
    <row r="2226" spans="1:20" ht="32.450000000000003" customHeight="1" x14ac:dyDescent="0.2">
      <c r="A2226" s="289">
        <v>2258</v>
      </c>
      <c r="B2226" s="12" t="s">
        <v>12344</v>
      </c>
      <c r="C2226" s="289"/>
      <c r="D2226" s="279" t="s">
        <v>12345</v>
      </c>
      <c r="E2226" s="12" t="s">
        <v>11444</v>
      </c>
      <c r="F2226" s="9"/>
      <c r="G2226" s="285" t="s">
        <v>7981</v>
      </c>
      <c r="H2226" s="285" t="s">
        <v>10499</v>
      </c>
      <c r="I2226" s="224"/>
      <c r="J2226" s="285" t="s">
        <v>10461</v>
      </c>
      <c r="K2226" s="226">
        <v>44921</v>
      </c>
      <c r="L2226" s="224">
        <v>1219</v>
      </c>
      <c r="M2226" s="225">
        <v>44903</v>
      </c>
      <c r="N2226" s="16">
        <v>1</v>
      </c>
      <c r="O2226" s="17">
        <v>181308.5</v>
      </c>
      <c r="P2226" s="17">
        <v>6043.6</v>
      </c>
      <c r="Q2226" s="17">
        <f t="shared" ref="Q2226" si="109">O2226-P2226</f>
        <v>175264.9</v>
      </c>
      <c r="R2226" s="285" t="s">
        <v>10874</v>
      </c>
      <c r="S2226" s="14">
        <v>44880</v>
      </c>
      <c r="T2226" s="22" t="s">
        <v>12332</v>
      </c>
    </row>
    <row r="2227" spans="1:20" ht="30" customHeight="1" x14ac:dyDescent="0.2">
      <c r="A2227" s="289">
        <v>2259</v>
      </c>
      <c r="B2227" s="12" t="s">
        <v>12347</v>
      </c>
      <c r="C2227" s="289"/>
      <c r="D2227" s="279" t="s">
        <v>12346</v>
      </c>
      <c r="E2227" s="12" t="s">
        <v>11444</v>
      </c>
      <c r="F2227" s="9"/>
      <c r="G2227" s="285" t="s">
        <v>7981</v>
      </c>
      <c r="H2227" s="285" t="s">
        <v>10499</v>
      </c>
      <c r="I2227" s="224"/>
      <c r="J2227" s="285" t="s">
        <v>10461</v>
      </c>
      <c r="K2227" s="226">
        <v>44921</v>
      </c>
      <c r="L2227" s="224">
        <v>1219</v>
      </c>
      <c r="M2227" s="225">
        <v>44903</v>
      </c>
      <c r="N2227" s="16">
        <v>1</v>
      </c>
      <c r="O2227" s="17">
        <v>50880</v>
      </c>
      <c r="P2227" s="17">
        <v>0</v>
      </c>
      <c r="Q2227" s="17">
        <f t="shared" ref="Q2227:Q2228" si="110">O2227-P2227</f>
        <v>50880</v>
      </c>
      <c r="R2227" s="285" t="s">
        <v>10874</v>
      </c>
      <c r="S2227" s="14">
        <v>44880</v>
      </c>
      <c r="T2227" s="22" t="s">
        <v>12332</v>
      </c>
    </row>
    <row r="2228" spans="1:20" ht="83.45" customHeight="1" x14ac:dyDescent="0.2">
      <c r="A2228" s="289">
        <v>2260</v>
      </c>
      <c r="B2228" s="12" t="s">
        <v>12348</v>
      </c>
      <c r="C2228" s="289"/>
      <c r="D2228" s="85" t="s">
        <v>12313</v>
      </c>
      <c r="E2228" s="12" t="s">
        <v>12349</v>
      </c>
      <c r="F2228" s="9"/>
      <c r="G2228" s="285" t="s">
        <v>101</v>
      </c>
      <c r="H2228" s="37" t="s">
        <v>5127</v>
      </c>
      <c r="I2228" s="224"/>
      <c r="J2228" s="285" t="s">
        <v>10461</v>
      </c>
      <c r="K2228" s="226">
        <v>44921</v>
      </c>
      <c r="L2228" s="224">
        <v>1217</v>
      </c>
      <c r="M2228" s="225">
        <v>44914</v>
      </c>
      <c r="N2228" s="16">
        <v>1</v>
      </c>
      <c r="O2228" s="17">
        <v>230000</v>
      </c>
      <c r="P2228" s="17">
        <v>0</v>
      </c>
      <c r="Q2228" s="17">
        <f t="shared" si="110"/>
        <v>230000</v>
      </c>
      <c r="R2228" s="285" t="s">
        <v>12350</v>
      </c>
      <c r="S2228" s="14">
        <v>44908</v>
      </c>
      <c r="T2228" s="22" t="s">
        <v>12351</v>
      </c>
    </row>
    <row r="2229" spans="1:20" ht="83.45" customHeight="1" x14ac:dyDescent="0.2">
      <c r="A2229" s="289">
        <v>2261</v>
      </c>
      <c r="B2229" s="12" t="s">
        <v>12361</v>
      </c>
      <c r="C2229" s="289"/>
      <c r="D2229" s="85" t="s">
        <v>12358</v>
      </c>
      <c r="E2229" s="12" t="s">
        <v>12349</v>
      </c>
      <c r="F2229" s="9"/>
      <c r="G2229" s="285" t="s">
        <v>10465</v>
      </c>
      <c r="H2229" s="285" t="s">
        <v>10784</v>
      </c>
      <c r="I2229" s="224"/>
      <c r="J2229" s="285" t="s">
        <v>10461</v>
      </c>
      <c r="K2229" s="226">
        <v>44921</v>
      </c>
      <c r="L2229" s="224">
        <v>1220</v>
      </c>
      <c r="M2229" s="225"/>
      <c r="N2229" s="16">
        <v>2</v>
      </c>
      <c r="O2229" s="17">
        <v>791901</v>
      </c>
      <c r="P2229" s="17">
        <v>0</v>
      </c>
      <c r="Q2229" s="17">
        <f t="shared" ref="Q2229" si="111">O2229-P2229</f>
        <v>791901</v>
      </c>
      <c r="R2229" s="285" t="s">
        <v>10874</v>
      </c>
      <c r="S2229" s="14">
        <v>44914</v>
      </c>
      <c r="T2229" s="22" t="s">
        <v>12359</v>
      </c>
    </row>
    <row r="2230" spans="1:20" ht="83.45" customHeight="1" x14ac:dyDescent="0.2">
      <c r="A2230" s="289">
        <v>2262</v>
      </c>
      <c r="B2230" s="12" t="s">
        <v>12362</v>
      </c>
      <c r="C2230" s="289"/>
      <c r="D2230" s="85" t="s">
        <v>12360</v>
      </c>
      <c r="E2230" s="12" t="s">
        <v>12349</v>
      </c>
      <c r="F2230" s="9"/>
      <c r="G2230" s="285" t="s">
        <v>10465</v>
      </c>
      <c r="H2230" s="285" t="s">
        <v>10784</v>
      </c>
      <c r="I2230" s="224"/>
      <c r="J2230" s="285" t="s">
        <v>10461</v>
      </c>
      <c r="K2230" s="226">
        <v>44921</v>
      </c>
      <c r="L2230" s="224">
        <v>1220</v>
      </c>
      <c r="M2230" s="225"/>
      <c r="N2230" s="16">
        <v>12</v>
      </c>
      <c r="O2230" s="17">
        <v>89395.199999999997</v>
      </c>
      <c r="P2230" s="17">
        <v>0</v>
      </c>
      <c r="Q2230" s="17">
        <f t="shared" ref="Q2230" si="112">O2230-P2230</f>
        <v>89395.199999999997</v>
      </c>
      <c r="R2230" s="285" t="s">
        <v>10874</v>
      </c>
      <c r="S2230" s="14">
        <v>44914</v>
      </c>
      <c r="T2230" s="22" t="s">
        <v>12359</v>
      </c>
    </row>
    <row r="2231" spans="1:20" ht="83.45" customHeight="1" x14ac:dyDescent="0.2">
      <c r="A2231" s="289">
        <v>2263</v>
      </c>
      <c r="B2231" s="12" t="s">
        <v>12365</v>
      </c>
      <c r="C2231" s="289"/>
      <c r="D2231" s="85" t="s">
        <v>12363</v>
      </c>
      <c r="E2231" s="12" t="s">
        <v>12349</v>
      </c>
      <c r="F2231" s="9"/>
      <c r="G2231" s="285" t="s">
        <v>4296</v>
      </c>
      <c r="H2231" s="285" t="s">
        <v>10494</v>
      </c>
      <c r="I2231" s="224"/>
      <c r="J2231" s="285" t="s">
        <v>10461</v>
      </c>
      <c r="K2231" s="226">
        <v>44922</v>
      </c>
      <c r="L2231" s="224">
        <v>1222</v>
      </c>
      <c r="M2231" s="225"/>
      <c r="N2231" s="16">
        <v>1</v>
      </c>
      <c r="O2231" s="17">
        <v>30100000</v>
      </c>
      <c r="P2231" s="17">
        <v>0</v>
      </c>
      <c r="Q2231" s="17">
        <f t="shared" ref="Q2231:Q2233" si="113">O2231-P2231</f>
        <v>30100000</v>
      </c>
      <c r="R2231" s="285" t="s">
        <v>10456</v>
      </c>
      <c r="S2231" s="38">
        <v>44739</v>
      </c>
      <c r="T2231" s="14" t="s">
        <v>12364</v>
      </c>
    </row>
    <row r="2232" spans="1:20" ht="83.45" customHeight="1" x14ac:dyDescent="0.2">
      <c r="A2232" s="289">
        <v>2264</v>
      </c>
      <c r="B2232" s="12" t="s">
        <v>12366</v>
      </c>
      <c r="C2232" s="289"/>
      <c r="D2232" s="85" t="s">
        <v>12367</v>
      </c>
      <c r="E2232" s="12" t="s">
        <v>12349</v>
      </c>
      <c r="F2232" s="9"/>
      <c r="G2232" s="285" t="s">
        <v>4296</v>
      </c>
      <c r="H2232" s="285" t="s">
        <v>10494</v>
      </c>
      <c r="I2232" s="224"/>
      <c r="J2232" s="285" t="s">
        <v>10461</v>
      </c>
      <c r="K2232" s="226">
        <v>44922</v>
      </c>
      <c r="L2232" s="224">
        <v>1222</v>
      </c>
      <c r="M2232" s="225"/>
      <c r="N2232" s="16">
        <v>1</v>
      </c>
      <c r="O2232" s="17">
        <v>5100000</v>
      </c>
      <c r="P2232" s="17">
        <v>0</v>
      </c>
      <c r="Q2232" s="17">
        <f t="shared" si="113"/>
        <v>5100000</v>
      </c>
      <c r="R2232" s="285" t="s">
        <v>10456</v>
      </c>
      <c r="S2232" s="51">
        <v>44733</v>
      </c>
      <c r="T2232" s="14" t="s">
        <v>12368</v>
      </c>
    </row>
    <row r="2233" spans="1:20" ht="83.45" customHeight="1" x14ac:dyDescent="0.2">
      <c r="A2233" s="289">
        <v>2265</v>
      </c>
      <c r="B2233" s="12" t="s">
        <v>12370</v>
      </c>
      <c r="C2233" s="289"/>
      <c r="D2233" s="85" t="s">
        <v>12371</v>
      </c>
      <c r="E2233" s="12" t="s">
        <v>12349</v>
      </c>
      <c r="F2233" s="9"/>
      <c r="G2233" s="285" t="s">
        <v>9194</v>
      </c>
      <c r="H2233" s="285" t="s">
        <v>10499</v>
      </c>
      <c r="I2233" s="224"/>
      <c r="J2233" s="285" t="s">
        <v>10461</v>
      </c>
      <c r="K2233" s="226">
        <v>44924</v>
      </c>
      <c r="L2233" s="224">
        <v>1242</v>
      </c>
      <c r="M2233" s="225">
        <v>44893</v>
      </c>
      <c r="N2233" s="16">
        <v>1</v>
      </c>
      <c r="O2233" s="17">
        <v>55000</v>
      </c>
      <c r="P2233" s="17">
        <v>55000</v>
      </c>
      <c r="Q2233" s="17">
        <f t="shared" si="113"/>
        <v>0</v>
      </c>
      <c r="R2233" s="285" t="s">
        <v>11596</v>
      </c>
      <c r="S2233" s="51">
        <v>44886</v>
      </c>
      <c r="T2233" s="22">
        <v>56220220088</v>
      </c>
    </row>
    <row r="2234" spans="1:20" ht="89.25" customHeight="1" x14ac:dyDescent="0.2">
      <c r="A2234" s="289">
        <v>2275</v>
      </c>
      <c r="B2234" s="12" t="s">
        <v>12384</v>
      </c>
      <c r="C2234" s="18"/>
      <c r="D2234" s="85" t="s">
        <v>12385</v>
      </c>
      <c r="E2234" s="22" t="s">
        <v>12386</v>
      </c>
      <c r="F2234" s="27"/>
      <c r="G2234" s="285" t="s">
        <v>7981</v>
      </c>
      <c r="H2234" s="285" t="s">
        <v>10499</v>
      </c>
      <c r="I2234" s="289"/>
      <c r="J2234" s="285" t="s">
        <v>10461</v>
      </c>
      <c r="K2234" s="14"/>
      <c r="L2234" s="289"/>
      <c r="M2234" s="14"/>
      <c r="N2234" s="40">
        <v>1</v>
      </c>
      <c r="O2234" s="40">
        <v>59999</v>
      </c>
      <c r="P2234" s="40">
        <v>0</v>
      </c>
      <c r="Q2234" s="40">
        <f t="shared" ref="Q2234" si="114">O2234-P2234</f>
        <v>59999</v>
      </c>
      <c r="R2234" s="285" t="s">
        <v>10501</v>
      </c>
      <c r="S2234" s="14">
        <v>44909</v>
      </c>
      <c r="T2234" s="22" t="s">
        <v>12387</v>
      </c>
    </row>
    <row r="2235" spans="1:20" ht="147" customHeight="1" x14ac:dyDescent="0.2">
      <c r="A2235" s="289">
        <v>2276</v>
      </c>
      <c r="B2235" s="12" t="s">
        <v>12394</v>
      </c>
      <c r="C2235" s="18"/>
      <c r="D2235" s="85" t="s">
        <v>12395</v>
      </c>
      <c r="E2235" s="22" t="s">
        <v>12386</v>
      </c>
      <c r="F2235" s="27" t="s">
        <v>12396</v>
      </c>
      <c r="G2235" s="285" t="s">
        <v>4296</v>
      </c>
      <c r="H2235" s="285" t="s">
        <v>10494</v>
      </c>
      <c r="I2235" s="289"/>
      <c r="J2235" s="285" t="s">
        <v>10461</v>
      </c>
      <c r="K2235" s="14"/>
      <c r="L2235" s="289"/>
      <c r="M2235" s="14"/>
      <c r="N2235" s="40">
        <v>1</v>
      </c>
      <c r="O2235" s="40">
        <v>828650</v>
      </c>
      <c r="P2235" s="40">
        <v>0</v>
      </c>
      <c r="Q2235" s="40">
        <f t="shared" ref="Q2235" si="115">O2235-P2235</f>
        <v>828650</v>
      </c>
      <c r="R2235" s="285" t="s">
        <v>10501</v>
      </c>
      <c r="S2235" s="14">
        <v>44792</v>
      </c>
      <c r="T2235" s="22" t="s">
        <v>12397</v>
      </c>
    </row>
    <row r="2236" spans="1:20" ht="52.5" customHeight="1" x14ac:dyDescent="0.2">
      <c r="A2236" s="289">
        <v>2277</v>
      </c>
      <c r="B2236" s="12" t="s">
        <v>12398</v>
      </c>
      <c r="C2236" s="18"/>
      <c r="D2236" s="85" t="s">
        <v>5870</v>
      </c>
      <c r="E2236" s="22" t="s">
        <v>12386</v>
      </c>
      <c r="F2236" s="27" t="s">
        <v>12399</v>
      </c>
      <c r="G2236" s="285" t="s">
        <v>4296</v>
      </c>
      <c r="H2236" s="285" t="s">
        <v>10494</v>
      </c>
      <c r="I2236" s="289"/>
      <c r="J2236" s="285" t="s">
        <v>10461</v>
      </c>
      <c r="K2236" s="14"/>
      <c r="L2236" s="289"/>
      <c r="M2236" s="14"/>
      <c r="N2236" s="40">
        <v>1</v>
      </c>
      <c r="O2236" s="40">
        <v>63618.33</v>
      </c>
      <c r="P2236" s="40">
        <v>0</v>
      </c>
      <c r="Q2236" s="40">
        <f t="shared" ref="Q2236" si="116">O2236-P2236</f>
        <v>63618.33</v>
      </c>
      <c r="R2236" s="285" t="s">
        <v>10501</v>
      </c>
      <c r="S2236" s="14">
        <v>44903</v>
      </c>
      <c r="T2236" s="22" t="s">
        <v>12400</v>
      </c>
    </row>
    <row r="2237" spans="1:20" ht="17.25" customHeight="1" x14ac:dyDescent="0.2">
      <c r="N2237" s="108">
        <f>SUM(N8:N2236)</f>
        <v>3788</v>
      </c>
      <c r="O2237" s="107">
        <f>SUM(O8:O2236)</f>
        <v>177838508.16000006</v>
      </c>
    </row>
  </sheetData>
  <mergeCells count="18">
    <mergeCell ref="A1:B1"/>
    <mergeCell ref="B5:B6"/>
    <mergeCell ref="E5:E6"/>
    <mergeCell ref="A2:H2"/>
    <mergeCell ref="A3:F3"/>
    <mergeCell ref="G5:G6"/>
    <mergeCell ref="C5:C6"/>
    <mergeCell ref="D5:D6"/>
    <mergeCell ref="F5:F6"/>
    <mergeCell ref="A5:A6"/>
    <mergeCell ref="J3:K3"/>
    <mergeCell ref="O5:Q5"/>
    <mergeCell ref="H5:H6"/>
    <mergeCell ref="I5:I6"/>
    <mergeCell ref="M5:M6"/>
    <mergeCell ref="J5:L5"/>
    <mergeCell ref="N5:N6"/>
    <mergeCell ref="R5:T5"/>
  </mergeCells>
  <phoneticPr fontId="3" type="noConversion"/>
  <pageMargins left="0" right="0" top="0.78740157480314965" bottom="0" header="0.19685039370078741" footer="0.31496062992125984"/>
  <pageSetup paperSize="9" fitToHeight="24" orientation="landscape" r:id="rId1"/>
  <headerFooter alignWithMargins="0"/>
  <ignoredErrors>
    <ignoredError sqref="E2233 E2230:E2232" numberStoredAsText="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U1614"/>
  <sheetViews>
    <sheetView zoomScale="110" zoomScaleNormal="110" workbookViewId="0">
      <pane ySplit="5" topLeftCell="A1609" activePane="bottomLeft" state="frozen"/>
      <selection pane="bottomLeft" activeCell="O1614" sqref="O1614"/>
    </sheetView>
  </sheetViews>
  <sheetFormatPr defaultColWidth="9.140625" defaultRowHeight="12" x14ac:dyDescent="0.2"/>
  <cols>
    <col min="1" max="1" width="4.5703125" style="39" customWidth="1"/>
    <col min="2" max="2" width="9.140625" style="39" customWidth="1"/>
    <col min="3" max="3" width="10" style="39" customWidth="1"/>
    <col min="4" max="4" width="14" style="41" customWidth="1"/>
    <col min="5" max="5" width="11.28515625" style="284" customWidth="1"/>
    <col min="6" max="6" width="13" style="41" customWidth="1"/>
    <col min="7" max="7" width="13.85546875" style="39" customWidth="1"/>
    <col min="8" max="8" width="11" style="19" customWidth="1"/>
    <col min="9" max="9" width="7.140625" style="19" customWidth="1"/>
    <col min="10" max="10" width="12.5703125" style="284" customWidth="1"/>
    <col min="11" max="11" width="9.85546875" style="39" customWidth="1"/>
    <col min="12" max="12" width="8.85546875" style="43" customWidth="1"/>
    <col min="13" max="13" width="10.5703125" style="108" customWidth="1"/>
    <col min="14" max="14" width="9" style="108" customWidth="1"/>
    <col min="15" max="15" width="11.5703125" style="39" customWidth="1"/>
    <col min="16" max="16" width="11.140625" style="111" customWidth="1"/>
    <col min="17" max="17" width="13" style="111" customWidth="1"/>
    <col min="18" max="18" width="13.85546875" style="39" customWidth="1"/>
    <col min="19" max="19" width="11" style="39" customWidth="1"/>
    <col min="20" max="20" width="15.28515625" style="284" customWidth="1"/>
    <col min="21" max="21" width="9.85546875" style="19" bestFit="1" customWidth="1"/>
    <col min="22" max="16384" width="9.140625" style="19"/>
  </cols>
  <sheetData>
    <row r="1" spans="1:20" ht="17.25" customHeight="1" x14ac:dyDescent="0.2">
      <c r="A1" s="310" t="s">
        <v>1775</v>
      </c>
      <c r="B1" s="310"/>
    </row>
    <row r="2" spans="1:20" ht="14.25" x14ac:dyDescent="0.2">
      <c r="A2" s="312" t="s">
        <v>1878</v>
      </c>
      <c r="B2" s="312"/>
      <c r="C2" s="312"/>
      <c r="D2" s="312"/>
      <c r="E2" s="313"/>
      <c r="F2" s="313"/>
      <c r="G2" s="313"/>
      <c r="H2" s="312"/>
    </row>
    <row r="3" spans="1:20" ht="49.5" customHeight="1" x14ac:dyDescent="0.2">
      <c r="A3" s="316" t="s">
        <v>3972</v>
      </c>
      <c r="B3" s="316" t="s">
        <v>6165</v>
      </c>
      <c r="C3" s="316" t="s">
        <v>4298</v>
      </c>
      <c r="D3" s="316" t="s">
        <v>1995</v>
      </c>
      <c r="E3" s="316" t="s">
        <v>437</v>
      </c>
      <c r="F3" s="316" t="s">
        <v>438</v>
      </c>
      <c r="G3" s="316" t="s">
        <v>2417</v>
      </c>
      <c r="H3" s="316" t="s">
        <v>5331</v>
      </c>
      <c r="I3" s="316" t="s">
        <v>2418</v>
      </c>
      <c r="J3" s="316" t="s">
        <v>3130</v>
      </c>
      <c r="K3" s="316"/>
      <c r="L3" s="316"/>
      <c r="M3" s="316" t="s">
        <v>5405</v>
      </c>
      <c r="N3" s="876" t="s">
        <v>3637</v>
      </c>
      <c r="O3" s="317" t="s">
        <v>1184</v>
      </c>
      <c r="P3" s="317"/>
      <c r="Q3" s="317"/>
      <c r="R3" s="316" t="s">
        <v>6338</v>
      </c>
      <c r="S3" s="316"/>
      <c r="T3" s="316"/>
    </row>
    <row r="4" spans="1:20" ht="38.25" customHeight="1" x14ac:dyDescent="0.2">
      <c r="A4" s="316"/>
      <c r="B4" s="316"/>
      <c r="C4" s="316"/>
      <c r="D4" s="316"/>
      <c r="E4" s="316"/>
      <c r="F4" s="316"/>
      <c r="G4" s="316"/>
      <c r="H4" s="316"/>
      <c r="I4" s="316"/>
      <c r="J4" s="285" t="s">
        <v>3771</v>
      </c>
      <c r="K4" s="285" t="s">
        <v>1598</v>
      </c>
      <c r="L4" s="22" t="s">
        <v>3131</v>
      </c>
      <c r="M4" s="316"/>
      <c r="N4" s="876"/>
      <c r="O4" s="285" t="s">
        <v>38</v>
      </c>
      <c r="P4" s="285" t="s">
        <v>5794</v>
      </c>
      <c r="Q4" s="285" t="s">
        <v>2252</v>
      </c>
      <c r="R4" s="289" t="s">
        <v>3771</v>
      </c>
      <c r="S4" s="289" t="s">
        <v>1598</v>
      </c>
      <c r="T4" s="285" t="s">
        <v>3131</v>
      </c>
    </row>
    <row r="5" spans="1:20" s="39" customFormat="1" ht="15" customHeight="1" x14ac:dyDescent="0.2">
      <c r="A5" s="20">
        <v>1</v>
      </c>
      <c r="B5" s="20">
        <v>2</v>
      </c>
      <c r="C5" s="20">
        <v>3</v>
      </c>
      <c r="D5" s="37">
        <v>4</v>
      </c>
      <c r="E5" s="37">
        <v>5</v>
      </c>
      <c r="F5" s="37">
        <v>6</v>
      </c>
      <c r="G5" s="20">
        <v>7</v>
      </c>
      <c r="H5" s="20">
        <v>8</v>
      </c>
      <c r="I5" s="20">
        <v>9</v>
      </c>
      <c r="J5" s="37">
        <v>10</v>
      </c>
      <c r="K5" s="20">
        <v>11</v>
      </c>
      <c r="L5" s="60">
        <v>12</v>
      </c>
      <c r="M5" s="60">
        <v>13</v>
      </c>
      <c r="N5" s="60">
        <v>14</v>
      </c>
      <c r="O5" s="20">
        <v>15</v>
      </c>
      <c r="P5" s="20">
        <v>16</v>
      </c>
      <c r="Q5" s="20">
        <v>17</v>
      </c>
      <c r="R5" s="20">
        <v>18</v>
      </c>
      <c r="S5" s="20">
        <v>19</v>
      </c>
      <c r="T5" s="37">
        <v>20</v>
      </c>
    </row>
    <row r="6" spans="1:20" ht="75" customHeight="1" x14ac:dyDescent="0.2">
      <c r="A6" s="289">
        <v>1</v>
      </c>
      <c r="B6" s="12" t="s">
        <v>7349</v>
      </c>
      <c r="C6" s="289"/>
      <c r="D6" s="9" t="s">
        <v>5487</v>
      </c>
      <c r="E6" s="22" t="s">
        <v>3506</v>
      </c>
      <c r="F6" s="9" t="s">
        <v>2875</v>
      </c>
      <c r="G6" s="285" t="s">
        <v>7983</v>
      </c>
      <c r="H6" s="285" t="s">
        <v>5127</v>
      </c>
      <c r="I6" s="285"/>
      <c r="J6" s="285" t="s">
        <v>3136</v>
      </c>
      <c r="K6" s="14">
        <v>39412</v>
      </c>
      <c r="L6" s="22" t="s">
        <v>439</v>
      </c>
      <c r="M6" s="15">
        <v>39872</v>
      </c>
      <c r="N6" s="16">
        <v>1</v>
      </c>
      <c r="O6" s="40">
        <v>21336</v>
      </c>
      <c r="P6" s="40">
        <v>21336</v>
      </c>
      <c r="Q6" s="40">
        <f t="shared" ref="Q6:Q33" si="0">O6-P6</f>
        <v>0</v>
      </c>
      <c r="R6" s="40"/>
      <c r="S6" s="28"/>
      <c r="T6" s="285"/>
    </row>
    <row r="7" spans="1:20" ht="65.25" customHeight="1" x14ac:dyDescent="0.2">
      <c r="A7" s="289">
        <v>2</v>
      </c>
      <c r="B7" s="12" t="s">
        <v>5884</v>
      </c>
      <c r="C7" s="289"/>
      <c r="D7" s="9" t="s">
        <v>2250</v>
      </c>
      <c r="E7" s="22" t="s">
        <v>3506</v>
      </c>
      <c r="F7" s="9" t="s">
        <v>809</v>
      </c>
      <c r="G7" s="285" t="s">
        <v>7983</v>
      </c>
      <c r="H7" s="285" t="s">
        <v>5127</v>
      </c>
      <c r="I7" s="285"/>
      <c r="J7" s="285" t="s">
        <v>3136</v>
      </c>
      <c r="K7" s="14">
        <v>39412</v>
      </c>
      <c r="L7" s="22" t="s">
        <v>439</v>
      </c>
      <c r="M7" s="51">
        <v>39872</v>
      </c>
      <c r="N7" s="16">
        <v>1</v>
      </c>
      <c r="O7" s="40">
        <v>14224</v>
      </c>
      <c r="P7" s="40">
        <v>14224</v>
      </c>
      <c r="Q7" s="40">
        <f t="shared" si="0"/>
        <v>0</v>
      </c>
      <c r="R7" s="40"/>
      <c r="S7" s="28"/>
      <c r="T7" s="285"/>
    </row>
    <row r="8" spans="1:20" ht="65.25" customHeight="1" x14ac:dyDescent="0.2">
      <c r="A8" s="289">
        <v>3</v>
      </c>
      <c r="B8" s="12" t="s">
        <v>5885</v>
      </c>
      <c r="C8" s="289"/>
      <c r="D8" s="9" t="s">
        <v>3397</v>
      </c>
      <c r="E8" s="22" t="s">
        <v>2944</v>
      </c>
      <c r="F8" s="9" t="s">
        <v>523</v>
      </c>
      <c r="G8" s="285" t="s">
        <v>8293</v>
      </c>
      <c r="H8" s="49" t="s">
        <v>5127</v>
      </c>
      <c r="I8" s="285"/>
      <c r="J8" s="285" t="s">
        <v>3136</v>
      </c>
      <c r="K8" s="14">
        <v>39162</v>
      </c>
      <c r="L8" s="22">
        <v>206</v>
      </c>
      <c r="M8" s="15">
        <v>41226</v>
      </c>
      <c r="N8" s="16">
        <v>1</v>
      </c>
      <c r="O8" s="40">
        <v>6200.14</v>
      </c>
      <c r="P8" s="40">
        <v>6200.14</v>
      </c>
      <c r="Q8" s="40">
        <f t="shared" si="0"/>
        <v>0</v>
      </c>
      <c r="R8" s="285" t="s">
        <v>2829</v>
      </c>
      <c r="S8" s="289" t="s">
        <v>57</v>
      </c>
      <c r="T8" s="285">
        <v>41</v>
      </c>
    </row>
    <row r="9" spans="1:20" ht="74.25" customHeight="1" x14ac:dyDescent="0.2">
      <c r="A9" s="289">
        <v>4</v>
      </c>
      <c r="B9" s="164" t="s">
        <v>5886</v>
      </c>
      <c r="C9" s="289"/>
      <c r="D9" s="27" t="s">
        <v>1052</v>
      </c>
      <c r="E9" s="22" t="s">
        <v>2567</v>
      </c>
      <c r="F9" s="9" t="s">
        <v>3343</v>
      </c>
      <c r="G9" s="285" t="s">
        <v>8661</v>
      </c>
      <c r="H9" s="285" t="s">
        <v>5127</v>
      </c>
      <c r="I9" s="18"/>
      <c r="J9" s="285" t="s">
        <v>3132</v>
      </c>
      <c r="K9" s="15">
        <v>40337</v>
      </c>
      <c r="L9" s="22" t="s">
        <v>2318</v>
      </c>
      <c r="M9" s="15">
        <v>39934</v>
      </c>
      <c r="N9" s="16">
        <v>1</v>
      </c>
      <c r="O9" s="40">
        <v>5786.08</v>
      </c>
      <c r="P9" s="40">
        <v>5786.08</v>
      </c>
      <c r="Q9" s="40">
        <f t="shared" si="0"/>
        <v>0</v>
      </c>
      <c r="R9" s="17" t="s">
        <v>464</v>
      </c>
      <c r="S9" s="285" t="s">
        <v>465</v>
      </c>
      <c r="T9" s="285">
        <v>288</v>
      </c>
    </row>
    <row r="10" spans="1:20" ht="53.25" customHeight="1" x14ac:dyDescent="0.2">
      <c r="A10" s="289">
        <v>5</v>
      </c>
      <c r="B10" s="12" t="s">
        <v>5887</v>
      </c>
      <c r="C10" s="289"/>
      <c r="D10" s="9" t="s">
        <v>4678</v>
      </c>
      <c r="E10" s="9"/>
      <c r="F10" s="9" t="s">
        <v>1336</v>
      </c>
      <c r="G10" s="285" t="s">
        <v>7983</v>
      </c>
      <c r="H10" s="285" t="s">
        <v>5127</v>
      </c>
      <c r="I10" s="18"/>
      <c r="J10" s="285" t="s">
        <v>3136</v>
      </c>
      <c r="K10" s="14">
        <v>39412</v>
      </c>
      <c r="L10" s="22" t="s">
        <v>439</v>
      </c>
      <c r="M10" s="15">
        <v>39872</v>
      </c>
      <c r="N10" s="16">
        <v>1</v>
      </c>
      <c r="O10" s="40">
        <v>7848.6</v>
      </c>
      <c r="P10" s="40">
        <v>7848.6</v>
      </c>
      <c r="Q10" s="40">
        <f t="shared" si="0"/>
        <v>0</v>
      </c>
      <c r="R10" s="40"/>
      <c r="S10" s="289"/>
      <c r="T10" s="285"/>
    </row>
    <row r="11" spans="1:20" ht="50.25" customHeight="1" x14ac:dyDescent="0.2">
      <c r="A11" s="289">
        <v>6</v>
      </c>
      <c r="B11" s="12" t="s">
        <v>5888</v>
      </c>
      <c r="C11" s="289"/>
      <c r="D11" s="9" t="s">
        <v>5164</v>
      </c>
      <c r="E11" s="9"/>
      <c r="F11" s="9" t="s">
        <v>1337</v>
      </c>
      <c r="G11" s="285" t="s">
        <v>7983</v>
      </c>
      <c r="H11" s="285" t="s">
        <v>5127</v>
      </c>
      <c r="I11" s="18"/>
      <c r="J11" s="285" t="s">
        <v>3136</v>
      </c>
      <c r="K11" s="14">
        <v>39412</v>
      </c>
      <c r="L11" s="22" t="s">
        <v>439</v>
      </c>
      <c r="M11" s="15">
        <v>39872</v>
      </c>
      <c r="N11" s="16">
        <v>1</v>
      </c>
      <c r="O11" s="40">
        <v>15110.7</v>
      </c>
      <c r="P11" s="40">
        <v>15110.7</v>
      </c>
      <c r="Q11" s="40">
        <f t="shared" si="0"/>
        <v>0</v>
      </c>
      <c r="R11" s="40"/>
      <c r="S11" s="289"/>
      <c r="T11" s="285"/>
    </row>
    <row r="12" spans="1:20" ht="50.25" customHeight="1" x14ac:dyDescent="0.2">
      <c r="A12" s="289">
        <v>7</v>
      </c>
      <c r="B12" s="12" t="s">
        <v>5889</v>
      </c>
      <c r="C12" s="289"/>
      <c r="D12" s="9" t="s">
        <v>6174</v>
      </c>
      <c r="E12" s="9"/>
      <c r="F12" s="9" t="s">
        <v>2751</v>
      </c>
      <c r="G12" s="285" t="s">
        <v>7983</v>
      </c>
      <c r="H12" s="285" t="s">
        <v>5127</v>
      </c>
      <c r="I12" s="18"/>
      <c r="J12" s="285" t="s">
        <v>3136</v>
      </c>
      <c r="K12" s="14">
        <v>39412</v>
      </c>
      <c r="L12" s="22" t="s">
        <v>439</v>
      </c>
      <c r="M12" s="15">
        <v>39872</v>
      </c>
      <c r="N12" s="16">
        <v>1</v>
      </c>
      <c r="O12" s="40">
        <v>8352.7900000000009</v>
      </c>
      <c r="P12" s="40">
        <v>8352.7900000000009</v>
      </c>
      <c r="Q12" s="40">
        <f t="shared" si="0"/>
        <v>0</v>
      </c>
      <c r="R12" s="40"/>
      <c r="S12" s="289"/>
      <c r="T12" s="285"/>
    </row>
    <row r="13" spans="1:20" ht="53.25" customHeight="1" x14ac:dyDescent="0.2">
      <c r="A13" s="289">
        <v>8</v>
      </c>
      <c r="B13" s="12" t="s">
        <v>1896</v>
      </c>
      <c r="C13" s="289"/>
      <c r="D13" s="9" t="s">
        <v>1946</v>
      </c>
      <c r="E13" s="285">
        <v>2005</v>
      </c>
      <c r="F13" s="9" t="s">
        <v>2775</v>
      </c>
      <c r="G13" s="285" t="s">
        <v>7983</v>
      </c>
      <c r="H13" s="285" t="s">
        <v>5127</v>
      </c>
      <c r="I13" s="18"/>
      <c r="J13" s="285" t="s">
        <v>3136</v>
      </c>
      <c r="K13" s="14">
        <v>39412</v>
      </c>
      <c r="L13" s="22" t="s">
        <v>439</v>
      </c>
      <c r="M13" s="15">
        <v>39872</v>
      </c>
      <c r="N13" s="16">
        <v>1</v>
      </c>
      <c r="O13" s="40">
        <v>7292.05</v>
      </c>
      <c r="P13" s="40">
        <v>7292.05</v>
      </c>
      <c r="Q13" s="40">
        <f t="shared" si="0"/>
        <v>0</v>
      </c>
      <c r="R13" s="17" t="s">
        <v>5071</v>
      </c>
      <c r="S13" s="22" t="s">
        <v>3966</v>
      </c>
      <c r="T13" s="285">
        <v>1</v>
      </c>
    </row>
    <row r="14" spans="1:20" ht="51.75" customHeight="1" x14ac:dyDescent="0.2">
      <c r="A14" s="289">
        <v>9</v>
      </c>
      <c r="B14" s="12" t="s">
        <v>1897</v>
      </c>
      <c r="C14" s="289"/>
      <c r="D14" s="9" t="s">
        <v>2181</v>
      </c>
      <c r="E14" s="285">
        <v>2005</v>
      </c>
      <c r="F14" s="9" t="s">
        <v>1053</v>
      </c>
      <c r="G14" s="285" t="s">
        <v>7983</v>
      </c>
      <c r="H14" s="285" t="s">
        <v>5127</v>
      </c>
      <c r="I14" s="18"/>
      <c r="J14" s="285" t="s">
        <v>3136</v>
      </c>
      <c r="K14" s="14">
        <v>39412</v>
      </c>
      <c r="L14" s="22" t="s">
        <v>439</v>
      </c>
      <c r="M14" s="15">
        <v>39872</v>
      </c>
      <c r="N14" s="16">
        <v>1</v>
      </c>
      <c r="O14" s="40">
        <v>7490</v>
      </c>
      <c r="P14" s="40">
        <v>7490</v>
      </c>
      <c r="Q14" s="40">
        <f t="shared" si="0"/>
        <v>0</v>
      </c>
      <c r="R14" s="17" t="s">
        <v>5071</v>
      </c>
      <c r="S14" s="22"/>
      <c r="T14" s="22" t="s">
        <v>6147</v>
      </c>
    </row>
    <row r="15" spans="1:20" ht="60" customHeight="1" x14ac:dyDescent="0.2">
      <c r="A15" s="289">
        <v>11</v>
      </c>
      <c r="B15" s="12" t="s">
        <v>1898</v>
      </c>
      <c r="C15" s="289"/>
      <c r="D15" s="9" t="s">
        <v>3350</v>
      </c>
      <c r="E15" s="9"/>
      <c r="F15" s="9" t="s">
        <v>2776</v>
      </c>
      <c r="G15" s="285" t="s">
        <v>7983</v>
      </c>
      <c r="H15" s="285" t="s">
        <v>5127</v>
      </c>
      <c r="I15" s="18"/>
      <c r="J15" s="285" t="s">
        <v>3136</v>
      </c>
      <c r="K15" s="14">
        <v>39412</v>
      </c>
      <c r="L15" s="22" t="s">
        <v>439</v>
      </c>
      <c r="M15" s="15">
        <v>39872</v>
      </c>
      <c r="N15" s="16">
        <v>1</v>
      </c>
      <c r="O15" s="40">
        <v>17337.599999999999</v>
      </c>
      <c r="P15" s="40">
        <v>17337.599999999999</v>
      </c>
      <c r="Q15" s="40">
        <f t="shared" si="0"/>
        <v>0</v>
      </c>
      <c r="R15" s="17"/>
      <c r="S15" s="289"/>
      <c r="T15" s="285"/>
    </row>
    <row r="16" spans="1:20" ht="52.5" customHeight="1" x14ac:dyDescent="0.2">
      <c r="A16" s="289">
        <v>12</v>
      </c>
      <c r="B16" s="12" t="s">
        <v>1899</v>
      </c>
      <c r="C16" s="289"/>
      <c r="D16" s="9" t="s">
        <v>986</v>
      </c>
      <c r="E16" s="9"/>
      <c r="F16" s="9" t="s">
        <v>5456</v>
      </c>
      <c r="G16" s="285" t="s">
        <v>7983</v>
      </c>
      <c r="H16" s="285" t="s">
        <v>5127</v>
      </c>
      <c r="I16" s="18"/>
      <c r="J16" s="285" t="s">
        <v>3136</v>
      </c>
      <c r="K16" s="14">
        <v>39412</v>
      </c>
      <c r="L16" s="22" t="s">
        <v>439</v>
      </c>
      <c r="M16" s="51">
        <v>39872</v>
      </c>
      <c r="N16" s="16">
        <v>1</v>
      </c>
      <c r="O16" s="40">
        <v>7254</v>
      </c>
      <c r="P16" s="40">
        <v>7254</v>
      </c>
      <c r="Q16" s="40">
        <f t="shared" si="0"/>
        <v>0</v>
      </c>
      <c r="R16" s="17"/>
      <c r="S16" s="289"/>
      <c r="T16" s="285"/>
    </row>
    <row r="17" spans="1:20" ht="50.25" customHeight="1" x14ac:dyDescent="0.2">
      <c r="A17" s="289">
        <v>13</v>
      </c>
      <c r="B17" s="12" t="s">
        <v>1900</v>
      </c>
      <c r="C17" s="289"/>
      <c r="D17" s="9" t="s">
        <v>11813</v>
      </c>
      <c r="E17" s="9"/>
      <c r="F17" s="9" t="s">
        <v>1572</v>
      </c>
      <c r="G17" s="285" t="s">
        <v>7983</v>
      </c>
      <c r="H17" s="285" t="s">
        <v>5127</v>
      </c>
      <c r="I17" s="18"/>
      <c r="J17" s="285" t="s">
        <v>3136</v>
      </c>
      <c r="K17" s="14">
        <v>39412</v>
      </c>
      <c r="L17" s="22" t="s">
        <v>439</v>
      </c>
      <c r="M17" s="51">
        <v>39872</v>
      </c>
      <c r="N17" s="16">
        <v>1</v>
      </c>
      <c r="O17" s="40">
        <v>10236.15</v>
      </c>
      <c r="P17" s="40">
        <v>10236.15</v>
      </c>
      <c r="Q17" s="40">
        <f t="shared" si="0"/>
        <v>0</v>
      </c>
      <c r="R17" s="17"/>
      <c r="S17" s="289"/>
      <c r="T17" s="285"/>
    </row>
    <row r="18" spans="1:20" ht="49.5" customHeight="1" x14ac:dyDescent="0.2">
      <c r="A18" s="289">
        <v>14</v>
      </c>
      <c r="B18" s="12" t="s">
        <v>1901</v>
      </c>
      <c r="C18" s="289"/>
      <c r="D18" s="9" t="s">
        <v>2969</v>
      </c>
      <c r="E18" s="9"/>
      <c r="F18" s="9" t="s">
        <v>5457</v>
      </c>
      <c r="G18" s="285" t="s">
        <v>7983</v>
      </c>
      <c r="H18" s="285" t="s">
        <v>5127</v>
      </c>
      <c r="I18" s="18"/>
      <c r="J18" s="285" t="s">
        <v>3136</v>
      </c>
      <c r="K18" s="14">
        <v>39412</v>
      </c>
      <c r="L18" s="22" t="s">
        <v>439</v>
      </c>
      <c r="M18" s="51">
        <v>39872</v>
      </c>
      <c r="N18" s="16">
        <v>1</v>
      </c>
      <c r="O18" s="40">
        <v>7620</v>
      </c>
      <c r="P18" s="40">
        <v>7620</v>
      </c>
      <c r="Q18" s="40">
        <f t="shared" si="0"/>
        <v>0</v>
      </c>
      <c r="R18" s="17"/>
      <c r="S18" s="289"/>
      <c r="T18" s="285"/>
    </row>
    <row r="19" spans="1:20" ht="35.25" customHeight="1" x14ac:dyDescent="0.2">
      <c r="A19" s="289">
        <v>15</v>
      </c>
      <c r="B19" s="12" t="s">
        <v>5601</v>
      </c>
      <c r="C19" s="289"/>
      <c r="D19" s="114" t="s">
        <v>5693</v>
      </c>
      <c r="E19" s="115" t="s">
        <v>5460</v>
      </c>
      <c r="F19" s="114" t="s">
        <v>5458</v>
      </c>
      <c r="G19" s="56" t="s">
        <v>101</v>
      </c>
      <c r="H19" s="285" t="s">
        <v>5127</v>
      </c>
      <c r="I19" s="18"/>
      <c r="J19" s="285" t="s">
        <v>3136</v>
      </c>
      <c r="K19" s="15">
        <v>39262</v>
      </c>
      <c r="L19" s="115" t="s">
        <v>2319</v>
      </c>
      <c r="M19" s="116">
        <v>41000</v>
      </c>
      <c r="N19" s="16">
        <v>1</v>
      </c>
      <c r="O19" s="117">
        <v>13845.65</v>
      </c>
      <c r="P19" s="40">
        <v>13845.65</v>
      </c>
      <c r="Q19" s="40">
        <f t="shared" si="0"/>
        <v>0</v>
      </c>
      <c r="R19" s="117"/>
      <c r="S19" s="115"/>
      <c r="T19" s="115"/>
    </row>
    <row r="20" spans="1:20" ht="35.25" customHeight="1" x14ac:dyDescent="0.2">
      <c r="A20" s="289">
        <v>16</v>
      </c>
      <c r="B20" s="12" t="s">
        <v>2077</v>
      </c>
      <c r="C20" s="289"/>
      <c r="D20" s="114" t="s">
        <v>2204</v>
      </c>
      <c r="E20" s="115" t="s">
        <v>6104</v>
      </c>
      <c r="F20" s="114" t="s">
        <v>5459</v>
      </c>
      <c r="G20" s="56" t="s">
        <v>101</v>
      </c>
      <c r="H20" s="285" t="s">
        <v>5127</v>
      </c>
      <c r="I20" s="18"/>
      <c r="J20" s="285" t="s">
        <v>3136</v>
      </c>
      <c r="K20" s="15">
        <v>39262</v>
      </c>
      <c r="L20" s="115" t="s">
        <v>2319</v>
      </c>
      <c r="M20" s="116">
        <v>41000</v>
      </c>
      <c r="N20" s="16">
        <v>1</v>
      </c>
      <c r="O20" s="117">
        <v>13023.36</v>
      </c>
      <c r="P20" s="40">
        <v>13023.36</v>
      </c>
      <c r="Q20" s="40">
        <f t="shared" si="0"/>
        <v>0</v>
      </c>
      <c r="R20" s="117"/>
      <c r="S20" s="115"/>
      <c r="T20" s="115"/>
    </row>
    <row r="21" spans="1:20" ht="35.25" customHeight="1" x14ac:dyDescent="0.2">
      <c r="A21" s="289">
        <v>17</v>
      </c>
      <c r="B21" s="12" t="s">
        <v>315</v>
      </c>
      <c r="C21" s="289"/>
      <c r="D21" s="114" t="s">
        <v>5227</v>
      </c>
      <c r="E21" s="56">
        <v>2001</v>
      </c>
      <c r="F21" s="114" t="s">
        <v>6553</v>
      </c>
      <c r="G21" s="56" t="s">
        <v>101</v>
      </c>
      <c r="H21" s="285" t="s">
        <v>5127</v>
      </c>
      <c r="I21" s="18"/>
      <c r="J21" s="285" t="s">
        <v>3136</v>
      </c>
      <c r="K21" s="15">
        <v>39262</v>
      </c>
      <c r="L21" s="115" t="s">
        <v>2319</v>
      </c>
      <c r="M21" s="116">
        <v>41198</v>
      </c>
      <c r="N21" s="16">
        <v>1</v>
      </c>
      <c r="O21" s="117">
        <v>24034.5</v>
      </c>
      <c r="P21" s="40">
        <v>24034.5</v>
      </c>
      <c r="Q21" s="40">
        <f t="shared" si="0"/>
        <v>0</v>
      </c>
      <c r="R21" s="117"/>
      <c r="S21" s="115"/>
      <c r="T21" s="115"/>
    </row>
    <row r="22" spans="1:20" ht="54" customHeight="1" x14ac:dyDescent="0.2">
      <c r="A22" s="289">
        <v>18</v>
      </c>
      <c r="B22" s="12" t="s">
        <v>316</v>
      </c>
      <c r="C22" s="289" t="s">
        <v>5274</v>
      </c>
      <c r="D22" s="9" t="s">
        <v>4691</v>
      </c>
      <c r="E22" s="22" t="s">
        <v>6105</v>
      </c>
      <c r="F22" s="9" t="s">
        <v>2902</v>
      </c>
      <c r="G22" s="285" t="s">
        <v>7979</v>
      </c>
      <c r="H22" s="285" t="s">
        <v>5127</v>
      </c>
      <c r="I22" s="18"/>
      <c r="J22" s="285" t="s">
        <v>3136</v>
      </c>
      <c r="K22" s="15">
        <v>39412</v>
      </c>
      <c r="L22" s="22">
        <v>895</v>
      </c>
      <c r="M22" s="15">
        <v>39814</v>
      </c>
      <c r="N22" s="16">
        <v>1</v>
      </c>
      <c r="O22" s="40">
        <v>15078.81</v>
      </c>
      <c r="P22" s="40">
        <v>15078.81</v>
      </c>
      <c r="Q22" s="40">
        <f t="shared" si="0"/>
        <v>0</v>
      </c>
      <c r="R22" s="285" t="s">
        <v>6058</v>
      </c>
      <c r="S22" s="22" t="s">
        <v>3968</v>
      </c>
      <c r="T22" s="285" t="s">
        <v>1029</v>
      </c>
    </row>
    <row r="23" spans="1:20" ht="54" customHeight="1" x14ac:dyDescent="0.2">
      <c r="A23" s="289">
        <v>19</v>
      </c>
      <c r="B23" s="12" t="s">
        <v>317</v>
      </c>
      <c r="C23" s="289" t="s">
        <v>5274</v>
      </c>
      <c r="D23" s="9" t="s">
        <v>1672</v>
      </c>
      <c r="E23" s="285">
        <v>1986</v>
      </c>
      <c r="F23" s="9" t="s">
        <v>2903</v>
      </c>
      <c r="G23" s="285" t="s">
        <v>7979</v>
      </c>
      <c r="H23" s="285" t="s">
        <v>5127</v>
      </c>
      <c r="I23" s="18"/>
      <c r="J23" s="285" t="s">
        <v>3136</v>
      </c>
      <c r="K23" s="15">
        <v>39412</v>
      </c>
      <c r="L23" s="22">
        <v>895</v>
      </c>
      <c r="M23" s="15">
        <v>39814</v>
      </c>
      <c r="N23" s="16">
        <v>1</v>
      </c>
      <c r="O23" s="40">
        <v>13179.93</v>
      </c>
      <c r="P23" s="40">
        <v>13179.93</v>
      </c>
      <c r="Q23" s="40">
        <f t="shared" si="0"/>
        <v>0</v>
      </c>
      <c r="R23" s="285" t="s">
        <v>6058</v>
      </c>
      <c r="S23" s="22" t="s">
        <v>3968</v>
      </c>
      <c r="T23" s="285" t="s">
        <v>1029</v>
      </c>
    </row>
    <row r="24" spans="1:20" ht="54" customHeight="1" x14ac:dyDescent="0.2">
      <c r="A24" s="289">
        <v>20</v>
      </c>
      <c r="B24" s="12" t="s">
        <v>318</v>
      </c>
      <c r="C24" s="289" t="s">
        <v>5274</v>
      </c>
      <c r="D24" s="9" t="s">
        <v>11139</v>
      </c>
      <c r="E24" s="285">
        <v>1992</v>
      </c>
      <c r="F24" s="9" t="s">
        <v>2904</v>
      </c>
      <c r="G24" s="285" t="s">
        <v>7982</v>
      </c>
      <c r="H24" s="285" t="s">
        <v>5127</v>
      </c>
      <c r="I24" s="18"/>
      <c r="J24" s="285" t="s">
        <v>3136</v>
      </c>
      <c r="K24" s="15">
        <v>39240</v>
      </c>
      <c r="L24" s="22" t="s">
        <v>2321</v>
      </c>
      <c r="M24" s="15">
        <v>41244</v>
      </c>
      <c r="N24" s="16">
        <v>1</v>
      </c>
      <c r="O24" s="40">
        <v>25976.73</v>
      </c>
      <c r="P24" s="40">
        <v>25976.73</v>
      </c>
      <c r="Q24" s="40">
        <f t="shared" si="0"/>
        <v>0</v>
      </c>
      <c r="R24" s="285" t="s">
        <v>6058</v>
      </c>
      <c r="S24" s="22" t="s">
        <v>3968</v>
      </c>
      <c r="T24" s="285" t="s">
        <v>1029</v>
      </c>
    </row>
    <row r="25" spans="1:20" ht="54" customHeight="1" x14ac:dyDescent="0.2">
      <c r="A25" s="289">
        <v>21</v>
      </c>
      <c r="B25" s="12" t="s">
        <v>6108</v>
      </c>
      <c r="C25" s="289"/>
      <c r="D25" s="9" t="s">
        <v>3179</v>
      </c>
      <c r="E25" s="285">
        <v>2004</v>
      </c>
      <c r="F25" s="9" t="s">
        <v>2905</v>
      </c>
      <c r="G25" s="285" t="s">
        <v>7982</v>
      </c>
      <c r="H25" s="285" t="s">
        <v>5127</v>
      </c>
      <c r="I25" s="18"/>
      <c r="J25" s="285" t="s">
        <v>3136</v>
      </c>
      <c r="K25" s="15">
        <v>39240</v>
      </c>
      <c r="L25" s="22" t="s">
        <v>2321</v>
      </c>
      <c r="M25" s="15">
        <v>40544</v>
      </c>
      <c r="N25" s="16">
        <v>1</v>
      </c>
      <c r="O25" s="40">
        <v>39587.519999999997</v>
      </c>
      <c r="P25" s="40">
        <v>39587.519999999997</v>
      </c>
      <c r="Q25" s="40">
        <f t="shared" si="0"/>
        <v>0</v>
      </c>
      <c r="R25" s="285" t="s">
        <v>6058</v>
      </c>
      <c r="S25" s="22" t="s">
        <v>3968</v>
      </c>
      <c r="T25" s="285" t="s">
        <v>1029</v>
      </c>
    </row>
    <row r="26" spans="1:20" ht="64.5" customHeight="1" x14ac:dyDescent="0.2">
      <c r="A26" s="289">
        <v>23</v>
      </c>
      <c r="B26" s="12" t="s">
        <v>6109</v>
      </c>
      <c r="C26" s="289"/>
      <c r="D26" s="9" t="s">
        <v>1913</v>
      </c>
      <c r="E26" s="22">
        <v>2007</v>
      </c>
      <c r="F26" s="9" t="s">
        <v>3284</v>
      </c>
      <c r="G26" s="285" t="s">
        <v>8293</v>
      </c>
      <c r="H26" s="285" t="s">
        <v>5127</v>
      </c>
      <c r="I26" s="18"/>
      <c r="J26" s="285" t="s">
        <v>3136</v>
      </c>
      <c r="K26" s="15">
        <v>39331</v>
      </c>
      <c r="L26" s="22" t="s">
        <v>2322</v>
      </c>
      <c r="M26" s="15">
        <v>39934</v>
      </c>
      <c r="N26" s="16">
        <v>1</v>
      </c>
      <c r="O26" s="40">
        <v>5000</v>
      </c>
      <c r="P26" s="40">
        <v>5000</v>
      </c>
      <c r="Q26" s="40">
        <f t="shared" si="0"/>
        <v>0</v>
      </c>
      <c r="R26" s="285" t="s">
        <v>3969</v>
      </c>
      <c r="S26" s="22" t="s">
        <v>3285</v>
      </c>
      <c r="T26" s="285" t="s">
        <v>1029</v>
      </c>
    </row>
    <row r="27" spans="1:20" ht="34.5" customHeight="1" x14ac:dyDescent="0.2">
      <c r="A27" s="289">
        <v>24</v>
      </c>
      <c r="B27" s="77" t="s">
        <v>5879</v>
      </c>
      <c r="C27" s="289"/>
      <c r="D27" s="114" t="s">
        <v>3331</v>
      </c>
      <c r="E27" s="115" t="s">
        <v>3196</v>
      </c>
      <c r="F27" s="114" t="s">
        <v>2906</v>
      </c>
      <c r="G27" s="56" t="s">
        <v>101</v>
      </c>
      <c r="H27" s="285" t="s">
        <v>5127</v>
      </c>
      <c r="I27" s="18"/>
      <c r="J27" s="285" t="s">
        <v>3136</v>
      </c>
      <c r="K27" s="15">
        <v>39262</v>
      </c>
      <c r="L27" s="115" t="s">
        <v>2319</v>
      </c>
      <c r="M27" s="116">
        <v>41198</v>
      </c>
      <c r="N27" s="16">
        <v>1</v>
      </c>
      <c r="O27" s="117">
        <v>24132.9</v>
      </c>
      <c r="P27" s="40">
        <v>19624.509999999998</v>
      </c>
      <c r="Q27" s="40">
        <f t="shared" si="0"/>
        <v>4508.3900000000031</v>
      </c>
      <c r="R27" s="285" t="s">
        <v>6058</v>
      </c>
      <c r="S27" s="22" t="s">
        <v>1702</v>
      </c>
      <c r="T27" s="285" t="s">
        <v>1029</v>
      </c>
    </row>
    <row r="28" spans="1:20" ht="30.75" customHeight="1" x14ac:dyDescent="0.2">
      <c r="A28" s="289">
        <v>25</v>
      </c>
      <c r="B28" s="77" t="s">
        <v>5666</v>
      </c>
      <c r="C28" s="289"/>
      <c r="D28" s="114" t="s">
        <v>6181</v>
      </c>
      <c r="E28" s="115" t="s">
        <v>3196</v>
      </c>
      <c r="F28" s="114" t="s">
        <v>6087</v>
      </c>
      <c r="G28" s="56" t="s">
        <v>101</v>
      </c>
      <c r="H28" s="285" t="s">
        <v>5127</v>
      </c>
      <c r="I28" s="18"/>
      <c r="J28" s="285" t="s">
        <v>3136</v>
      </c>
      <c r="K28" s="15">
        <v>39262</v>
      </c>
      <c r="L28" s="115" t="s">
        <v>2319</v>
      </c>
      <c r="M28" s="116">
        <v>41198</v>
      </c>
      <c r="N28" s="16">
        <v>1</v>
      </c>
      <c r="O28" s="117">
        <v>24153.5</v>
      </c>
      <c r="P28" s="40">
        <v>19642.07</v>
      </c>
      <c r="Q28" s="40">
        <f t="shared" si="0"/>
        <v>4511.43</v>
      </c>
      <c r="R28" s="285" t="s">
        <v>6058</v>
      </c>
      <c r="S28" s="22" t="s">
        <v>1702</v>
      </c>
      <c r="T28" s="285" t="s">
        <v>1029</v>
      </c>
    </row>
    <row r="29" spans="1:20" ht="63" customHeight="1" x14ac:dyDescent="0.2">
      <c r="A29" s="289">
        <v>26</v>
      </c>
      <c r="B29" s="77" t="s">
        <v>5667</v>
      </c>
      <c r="C29" s="289"/>
      <c r="D29" s="9" t="s">
        <v>3155</v>
      </c>
      <c r="E29" s="22" t="s">
        <v>4977</v>
      </c>
      <c r="F29" s="9" t="s">
        <v>3327</v>
      </c>
      <c r="G29" s="285" t="s">
        <v>8293</v>
      </c>
      <c r="H29" s="285" t="s">
        <v>5127</v>
      </c>
      <c r="I29" s="18"/>
      <c r="J29" s="285" t="s">
        <v>3136</v>
      </c>
      <c r="K29" s="12" t="s">
        <v>4125</v>
      </c>
      <c r="L29" s="22">
        <v>206</v>
      </c>
      <c r="M29" s="15">
        <v>39934</v>
      </c>
      <c r="N29" s="16">
        <v>1</v>
      </c>
      <c r="O29" s="40">
        <v>14240</v>
      </c>
      <c r="P29" s="40">
        <v>14240</v>
      </c>
      <c r="Q29" s="40">
        <f t="shared" si="0"/>
        <v>0</v>
      </c>
      <c r="R29" s="285" t="s">
        <v>5071</v>
      </c>
      <c r="S29" s="15">
        <v>39233</v>
      </c>
      <c r="T29" s="285">
        <v>3105</v>
      </c>
    </row>
    <row r="30" spans="1:20" ht="30.75" customHeight="1" x14ac:dyDescent="0.2">
      <c r="A30" s="289">
        <v>27</v>
      </c>
      <c r="B30" s="77" t="s">
        <v>5668</v>
      </c>
      <c r="C30" s="289"/>
      <c r="D30" s="114" t="s">
        <v>4922</v>
      </c>
      <c r="E30" s="22" t="s">
        <v>2742</v>
      </c>
      <c r="F30" s="114" t="s">
        <v>5132</v>
      </c>
      <c r="G30" s="56" t="s">
        <v>101</v>
      </c>
      <c r="H30" s="285" t="s">
        <v>5127</v>
      </c>
      <c r="I30" s="18"/>
      <c r="J30" s="285"/>
      <c r="K30" s="12"/>
      <c r="L30" s="115"/>
      <c r="M30" s="116">
        <v>41000</v>
      </c>
      <c r="N30" s="16">
        <v>1</v>
      </c>
      <c r="O30" s="117">
        <v>39000</v>
      </c>
      <c r="P30" s="40">
        <v>39000</v>
      </c>
      <c r="Q30" s="40">
        <f t="shared" si="0"/>
        <v>0</v>
      </c>
      <c r="R30" s="22"/>
      <c r="S30" s="22"/>
      <c r="T30" s="285"/>
    </row>
    <row r="31" spans="1:20" ht="30.75" customHeight="1" x14ac:dyDescent="0.2">
      <c r="A31" s="289">
        <v>28</v>
      </c>
      <c r="B31" s="77" t="s">
        <v>5669</v>
      </c>
      <c r="C31" s="289"/>
      <c r="D31" s="114" t="s">
        <v>4107</v>
      </c>
      <c r="E31" s="22" t="s">
        <v>2742</v>
      </c>
      <c r="F31" s="114" t="s">
        <v>5133</v>
      </c>
      <c r="G31" s="56" t="s">
        <v>101</v>
      </c>
      <c r="H31" s="285" t="s">
        <v>5127</v>
      </c>
      <c r="I31" s="18"/>
      <c r="J31" s="285"/>
      <c r="K31" s="12"/>
      <c r="L31" s="115"/>
      <c r="M31" s="116">
        <v>39814</v>
      </c>
      <c r="N31" s="16">
        <v>1</v>
      </c>
      <c r="O31" s="117">
        <v>14860.27</v>
      </c>
      <c r="P31" s="40">
        <v>14860.27</v>
      </c>
      <c r="Q31" s="40">
        <f t="shared" si="0"/>
        <v>0</v>
      </c>
      <c r="R31" s="22"/>
      <c r="S31" s="22"/>
      <c r="T31" s="285"/>
    </row>
    <row r="32" spans="1:20" ht="54" customHeight="1" x14ac:dyDescent="0.2">
      <c r="A32" s="289">
        <v>29</v>
      </c>
      <c r="B32" s="77" t="s">
        <v>5670</v>
      </c>
      <c r="C32" s="289"/>
      <c r="D32" s="9" t="s">
        <v>3895</v>
      </c>
      <c r="E32" s="285" t="s">
        <v>4368</v>
      </c>
      <c r="F32" s="9" t="s">
        <v>6747</v>
      </c>
      <c r="G32" s="285" t="s">
        <v>4946</v>
      </c>
      <c r="H32" s="285" t="s">
        <v>5127</v>
      </c>
      <c r="I32" s="18"/>
      <c r="J32" s="285" t="s">
        <v>3132</v>
      </c>
      <c r="K32" s="12" t="s">
        <v>5584</v>
      </c>
      <c r="L32" s="22" t="s">
        <v>2320</v>
      </c>
      <c r="M32" s="15">
        <v>39814</v>
      </c>
      <c r="N32" s="16">
        <v>1</v>
      </c>
      <c r="O32" s="40">
        <v>26805.89</v>
      </c>
      <c r="P32" s="40">
        <v>26805.89</v>
      </c>
      <c r="Q32" s="40">
        <f t="shared" si="0"/>
        <v>0</v>
      </c>
      <c r="R32" s="285"/>
      <c r="S32" s="22"/>
      <c r="T32" s="285"/>
    </row>
    <row r="33" spans="1:20" ht="50.25" customHeight="1" x14ac:dyDescent="0.2">
      <c r="A33" s="289">
        <v>30</v>
      </c>
      <c r="B33" s="12" t="s">
        <v>5838</v>
      </c>
      <c r="C33" s="289" t="s">
        <v>5274</v>
      </c>
      <c r="D33" s="9" t="s">
        <v>7069</v>
      </c>
      <c r="E33" s="14">
        <v>39227</v>
      </c>
      <c r="F33" s="9" t="s">
        <v>3823</v>
      </c>
      <c r="G33" s="285" t="s">
        <v>7981</v>
      </c>
      <c r="H33" s="285" t="s">
        <v>5127</v>
      </c>
      <c r="I33" s="18"/>
      <c r="J33" s="22" t="s">
        <v>9411</v>
      </c>
      <c r="K33" s="15">
        <v>40544</v>
      </c>
      <c r="L33" s="289" t="s">
        <v>1029</v>
      </c>
      <c r="M33" s="15">
        <v>39227</v>
      </c>
      <c r="N33" s="16">
        <v>1</v>
      </c>
      <c r="O33" s="40">
        <v>13940</v>
      </c>
      <c r="P33" s="40">
        <v>13940</v>
      </c>
      <c r="Q33" s="40">
        <f t="shared" si="0"/>
        <v>0</v>
      </c>
      <c r="R33" s="22"/>
      <c r="S33" s="22"/>
      <c r="T33" s="285"/>
    </row>
    <row r="34" spans="1:20" ht="50.25" customHeight="1" x14ac:dyDescent="0.2">
      <c r="A34" s="289">
        <v>32</v>
      </c>
      <c r="B34" s="12" t="s">
        <v>5839</v>
      </c>
      <c r="C34" s="289" t="s">
        <v>5274</v>
      </c>
      <c r="D34" s="9" t="s">
        <v>5600</v>
      </c>
      <c r="E34" s="14">
        <v>39385</v>
      </c>
      <c r="F34" s="9" t="s">
        <v>2224</v>
      </c>
      <c r="G34" s="285" t="s">
        <v>7981</v>
      </c>
      <c r="H34" s="285" t="s">
        <v>5127</v>
      </c>
      <c r="I34" s="18"/>
      <c r="J34" s="22" t="s">
        <v>9411</v>
      </c>
      <c r="K34" s="15">
        <v>40544</v>
      </c>
      <c r="L34" s="289" t="s">
        <v>1029</v>
      </c>
      <c r="M34" s="15">
        <v>39385</v>
      </c>
      <c r="N34" s="16">
        <v>1</v>
      </c>
      <c r="O34" s="40">
        <v>130000</v>
      </c>
      <c r="P34" s="40">
        <v>130000</v>
      </c>
      <c r="Q34" s="40">
        <f>O34-P34</f>
        <v>0</v>
      </c>
      <c r="R34" s="22"/>
      <c r="S34" s="22"/>
      <c r="T34" s="285"/>
    </row>
    <row r="35" spans="1:20" ht="33" customHeight="1" x14ac:dyDescent="0.2">
      <c r="A35" s="289">
        <v>33</v>
      </c>
      <c r="B35" s="12" t="s">
        <v>3139</v>
      </c>
      <c r="C35" s="289" t="s">
        <v>5274</v>
      </c>
      <c r="D35" s="9" t="s">
        <v>3512</v>
      </c>
      <c r="E35" s="14">
        <v>39385</v>
      </c>
      <c r="F35" s="9" t="s">
        <v>1064</v>
      </c>
      <c r="G35" s="285" t="s">
        <v>7917</v>
      </c>
      <c r="H35" s="285" t="s">
        <v>5127</v>
      </c>
      <c r="I35" s="18"/>
      <c r="J35" s="285"/>
      <c r="K35" s="289"/>
      <c r="L35" s="22"/>
      <c r="M35" s="15">
        <v>39814</v>
      </c>
      <c r="N35" s="16">
        <v>2</v>
      </c>
      <c r="O35" s="40">
        <v>26844.48</v>
      </c>
      <c r="P35" s="40">
        <v>26844.48</v>
      </c>
      <c r="Q35" s="40">
        <f>O35-P35</f>
        <v>0</v>
      </c>
      <c r="R35" s="22"/>
      <c r="S35" s="22"/>
      <c r="T35" s="285"/>
    </row>
    <row r="36" spans="1:20" ht="33" customHeight="1" x14ac:dyDescent="0.2">
      <c r="A36" s="289">
        <v>34</v>
      </c>
      <c r="B36" s="12" t="s">
        <v>168</v>
      </c>
      <c r="C36" s="289"/>
      <c r="D36" s="9" t="s">
        <v>3571</v>
      </c>
      <c r="E36" s="285"/>
      <c r="F36" s="9" t="s">
        <v>5134</v>
      </c>
      <c r="G36" s="285" t="s">
        <v>7917</v>
      </c>
      <c r="H36" s="285" t="s">
        <v>5127</v>
      </c>
      <c r="I36" s="18"/>
      <c r="J36" s="285"/>
      <c r="K36" s="289"/>
      <c r="L36" s="22"/>
      <c r="M36" s="15">
        <v>39814</v>
      </c>
      <c r="N36" s="16">
        <v>1</v>
      </c>
      <c r="O36" s="40">
        <v>14405.43</v>
      </c>
      <c r="P36" s="40">
        <v>14405.43</v>
      </c>
      <c r="Q36" s="40">
        <f t="shared" ref="Q36:Q66" si="1">O36-P36</f>
        <v>0</v>
      </c>
      <c r="R36" s="22"/>
      <c r="S36" s="22"/>
      <c r="T36" s="285"/>
    </row>
    <row r="37" spans="1:20" ht="31.5" customHeight="1" x14ac:dyDescent="0.2">
      <c r="A37" s="289">
        <v>35</v>
      </c>
      <c r="B37" s="12" t="s">
        <v>169</v>
      </c>
      <c r="C37" s="289" t="s">
        <v>5274</v>
      </c>
      <c r="D37" s="9" t="s">
        <v>4381</v>
      </c>
      <c r="E37" s="285"/>
      <c r="F37" s="9" t="s">
        <v>726</v>
      </c>
      <c r="G37" s="285" t="s">
        <v>7917</v>
      </c>
      <c r="H37" s="285" t="s">
        <v>5127</v>
      </c>
      <c r="I37" s="18"/>
      <c r="J37" s="285"/>
      <c r="K37" s="289"/>
      <c r="L37" s="22"/>
      <c r="M37" s="15">
        <v>39814</v>
      </c>
      <c r="N37" s="16">
        <v>1</v>
      </c>
      <c r="O37" s="40">
        <v>11331.36</v>
      </c>
      <c r="P37" s="40">
        <v>11331.36</v>
      </c>
      <c r="Q37" s="40">
        <f t="shared" si="1"/>
        <v>0</v>
      </c>
      <c r="R37" s="22"/>
      <c r="S37" s="22"/>
      <c r="T37" s="285"/>
    </row>
    <row r="38" spans="1:20" ht="31.5" customHeight="1" x14ac:dyDescent="0.2">
      <c r="A38" s="289">
        <v>36</v>
      </c>
      <c r="B38" s="12" t="s">
        <v>170</v>
      </c>
      <c r="C38" s="289" t="s">
        <v>5274</v>
      </c>
      <c r="D38" s="9" t="s">
        <v>2622</v>
      </c>
      <c r="E38" s="285"/>
      <c r="F38" s="9" t="s">
        <v>727</v>
      </c>
      <c r="G38" s="285" t="s">
        <v>7917</v>
      </c>
      <c r="H38" s="285" t="s">
        <v>5127</v>
      </c>
      <c r="I38" s="18"/>
      <c r="J38" s="285"/>
      <c r="K38" s="289"/>
      <c r="L38" s="22"/>
      <c r="M38" s="15">
        <v>39814</v>
      </c>
      <c r="N38" s="16">
        <v>1</v>
      </c>
      <c r="O38" s="40">
        <v>18631.47</v>
      </c>
      <c r="P38" s="40">
        <v>18631.47</v>
      </c>
      <c r="Q38" s="40">
        <f t="shared" si="1"/>
        <v>0</v>
      </c>
      <c r="R38" s="22"/>
      <c r="S38" s="22"/>
      <c r="T38" s="285"/>
    </row>
    <row r="39" spans="1:20" ht="31.5" customHeight="1" x14ac:dyDescent="0.2">
      <c r="A39" s="289">
        <v>37</v>
      </c>
      <c r="B39" s="12" t="s">
        <v>171</v>
      </c>
      <c r="C39" s="289" t="s">
        <v>5274</v>
      </c>
      <c r="D39" s="9" t="s">
        <v>2006</v>
      </c>
      <c r="E39" s="285"/>
      <c r="F39" s="9" t="s">
        <v>728</v>
      </c>
      <c r="G39" s="285" t="s">
        <v>7917</v>
      </c>
      <c r="H39" s="285" t="s">
        <v>5127</v>
      </c>
      <c r="I39" s="18"/>
      <c r="J39" s="285"/>
      <c r="K39" s="289"/>
      <c r="L39" s="22"/>
      <c r="M39" s="15">
        <v>39814</v>
      </c>
      <c r="N39" s="16">
        <v>1</v>
      </c>
      <c r="O39" s="40">
        <v>12953.15</v>
      </c>
      <c r="P39" s="40">
        <v>12953.15</v>
      </c>
      <c r="Q39" s="40">
        <f t="shared" si="1"/>
        <v>0</v>
      </c>
      <c r="R39" s="22"/>
      <c r="S39" s="22"/>
      <c r="T39" s="285"/>
    </row>
    <row r="40" spans="1:20" ht="31.5" customHeight="1" x14ac:dyDescent="0.2">
      <c r="A40" s="289">
        <v>38</v>
      </c>
      <c r="B40" s="12" t="s">
        <v>172</v>
      </c>
      <c r="C40" s="289" t="s">
        <v>5274</v>
      </c>
      <c r="D40" s="9" t="s">
        <v>5645</v>
      </c>
      <c r="E40" s="285"/>
      <c r="F40" s="9" t="s">
        <v>6865</v>
      </c>
      <c r="G40" s="285" t="s">
        <v>7917</v>
      </c>
      <c r="H40" s="285" t="s">
        <v>5127</v>
      </c>
      <c r="I40" s="18"/>
      <c r="J40" s="285"/>
      <c r="K40" s="289"/>
      <c r="L40" s="22"/>
      <c r="M40" s="15">
        <v>39814</v>
      </c>
      <c r="N40" s="16">
        <v>4</v>
      </c>
      <c r="O40" s="40">
        <v>15443.88</v>
      </c>
      <c r="P40" s="40">
        <v>15443.88</v>
      </c>
      <c r="Q40" s="40">
        <f t="shared" si="1"/>
        <v>0</v>
      </c>
      <c r="R40" s="22"/>
      <c r="S40" s="22"/>
      <c r="T40" s="285"/>
    </row>
    <row r="41" spans="1:20" ht="31.5" customHeight="1" x14ac:dyDescent="0.2">
      <c r="A41" s="289">
        <v>39</v>
      </c>
      <c r="B41" s="12" t="s">
        <v>1983</v>
      </c>
      <c r="C41" s="289" t="s">
        <v>5274</v>
      </c>
      <c r="D41" s="9" t="s">
        <v>3647</v>
      </c>
      <c r="E41" s="285"/>
      <c r="F41" s="9" t="s">
        <v>729</v>
      </c>
      <c r="G41" s="285" t="s">
        <v>7917</v>
      </c>
      <c r="H41" s="285" t="s">
        <v>5127</v>
      </c>
      <c r="I41" s="18"/>
      <c r="J41" s="285"/>
      <c r="K41" s="289"/>
      <c r="L41" s="22"/>
      <c r="M41" s="15">
        <v>39814</v>
      </c>
      <c r="N41" s="16">
        <v>1</v>
      </c>
      <c r="O41" s="40">
        <v>10694.88</v>
      </c>
      <c r="P41" s="40">
        <v>10694.88</v>
      </c>
      <c r="Q41" s="40">
        <f t="shared" si="1"/>
        <v>0</v>
      </c>
      <c r="R41" s="22"/>
      <c r="S41" s="22"/>
      <c r="T41" s="285"/>
    </row>
    <row r="42" spans="1:20" ht="29.25" customHeight="1" x14ac:dyDescent="0.2">
      <c r="A42" s="289">
        <v>40</v>
      </c>
      <c r="B42" s="12" t="s">
        <v>1984</v>
      </c>
      <c r="C42" s="289" t="s">
        <v>5274</v>
      </c>
      <c r="D42" s="9" t="s">
        <v>697</v>
      </c>
      <c r="E42" s="285"/>
      <c r="F42" s="9" t="s">
        <v>2224</v>
      </c>
      <c r="G42" s="285" t="s">
        <v>7917</v>
      </c>
      <c r="H42" s="285" t="s">
        <v>5127</v>
      </c>
      <c r="I42" s="18"/>
      <c r="J42" s="285"/>
      <c r="K42" s="289"/>
      <c r="L42" s="22"/>
      <c r="M42" s="15">
        <v>40544</v>
      </c>
      <c r="N42" s="16">
        <v>1</v>
      </c>
      <c r="O42" s="40">
        <v>13940</v>
      </c>
      <c r="P42" s="40">
        <v>13940</v>
      </c>
      <c r="Q42" s="40">
        <f t="shared" si="1"/>
        <v>0</v>
      </c>
      <c r="R42" s="22"/>
      <c r="S42" s="22"/>
      <c r="T42" s="285"/>
    </row>
    <row r="43" spans="1:20" ht="50.25" customHeight="1" x14ac:dyDescent="0.2">
      <c r="A43" s="289">
        <v>41</v>
      </c>
      <c r="B43" s="12" t="s">
        <v>910</v>
      </c>
      <c r="C43" s="289" t="s">
        <v>5274</v>
      </c>
      <c r="D43" s="9" t="s">
        <v>2119</v>
      </c>
      <c r="E43" s="14">
        <v>33358</v>
      </c>
      <c r="F43" s="9" t="s">
        <v>5511</v>
      </c>
      <c r="G43" s="285" t="s">
        <v>7982</v>
      </c>
      <c r="H43" s="285" t="s">
        <v>5127</v>
      </c>
      <c r="I43" s="18"/>
      <c r="J43" s="285" t="s">
        <v>9411</v>
      </c>
      <c r="K43" s="15">
        <v>40544</v>
      </c>
      <c r="L43" s="289" t="s">
        <v>1029</v>
      </c>
      <c r="M43" s="15">
        <v>33358</v>
      </c>
      <c r="N43" s="16">
        <v>1</v>
      </c>
      <c r="O43" s="40">
        <v>16404.48</v>
      </c>
      <c r="P43" s="40">
        <v>16404.48</v>
      </c>
      <c r="Q43" s="40">
        <f t="shared" si="1"/>
        <v>0</v>
      </c>
      <c r="R43" s="22"/>
      <c r="S43" s="22"/>
      <c r="T43" s="285"/>
    </row>
    <row r="44" spans="1:20" ht="50.25" customHeight="1" x14ac:dyDescent="0.2">
      <c r="A44" s="289">
        <v>42</v>
      </c>
      <c r="B44" s="12" t="s">
        <v>240</v>
      </c>
      <c r="C44" s="289" t="s">
        <v>5274</v>
      </c>
      <c r="D44" s="9" t="s">
        <v>6448</v>
      </c>
      <c r="E44" s="14">
        <v>33358</v>
      </c>
      <c r="F44" s="9" t="s">
        <v>4249</v>
      </c>
      <c r="G44" s="285" t="s">
        <v>7982</v>
      </c>
      <c r="H44" s="285" t="s">
        <v>5127</v>
      </c>
      <c r="I44" s="18"/>
      <c r="J44" s="285" t="s">
        <v>9411</v>
      </c>
      <c r="K44" s="15">
        <v>40544</v>
      </c>
      <c r="L44" s="289" t="s">
        <v>1029</v>
      </c>
      <c r="M44" s="15">
        <v>33358</v>
      </c>
      <c r="N44" s="16">
        <v>2</v>
      </c>
      <c r="O44" s="40">
        <v>118212.48</v>
      </c>
      <c r="P44" s="40">
        <v>118212.48</v>
      </c>
      <c r="Q44" s="40">
        <f t="shared" si="1"/>
        <v>0</v>
      </c>
      <c r="R44" s="22"/>
      <c r="S44" s="22"/>
      <c r="T44" s="285"/>
    </row>
    <row r="45" spans="1:20" ht="50.25" customHeight="1" x14ac:dyDescent="0.2">
      <c r="A45" s="289">
        <v>43</v>
      </c>
      <c r="B45" s="12" t="s">
        <v>241</v>
      </c>
      <c r="C45" s="289"/>
      <c r="D45" s="9" t="s">
        <v>8239</v>
      </c>
      <c r="E45" s="14">
        <v>33358</v>
      </c>
      <c r="F45" s="9" t="s">
        <v>4250</v>
      </c>
      <c r="G45" s="285" t="s">
        <v>7982</v>
      </c>
      <c r="H45" s="285" t="s">
        <v>5127</v>
      </c>
      <c r="I45" s="18"/>
      <c r="J45" s="285" t="s">
        <v>9411</v>
      </c>
      <c r="K45" s="15">
        <v>40544</v>
      </c>
      <c r="L45" s="289" t="s">
        <v>1029</v>
      </c>
      <c r="M45" s="15">
        <v>33358</v>
      </c>
      <c r="N45" s="16">
        <v>3</v>
      </c>
      <c r="O45" s="40">
        <v>43121.38</v>
      </c>
      <c r="P45" s="40">
        <v>43121.38</v>
      </c>
      <c r="Q45" s="40">
        <f t="shared" si="1"/>
        <v>0</v>
      </c>
      <c r="R45" s="65"/>
      <c r="S45" s="65"/>
      <c r="T45" s="285"/>
    </row>
    <row r="46" spans="1:20" ht="50.25" customHeight="1" x14ac:dyDescent="0.2">
      <c r="A46" s="289">
        <v>44</v>
      </c>
      <c r="B46" s="12" t="s">
        <v>242</v>
      </c>
      <c r="C46" s="289" t="s">
        <v>5274</v>
      </c>
      <c r="D46" s="9" t="s">
        <v>8240</v>
      </c>
      <c r="E46" s="14">
        <v>33511</v>
      </c>
      <c r="F46" s="9" t="s">
        <v>204</v>
      </c>
      <c r="G46" s="285" t="s">
        <v>7982</v>
      </c>
      <c r="H46" s="285" t="s">
        <v>5127</v>
      </c>
      <c r="I46" s="18"/>
      <c r="J46" s="285" t="s">
        <v>9411</v>
      </c>
      <c r="K46" s="15">
        <v>40544</v>
      </c>
      <c r="L46" s="289" t="s">
        <v>1029</v>
      </c>
      <c r="M46" s="15">
        <v>33511</v>
      </c>
      <c r="N46" s="16">
        <v>3</v>
      </c>
      <c r="O46" s="40">
        <v>50400</v>
      </c>
      <c r="P46" s="40">
        <v>50400</v>
      </c>
      <c r="Q46" s="40">
        <f t="shared" si="1"/>
        <v>0</v>
      </c>
      <c r="R46" s="22"/>
      <c r="S46" s="22"/>
      <c r="T46" s="285"/>
    </row>
    <row r="47" spans="1:20" ht="50.25" customHeight="1" x14ac:dyDescent="0.2">
      <c r="A47" s="289">
        <v>45</v>
      </c>
      <c r="B47" s="12" t="s">
        <v>243</v>
      </c>
      <c r="C47" s="289" t="s">
        <v>5274</v>
      </c>
      <c r="D47" s="9" t="s">
        <v>4775</v>
      </c>
      <c r="E47" s="14">
        <v>33968</v>
      </c>
      <c r="F47" s="9" t="s">
        <v>731</v>
      </c>
      <c r="G47" s="285" t="s">
        <v>7982</v>
      </c>
      <c r="H47" s="285" t="s">
        <v>5127</v>
      </c>
      <c r="I47" s="18"/>
      <c r="J47" s="285" t="s">
        <v>9411</v>
      </c>
      <c r="K47" s="15">
        <v>40544</v>
      </c>
      <c r="L47" s="289" t="s">
        <v>1029</v>
      </c>
      <c r="M47" s="15">
        <v>33968</v>
      </c>
      <c r="N47" s="16">
        <v>1</v>
      </c>
      <c r="O47" s="40">
        <v>19126.830000000002</v>
      </c>
      <c r="P47" s="40">
        <v>19126.830000000002</v>
      </c>
      <c r="Q47" s="40">
        <f t="shared" si="1"/>
        <v>0</v>
      </c>
      <c r="R47" s="22"/>
      <c r="S47" s="22"/>
      <c r="T47" s="285"/>
    </row>
    <row r="48" spans="1:20" ht="50.25" customHeight="1" x14ac:dyDescent="0.2">
      <c r="A48" s="289">
        <v>46</v>
      </c>
      <c r="B48" s="12" t="s">
        <v>244</v>
      </c>
      <c r="C48" s="289" t="s">
        <v>5274</v>
      </c>
      <c r="D48" s="9" t="s">
        <v>852</v>
      </c>
      <c r="E48" s="14">
        <v>33388</v>
      </c>
      <c r="F48" s="9" t="s">
        <v>732</v>
      </c>
      <c r="G48" s="285" t="s">
        <v>7982</v>
      </c>
      <c r="H48" s="285" t="s">
        <v>5127</v>
      </c>
      <c r="I48" s="18"/>
      <c r="J48" s="285" t="s">
        <v>9411</v>
      </c>
      <c r="K48" s="15">
        <v>40544</v>
      </c>
      <c r="L48" s="289" t="s">
        <v>1029</v>
      </c>
      <c r="M48" s="15">
        <v>33388</v>
      </c>
      <c r="N48" s="16">
        <v>1</v>
      </c>
      <c r="O48" s="40">
        <v>18959.04</v>
      </c>
      <c r="P48" s="40">
        <v>18959.04</v>
      </c>
      <c r="Q48" s="40">
        <f t="shared" si="1"/>
        <v>0</v>
      </c>
      <c r="R48" s="22"/>
      <c r="S48" s="22"/>
      <c r="T48" s="285"/>
    </row>
    <row r="49" spans="1:20" ht="50.25" customHeight="1" x14ac:dyDescent="0.2">
      <c r="A49" s="289">
        <v>47</v>
      </c>
      <c r="B49" s="12" t="s">
        <v>245</v>
      </c>
      <c r="C49" s="289" t="s">
        <v>5274</v>
      </c>
      <c r="D49" s="9" t="s">
        <v>852</v>
      </c>
      <c r="E49" s="14">
        <v>33388</v>
      </c>
      <c r="F49" s="9" t="s">
        <v>733</v>
      </c>
      <c r="G49" s="285" t="s">
        <v>7982</v>
      </c>
      <c r="H49" s="285" t="s">
        <v>5127</v>
      </c>
      <c r="I49" s="18"/>
      <c r="J49" s="285" t="s">
        <v>9411</v>
      </c>
      <c r="K49" s="15">
        <v>40544</v>
      </c>
      <c r="L49" s="289" t="s">
        <v>1029</v>
      </c>
      <c r="M49" s="15">
        <v>33388</v>
      </c>
      <c r="N49" s="16">
        <v>1</v>
      </c>
      <c r="O49" s="40">
        <v>18959.04</v>
      </c>
      <c r="P49" s="40">
        <v>18959.04</v>
      </c>
      <c r="Q49" s="40">
        <f t="shared" si="1"/>
        <v>0</v>
      </c>
      <c r="R49" s="22"/>
      <c r="S49" s="22"/>
      <c r="T49" s="285"/>
    </row>
    <row r="50" spans="1:20" ht="50.25" customHeight="1" x14ac:dyDescent="0.2">
      <c r="A50" s="289">
        <v>48</v>
      </c>
      <c r="B50" s="12" t="s">
        <v>246</v>
      </c>
      <c r="C50" s="289" t="s">
        <v>5274</v>
      </c>
      <c r="D50" s="9" t="s">
        <v>1169</v>
      </c>
      <c r="E50" s="14">
        <v>33388</v>
      </c>
      <c r="F50" s="9" t="s">
        <v>734</v>
      </c>
      <c r="G50" s="285" t="s">
        <v>7982</v>
      </c>
      <c r="H50" s="285" t="s">
        <v>5127</v>
      </c>
      <c r="I50" s="18"/>
      <c r="J50" s="285" t="s">
        <v>9411</v>
      </c>
      <c r="K50" s="15">
        <v>40544</v>
      </c>
      <c r="L50" s="289" t="s">
        <v>1029</v>
      </c>
      <c r="M50" s="15">
        <v>33388</v>
      </c>
      <c r="N50" s="16">
        <v>1</v>
      </c>
      <c r="O50" s="40">
        <v>18961.919999999998</v>
      </c>
      <c r="P50" s="40">
        <v>18961.919999999998</v>
      </c>
      <c r="Q50" s="40">
        <f t="shared" si="1"/>
        <v>0</v>
      </c>
      <c r="R50" s="22"/>
      <c r="S50" s="22"/>
      <c r="T50" s="285"/>
    </row>
    <row r="51" spans="1:20" ht="50.25" customHeight="1" x14ac:dyDescent="0.2">
      <c r="A51" s="289">
        <v>49</v>
      </c>
      <c r="B51" s="12" t="s">
        <v>247</v>
      </c>
      <c r="C51" s="289" t="s">
        <v>5274</v>
      </c>
      <c r="D51" s="9" t="s">
        <v>3647</v>
      </c>
      <c r="E51" s="14">
        <v>33388</v>
      </c>
      <c r="F51" s="9" t="s">
        <v>735</v>
      </c>
      <c r="G51" s="285" t="s">
        <v>7982</v>
      </c>
      <c r="H51" s="285" t="s">
        <v>5127</v>
      </c>
      <c r="I51" s="18"/>
      <c r="J51" s="285" t="s">
        <v>9411</v>
      </c>
      <c r="K51" s="15">
        <v>40544</v>
      </c>
      <c r="L51" s="289" t="s">
        <v>1029</v>
      </c>
      <c r="M51" s="15">
        <v>33388</v>
      </c>
      <c r="N51" s="16">
        <v>1</v>
      </c>
      <c r="O51" s="40">
        <v>13780.8</v>
      </c>
      <c r="P51" s="40">
        <v>13780.8</v>
      </c>
      <c r="Q51" s="40">
        <f t="shared" si="1"/>
        <v>0</v>
      </c>
      <c r="R51" s="22"/>
      <c r="S51" s="22"/>
      <c r="T51" s="285"/>
    </row>
    <row r="52" spans="1:20" ht="50.25" customHeight="1" x14ac:dyDescent="0.2">
      <c r="A52" s="289">
        <v>50</v>
      </c>
      <c r="B52" s="12" t="s">
        <v>248</v>
      </c>
      <c r="C52" s="289" t="s">
        <v>5274</v>
      </c>
      <c r="D52" s="9" t="s">
        <v>2374</v>
      </c>
      <c r="E52" s="14">
        <v>33358</v>
      </c>
      <c r="F52" s="9" t="s">
        <v>2192</v>
      </c>
      <c r="G52" s="285" t="s">
        <v>7982</v>
      </c>
      <c r="H52" s="285" t="s">
        <v>5127</v>
      </c>
      <c r="I52" s="18"/>
      <c r="J52" s="285" t="s">
        <v>9411</v>
      </c>
      <c r="K52" s="15">
        <v>40544</v>
      </c>
      <c r="L52" s="289" t="s">
        <v>1029</v>
      </c>
      <c r="M52" s="15">
        <v>33358</v>
      </c>
      <c r="N52" s="16">
        <v>1</v>
      </c>
      <c r="O52" s="40">
        <v>10892.07</v>
      </c>
      <c r="P52" s="40">
        <v>10892.07</v>
      </c>
      <c r="Q52" s="40">
        <f t="shared" si="1"/>
        <v>0</v>
      </c>
      <c r="R52" s="22"/>
      <c r="S52" s="22"/>
      <c r="T52" s="285"/>
    </row>
    <row r="53" spans="1:20" ht="50.25" customHeight="1" x14ac:dyDescent="0.2">
      <c r="A53" s="289">
        <v>51</v>
      </c>
      <c r="B53" s="12" t="s">
        <v>249</v>
      </c>
      <c r="C53" s="289"/>
      <c r="D53" s="9" t="s">
        <v>2105</v>
      </c>
      <c r="E53" s="14">
        <v>33358</v>
      </c>
      <c r="F53" s="9" t="s">
        <v>736</v>
      </c>
      <c r="G53" s="285" t="s">
        <v>7982</v>
      </c>
      <c r="H53" s="285" t="s">
        <v>5127</v>
      </c>
      <c r="I53" s="18"/>
      <c r="J53" s="285" t="s">
        <v>9411</v>
      </c>
      <c r="K53" s="15">
        <v>40544</v>
      </c>
      <c r="L53" s="289" t="s">
        <v>1029</v>
      </c>
      <c r="M53" s="15">
        <v>33358</v>
      </c>
      <c r="N53" s="16">
        <v>1</v>
      </c>
      <c r="O53" s="40">
        <v>20759.04</v>
      </c>
      <c r="P53" s="40">
        <v>20759.04</v>
      </c>
      <c r="Q53" s="40">
        <f t="shared" si="1"/>
        <v>0</v>
      </c>
      <c r="R53" s="22"/>
      <c r="S53" s="22"/>
      <c r="T53" s="285"/>
    </row>
    <row r="54" spans="1:20" ht="50.25" customHeight="1" x14ac:dyDescent="0.2">
      <c r="A54" s="289">
        <v>52</v>
      </c>
      <c r="B54" s="12" t="s">
        <v>250</v>
      </c>
      <c r="C54" s="289" t="s">
        <v>5274</v>
      </c>
      <c r="D54" s="9" t="s">
        <v>5992</v>
      </c>
      <c r="E54" s="14">
        <v>33541</v>
      </c>
      <c r="F54" s="9" t="s">
        <v>737</v>
      </c>
      <c r="G54" s="285" t="s">
        <v>7982</v>
      </c>
      <c r="H54" s="285" t="s">
        <v>5127</v>
      </c>
      <c r="I54" s="18"/>
      <c r="J54" s="285" t="s">
        <v>9411</v>
      </c>
      <c r="K54" s="15">
        <v>40544</v>
      </c>
      <c r="L54" s="289" t="s">
        <v>1029</v>
      </c>
      <c r="M54" s="15">
        <v>33541</v>
      </c>
      <c r="N54" s="16">
        <v>1</v>
      </c>
      <c r="O54" s="40">
        <v>17448.48</v>
      </c>
      <c r="P54" s="40">
        <v>17448.48</v>
      </c>
      <c r="Q54" s="40">
        <f t="shared" si="1"/>
        <v>0</v>
      </c>
      <c r="R54" s="22"/>
      <c r="S54" s="22"/>
      <c r="T54" s="285"/>
    </row>
    <row r="55" spans="1:20" ht="50.25" customHeight="1" x14ac:dyDescent="0.2">
      <c r="A55" s="289">
        <v>53</v>
      </c>
      <c r="B55" s="12" t="s">
        <v>251</v>
      </c>
      <c r="C55" s="289" t="s">
        <v>5274</v>
      </c>
      <c r="D55" s="9" t="s">
        <v>2269</v>
      </c>
      <c r="E55" s="14">
        <v>33388</v>
      </c>
      <c r="F55" s="13" t="s">
        <v>1065</v>
      </c>
      <c r="G55" s="285" t="s">
        <v>7982</v>
      </c>
      <c r="H55" s="285" t="s">
        <v>5127</v>
      </c>
      <c r="I55" s="18"/>
      <c r="J55" s="285" t="s">
        <v>9411</v>
      </c>
      <c r="K55" s="15">
        <v>40544</v>
      </c>
      <c r="L55" s="289" t="s">
        <v>1029</v>
      </c>
      <c r="M55" s="15">
        <v>33388</v>
      </c>
      <c r="N55" s="16">
        <v>1</v>
      </c>
      <c r="O55" s="40">
        <v>21758.400000000001</v>
      </c>
      <c r="P55" s="40">
        <v>21758.400000000001</v>
      </c>
      <c r="Q55" s="40">
        <f t="shared" si="1"/>
        <v>0</v>
      </c>
      <c r="R55" s="22"/>
      <c r="S55" s="22"/>
      <c r="T55" s="285"/>
    </row>
    <row r="56" spans="1:20" ht="50.25" customHeight="1" x14ac:dyDescent="0.2">
      <c r="A56" s="289">
        <v>54</v>
      </c>
      <c r="B56" s="12" t="s">
        <v>252</v>
      </c>
      <c r="C56" s="289"/>
      <c r="D56" s="9" t="s">
        <v>314</v>
      </c>
      <c r="E56" s="14">
        <v>33358</v>
      </c>
      <c r="F56" s="13" t="s">
        <v>1066</v>
      </c>
      <c r="G56" s="285" t="s">
        <v>7982</v>
      </c>
      <c r="H56" s="285" t="s">
        <v>5127</v>
      </c>
      <c r="I56" s="18"/>
      <c r="J56" s="285" t="s">
        <v>9411</v>
      </c>
      <c r="K56" s="15">
        <v>40544</v>
      </c>
      <c r="L56" s="289" t="s">
        <v>1029</v>
      </c>
      <c r="M56" s="15">
        <v>33358</v>
      </c>
      <c r="N56" s="16">
        <v>1</v>
      </c>
      <c r="O56" s="40">
        <v>14387.04</v>
      </c>
      <c r="P56" s="40">
        <v>14387.04</v>
      </c>
      <c r="Q56" s="40">
        <f t="shared" si="1"/>
        <v>0</v>
      </c>
      <c r="R56" s="22"/>
      <c r="S56" s="22"/>
      <c r="T56" s="285"/>
    </row>
    <row r="57" spans="1:20" ht="50.25" customHeight="1" x14ac:dyDescent="0.2">
      <c r="A57" s="289">
        <v>55</v>
      </c>
      <c r="B57" s="12" t="s">
        <v>253</v>
      </c>
      <c r="C57" s="289" t="s">
        <v>5274</v>
      </c>
      <c r="D57" s="9" t="s">
        <v>3464</v>
      </c>
      <c r="E57" s="14">
        <v>33511</v>
      </c>
      <c r="F57" s="13" t="s">
        <v>6661</v>
      </c>
      <c r="G57" s="285" t="s">
        <v>6266</v>
      </c>
      <c r="H57" s="285" t="s">
        <v>5127</v>
      </c>
      <c r="I57" s="18"/>
      <c r="J57" s="285" t="s">
        <v>3136</v>
      </c>
      <c r="K57" s="15">
        <v>41272</v>
      </c>
      <c r="L57" s="22" t="s">
        <v>5585</v>
      </c>
      <c r="M57" s="15">
        <v>39814</v>
      </c>
      <c r="N57" s="16">
        <v>1</v>
      </c>
      <c r="O57" s="40">
        <v>14544.08</v>
      </c>
      <c r="P57" s="40">
        <v>14544.08</v>
      </c>
      <c r="Q57" s="40">
        <f t="shared" si="1"/>
        <v>0</v>
      </c>
      <c r="R57" s="22"/>
      <c r="S57" s="22"/>
      <c r="T57" s="285"/>
    </row>
    <row r="58" spans="1:20" ht="50.25" customHeight="1" x14ac:dyDescent="0.2">
      <c r="A58" s="289">
        <v>56</v>
      </c>
      <c r="B58" s="12" t="s">
        <v>254</v>
      </c>
      <c r="C58" s="289" t="s">
        <v>5274</v>
      </c>
      <c r="D58" s="9" t="s">
        <v>9485</v>
      </c>
      <c r="E58" s="14">
        <v>33358</v>
      </c>
      <c r="F58" s="13" t="s">
        <v>1067</v>
      </c>
      <c r="G58" s="285" t="s">
        <v>7982</v>
      </c>
      <c r="H58" s="285" t="s">
        <v>5127</v>
      </c>
      <c r="I58" s="18"/>
      <c r="J58" s="285" t="s">
        <v>9411</v>
      </c>
      <c r="K58" s="15">
        <v>40544</v>
      </c>
      <c r="L58" s="289" t="s">
        <v>1029</v>
      </c>
      <c r="M58" s="15">
        <v>33511</v>
      </c>
      <c r="N58" s="16">
        <v>1</v>
      </c>
      <c r="O58" s="40">
        <v>32449.77</v>
      </c>
      <c r="P58" s="40">
        <v>32449.77</v>
      </c>
      <c r="Q58" s="40">
        <f t="shared" si="1"/>
        <v>0</v>
      </c>
      <c r="R58" s="22"/>
      <c r="S58" s="22"/>
      <c r="T58" s="285"/>
    </row>
    <row r="59" spans="1:20" ht="50.25" customHeight="1" x14ac:dyDescent="0.2">
      <c r="A59" s="289">
        <v>57</v>
      </c>
      <c r="B59" s="12" t="s">
        <v>255</v>
      </c>
      <c r="C59" s="289" t="s">
        <v>5274</v>
      </c>
      <c r="D59" s="9" t="s">
        <v>261</v>
      </c>
      <c r="E59" s="14">
        <v>39715</v>
      </c>
      <c r="F59" s="13" t="s">
        <v>1068</v>
      </c>
      <c r="G59" s="285" t="s">
        <v>7982</v>
      </c>
      <c r="H59" s="285" t="s">
        <v>5127</v>
      </c>
      <c r="I59" s="18"/>
      <c r="J59" s="285" t="s">
        <v>9411</v>
      </c>
      <c r="K59" s="15">
        <v>40544</v>
      </c>
      <c r="L59" s="289" t="s">
        <v>1029</v>
      </c>
      <c r="M59" s="15">
        <v>33358</v>
      </c>
      <c r="N59" s="16">
        <v>1</v>
      </c>
      <c r="O59" s="40">
        <v>11179.81</v>
      </c>
      <c r="P59" s="40">
        <v>11179.81</v>
      </c>
      <c r="Q59" s="40">
        <f t="shared" si="1"/>
        <v>0</v>
      </c>
      <c r="R59" s="22"/>
      <c r="S59" s="22"/>
      <c r="T59" s="285"/>
    </row>
    <row r="60" spans="1:20" ht="50.25" customHeight="1" x14ac:dyDescent="0.2">
      <c r="A60" s="289">
        <v>58</v>
      </c>
      <c r="B60" s="12" t="s">
        <v>256</v>
      </c>
      <c r="C60" s="289" t="s">
        <v>5274</v>
      </c>
      <c r="D60" s="9" t="s">
        <v>2662</v>
      </c>
      <c r="E60" s="14">
        <v>39813</v>
      </c>
      <c r="F60" s="13" t="s">
        <v>6774</v>
      </c>
      <c r="G60" s="285" t="s">
        <v>7979</v>
      </c>
      <c r="H60" s="285" t="s">
        <v>5127</v>
      </c>
      <c r="I60" s="18"/>
      <c r="J60" s="285"/>
      <c r="K60" s="289"/>
      <c r="L60" s="22"/>
      <c r="M60" s="15">
        <v>39814</v>
      </c>
      <c r="N60" s="16">
        <v>1</v>
      </c>
      <c r="O60" s="40">
        <v>26499</v>
      </c>
      <c r="P60" s="40">
        <v>26499</v>
      </c>
      <c r="Q60" s="40">
        <f t="shared" si="1"/>
        <v>0</v>
      </c>
      <c r="R60" s="22"/>
      <c r="S60" s="22"/>
      <c r="T60" s="285"/>
    </row>
    <row r="61" spans="1:20" ht="50.25" customHeight="1" x14ac:dyDescent="0.2">
      <c r="A61" s="289">
        <v>59</v>
      </c>
      <c r="B61" s="12" t="s">
        <v>257</v>
      </c>
      <c r="C61" s="289" t="s">
        <v>5274</v>
      </c>
      <c r="D61" s="9" t="s">
        <v>5982</v>
      </c>
      <c r="E61" s="285"/>
      <c r="F61" s="13" t="s">
        <v>6775</v>
      </c>
      <c r="G61" s="285" t="s">
        <v>7979</v>
      </c>
      <c r="H61" s="285" t="s">
        <v>5127</v>
      </c>
      <c r="I61" s="18"/>
      <c r="J61" s="285"/>
      <c r="K61" s="289"/>
      <c r="L61" s="22"/>
      <c r="M61" s="15">
        <v>41244</v>
      </c>
      <c r="N61" s="16">
        <v>1</v>
      </c>
      <c r="O61" s="40">
        <v>170000</v>
      </c>
      <c r="P61" s="40">
        <v>170000</v>
      </c>
      <c r="Q61" s="40">
        <f t="shared" si="1"/>
        <v>0</v>
      </c>
      <c r="R61" s="22"/>
      <c r="S61" s="22"/>
      <c r="T61" s="285"/>
    </row>
    <row r="62" spans="1:20" ht="50.25" customHeight="1" x14ac:dyDescent="0.2">
      <c r="A62" s="289">
        <v>61</v>
      </c>
      <c r="B62" s="12" t="s">
        <v>962</v>
      </c>
      <c r="C62" s="289" t="s">
        <v>5274</v>
      </c>
      <c r="D62" s="9" t="s">
        <v>1760</v>
      </c>
      <c r="E62" s="285"/>
      <c r="F62" s="13" t="s">
        <v>730</v>
      </c>
      <c r="G62" s="285" t="s">
        <v>7978</v>
      </c>
      <c r="H62" s="285" t="s">
        <v>5127</v>
      </c>
      <c r="I62" s="18"/>
      <c r="J62" s="285"/>
      <c r="K62" s="289"/>
      <c r="L62" s="22"/>
      <c r="M62" s="15">
        <v>40544</v>
      </c>
      <c r="N62" s="16">
        <v>1</v>
      </c>
      <c r="O62" s="40">
        <v>10890</v>
      </c>
      <c r="P62" s="40">
        <v>10890</v>
      </c>
      <c r="Q62" s="40">
        <f t="shared" si="1"/>
        <v>0</v>
      </c>
      <c r="R62" s="22"/>
      <c r="S62" s="22"/>
      <c r="T62" s="285"/>
    </row>
    <row r="63" spans="1:20" ht="50.25" customHeight="1" x14ac:dyDescent="0.2">
      <c r="A63" s="289">
        <v>62</v>
      </c>
      <c r="B63" s="12" t="s">
        <v>3993</v>
      </c>
      <c r="C63" s="289" t="s">
        <v>5274</v>
      </c>
      <c r="D63" s="9" t="s">
        <v>3875</v>
      </c>
      <c r="E63" s="285"/>
      <c r="F63" s="13" t="s">
        <v>7099</v>
      </c>
      <c r="G63" s="285" t="s">
        <v>7934</v>
      </c>
      <c r="H63" s="285" t="s">
        <v>5127</v>
      </c>
      <c r="I63" s="18"/>
      <c r="J63" s="285"/>
      <c r="K63" s="289"/>
      <c r="L63" s="22"/>
      <c r="M63" s="15">
        <v>39814</v>
      </c>
      <c r="N63" s="16">
        <v>1</v>
      </c>
      <c r="O63" s="40">
        <v>31066.560000000001</v>
      </c>
      <c r="P63" s="40">
        <v>31066.560000000001</v>
      </c>
      <c r="Q63" s="40">
        <f t="shared" si="1"/>
        <v>0</v>
      </c>
      <c r="R63" s="22"/>
      <c r="S63" s="22"/>
      <c r="T63" s="285"/>
    </row>
    <row r="64" spans="1:20" ht="50.25" customHeight="1" x14ac:dyDescent="0.2">
      <c r="A64" s="289">
        <v>63</v>
      </c>
      <c r="B64" s="12" t="s">
        <v>3994</v>
      </c>
      <c r="C64" s="289"/>
      <c r="D64" s="9" t="s">
        <v>3733</v>
      </c>
      <c r="E64" s="285"/>
      <c r="F64" s="13" t="s">
        <v>1068</v>
      </c>
      <c r="G64" s="285" t="s">
        <v>6266</v>
      </c>
      <c r="H64" s="285" t="s">
        <v>5127</v>
      </c>
      <c r="I64" s="18"/>
      <c r="J64" s="285" t="s">
        <v>9411</v>
      </c>
      <c r="K64" s="15">
        <v>40544</v>
      </c>
      <c r="L64" s="22" t="s">
        <v>1029</v>
      </c>
      <c r="M64" s="15">
        <v>38382</v>
      </c>
      <c r="N64" s="16">
        <v>1</v>
      </c>
      <c r="O64" s="40">
        <v>11606.53</v>
      </c>
      <c r="P64" s="40">
        <v>11606.53</v>
      </c>
      <c r="Q64" s="40">
        <f t="shared" si="1"/>
        <v>0</v>
      </c>
      <c r="R64" s="22"/>
      <c r="S64" s="22"/>
      <c r="T64" s="285"/>
    </row>
    <row r="65" spans="1:20" ht="50.25" customHeight="1" x14ac:dyDescent="0.2">
      <c r="A65" s="289">
        <v>64</v>
      </c>
      <c r="B65" s="12" t="s">
        <v>5333</v>
      </c>
      <c r="C65" s="289"/>
      <c r="D65" s="9" t="s">
        <v>7461</v>
      </c>
      <c r="E65" s="285">
        <v>2007</v>
      </c>
      <c r="F65" s="13"/>
      <c r="G65" s="285" t="s">
        <v>7464</v>
      </c>
      <c r="H65" s="285" t="s">
        <v>5127</v>
      </c>
      <c r="I65" s="18"/>
      <c r="J65" s="285" t="s">
        <v>3136</v>
      </c>
      <c r="K65" s="15">
        <v>42830</v>
      </c>
      <c r="L65" s="22" t="s">
        <v>7465</v>
      </c>
      <c r="M65" s="15">
        <v>39872</v>
      </c>
      <c r="N65" s="16">
        <v>1</v>
      </c>
      <c r="O65" s="40">
        <v>4875</v>
      </c>
      <c r="P65" s="40">
        <v>4875</v>
      </c>
      <c r="Q65" s="40">
        <f t="shared" si="1"/>
        <v>0</v>
      </c>
      <c r="R65" s="285" t="s">
        <v>5071</v>
      </c>
      <c r="S65" s="22" t="s">
        <v>2412</v>
      </c>
      <c r="T65" s="285">
        <v>3158</v>
      </c>
    </row>
    <row r="66" spans="1:20" ht="50.25" customHeight="1" x14ac:dyDescent="0.2">
      <c r="A66" s="289">
        <v>65</v>
      </c>
      <c r="B66" s="12" t="s">
        <v>95</v>
      </c>
      <c r="C66" s="289"/>
      <c r="D66" s="9" t="s">
        <v>6043</v>
      </c>
      <c r="E66" s="285">
        <v>2006</v>
      </c>
      <c r="F66" s="13"/>
      <c r="G66" s="285" t="s">
        <v>7983</v>
      </c>
      <c r="H66" s="285" t="s">
        <v>5127</v>
      </c>
      <c r="I66" s="18"/>
      <c r="J66" s="285" t="s">
        <v>9412</v>
      </c>
      <c r="K66" s="15">
        <v>43831</v>
      </c>
      <c r="L66" s="22" t="s">
        <v>1029</v>
      </c>
      <c r="M66" s="15">
        <v>39082</v>
      </c>
      <c r="N66" s="16">
        <v>1</v>
      </c>
      <c r="O66" s="40">
        <v>10098</v>
      </c>
      <c r="P66" s="40">
        <v>10098</v>
      </c>
      <c r="Q66" s="40">
        <f t="shared" si="1"/>
        <v>0</v>
      </c>
      <c r="R66" s="22"/>
      <c r="S66" s="22"/>
      <c r="T66" s="285"/>
    </row>
    <row r="67" spans="1:20" ht="50.25" customHeight="1" x14ac:dyDescent="0.2">
      <c r="A67" s="289">
        <v>66</v>
      </c>
      <c r="B67" s="12" t="s">
        <v>96</v>
      </c>
      <c r="C67" s="289"/>
      <c r="D67" s="9" t="s">
        <v>2655</v>
      </c>
      <c r="E67" s="285">
        <v>2006</v>
      </c>
      <c r="F67" s="13"/>
      <c r="G67" s="285" t="s">
        <v>7983</v>
      </c>
      <c r="H67" s="285" t="s">
        <v>5127</v>
      </c>
      <c r="I67" s="18"/>
      <c r="J67" s="285" t="s">
        <v>9412</v>
      </c>
      <c r="K67" s="15">
        <v>43831</v>
      </c>
      <c r="L67" s="22" t="s">
        <v>1029</v>
      </c>
      <c r="M67" s="38">
        <v>39872</v>
      </c>
      <c r="N67" s="16">
        <v>1</v>
      </c>
      <c r="O67" s="40">
        <v>27284</v>
      </c>
      <c r="P67" s="40">
        <v>27284</v>
      </c>
      <c r="Q67" s="40">
        <f t="shared" ref="Q67:Q130" si="2">O67-P67</f>
        <v>0</v>
      </c>
      <c r="R67" s="285" t="s">
        <v>5071</v>
      </c>
      <c r="S67" s="22" t="s">
        <v>2799</v>
      </c>
      <c r="T67" s="285">
        <v>5</v>
      </c>
    </row>
    <row r="68" spans="1:20" ht="50.25" customHeight="1" x14ac:dyDescent="0.2">
      <c r="A68" s="289">
        <v>67</v>
      </c>
      <c r="B68" s="12" t="s">
        <v>4346</v>
      </c>
      <c r="C68" s="289"/>
      <c r="D68" s="9" t="s">
        <v>2984</v>
      </c>
      <c r="E68" s="22"/>
      <c r="F68" s="13" t="s">
        <v>5611</v>
      </c>
      <c r="G68" s="285" t="s">
        <v>9194</v>
      </c>
      <c r="H68" s="285" t="s">
        <v>5127</v>
      </c>
      <c r="I68" s="18"/>
      <c r="J68" s="285" t="s">
        <v>3132</v>
      </c>
      <c r="K68" s="15">
        <v>40337</v>
      </c>
      <c r="L68" s="22" t="s">
        <v>2318</v>
      </c>
      <c r="M68" s="15">
        <v>39934</v>
      </c>
      <c r="N68" s="16">
        <v>1</v>
      </c>
      <c r="O68" s="40">
        <v>14488</v>
      </c>
      <c r="P68" s="40">
        <v>14488</v>
      </c>
      <c r="Q68" s="40">
        <f t="shared" si="2"/>
        <v>0</v>
      </c>
      <c r="R68" s="285"/>
      <c r="S68" s="15"/>
      <c r="T68" s="285"/>
    </row>
    <row r="69" spans="1:20" ht="50.25" customHeight="1" x14ac:dyDescent="0.2">
      <c r="A69" s="289">
        <v>68</v>
      </c>
      <c r="B69" s="12" t="s">
        <v>4347</v>
      </c>
      <c r="C69" s="289"/>
      <c r="D69" s="9" t="s">
        <v>5375</v>
      </c>
      <c r="E69" s="285">
        <v>2007</v>
      </c>
      <c r="F69" s="13"/>
      <c r="G69" s="285" t="s">
        <v>7846</v>
      </c>
      <c r="H69" s="285" t="s">
        <v>5127</v>
      </c>
      <c r="I69" s="18"/>
      <c r="J69" s="285" t="s">
        <v>3136</v>
      </c>
      <c r="K69" s="15">
        <v>42356</v>
      </c>
      <c r="L69" s="22" t="s">
        <v>4448</v>
      </c>
      <c r="M69" s="15">
        <v>39872</v>
      </c>
      <c r="N69" s="16">
        <v>1</v>
      </c>
      <c r="O69" s="40">
        <v>35464</v>
      </c>
      <c r="P69" s="40">
        <v>35464</v>
      </c>
      <c r="Q69" s="40">
        <f t="shared" si="2"/>
        <v>0</v>
      </c>
      <c r="R69" s="285" t="s">
        <v>5071</v>
      </c>
      <c r="S69" s="22" t="s">
        <v>2481</v>
      </c>
      <c r="T69" s="285">
        <v>53</v>
      </c>
    </row>
    <row r="70" spans="1:20" ht="50.25" customHeight="1" x14ac:dyDescent="0.2">
      <c r="A70" s="289">
        <v>69</v>
      </c>
      <c r="B70" s="12" t="s">
        <v>4348</v>
      </c>
      <c r="C70" s="289" t="s">
        <v>5274</v>
      </c>
      <c r="D70" s="9" t="s">
        <v>6615</v>
      </c>
      <c r="E70" s="9" t="s">
        <v>6147</v>
      </c>
      <c r="F70" s="13" t="s">
        <v>6616</v>
      </c>
      <c r="G70" s="285" t="s">
        <v>2074</v>
      </c>
      <c r="H70" s="285" t="s">
        <v>5127</v>
      </c>
      <c r="I70" s="18"/>
      <c r="J70" s="285" t="s">
        <v>3136</v>
      </c>
      <c r="K70" s="15">
        <v>39619</v>
      </c>
      <c r="L70" s="22" t="s">
        <v>5586</v>
      </c>
      <c r="M70" s="15">
        <v>41306</v>
      </c>
      <c r="N70" s="16">
        <v>1</v>
      </c>
      <c r="O70" s="40">
        <v>13890.2</v>
      </c>
      <c r="P70" s="40">
        <v>13890.2</v>
      </c>
      <c r="Q70" s="40">
        <f t="shared" si="2"/>
        <v>0</v>
      </c>
      <c r="R70" s="22" t="s">
        <v>6331</v>
      </c>
      <c r="S70" s="22" t="s">
        <v>4056</v>
      </c>
      <c r="T70" s="285"/>
    </row>
    <row r="71" spans="1:20" ht="50.25" customHeight="1" x14ac:dyDescent="0.2">
      <c r="A71" s="289">
        <v>70</v>
      </c>
      <c r="B71" s="12" t="s">
        <v>4349</v>
      </c>
      <c r="C71" s="289"/>
      <c r="D71" s="9" t="s">
        <v>1349</v>
      </c>
      <c r="E71" s="9" t="s">
        <v>6147</v>
      </c>
      <c r="F71" s="13" t="s">
        <v>6617</v>
      </c>
      <c r="G71" s="285" t="s">
        <v>2074</v>
      </c>
      <c r="H71" s="285" t="s">
        <v>5127</v>
      </c>
      <c r="I71" s="18"/>
      <c r="J71" s="285" t="s">
        <v>3136</v>
      </c>
      <c r="K71" s="15">
        <v>39619</v>
      </c>
      <c r="L71" s="22" t="s">
        <v>5586</v>
      </c>
      <c r="M71" s="15">
        <v>41306</v>
      </c>
      <c r="N71" s="16">
        <v>1</v>
      </c>
      <c r="O71" s="40">
        <v>17465</v>
      </c>
      <c r="P71" s="40">
        <v>17465</v>
      </c>
      <c r="Q71" s="40">
        <f t="shared" si="2"/>
        <v>0</v>
      </c>
      <c r="R71" s="22" t="s">
        <v>6331</v>
      </c>
      <c r="S71" s="22" t="s">
        <v>4056</v>
      </c>
      <c r="T71" s="285"/>
    </row>
    <row r="72" spans="1:20" ht="50.25" customHeight="1" x14ac:dyDescent="0.2">
      <c r="A72" s="289">
        <v>71</v>
      </c>
      <c r="B72" s="12" t="s">
        <v>4350</v>
      </c>
      <c r="C72" s="289"/>
      <c r="D72" s="9" t="s">
        <v>4282</v>
      </c>
      <c r="E72" s="9" t="s">
        <v>6147</v>
      </c>
      <c r="F72" s="13" t="s">
        <v>6618</v>
      </c>
      <c r="G72" s="285" t="s">
        <v>2074</v>
      </c>
      <c r="H72" s="285" t="s">
        <v>5127</v>
      </c>
      <c r="I72" s="18"/>
      <c r="J72" s="285" t="s">
        <v>3136</v>
      </c>
      <c r="K72" s="15">
        <v>39619</v>
      </c>
      <c r="L72" s="22" t="s">
        <v>5586</v>
      </c>
      <c r="M72" s="15">
        <v>41306</v>
      </c>
      <c r="N72" s="16">
        <v>1</v>
      </c>
      <c r="O72" s="40">
        <v>10200</v>
      </c>
      <c r="P72" s="40">
        <v>10200</v>
      </c>
      <c r="Q72" s="40">
        <f t="shared" si="2"/>
        <v>0</v>
      </c>
      <c r="R72" s="22" t="s">
        <v>6331</v>
      </c>
      <c r="S72" s="22" t="s">
        <v>4056</v>
      </c>
      <c r="T72" s="285"/>
    </row>
    <row r="73" spans="1:20" ht="50.25" customHeight="1" x14ac:dyDescent="0.2">
      <c r="A73" s="289">
        <v>72</v>
      </c>
      <c r="B73" s="12" t="s">
        <v>4351</v>
      </c>
      <c r="C73" s="289"/>
      <c r="D73" s="9" t="s">
        <v>1322</v>
      </c>
      <c r="E73" s="22" t="s">
        <v>3507</v>
      </c>
      <c r="F73" s="222"/>
      <c r="G73" s="285" t="s">
        <v>7983</v>
      </c>
      <c r="H73" s="285" t="s">
        <v>5127</v>
      </c>
      <c r="I73" s="18"/>
      <c r="J73" s="285" t="s">
        <v>3275</v>
      </c>
      <c r="K73" s="285" t="s">
        <v>3276</v>
      </c>
      <c r="L73" s="22" t="s">
        <v>3631</v>
      </c>
      <c r="M73" s="15">
        <v>39872</v>
      </c>
      <c r="N73" s="16">
        <v>1</v>
      </c>
      <c r="O73" s="40">
        <v>15957</v>
      </c>
      <c r="P73" s="40">
        <v>15957</v>
      </c>
      <c r="Q73" s="40">
        <f t="shared" si="2"/>
        <v>0</v>
      </c>
      <c r="R73" s="285" t="s">
        <v>3275</v>
      </c>
      <c r="S73" s="285" t="s">
        <v>3276</v>
      </c>
      <c r="T73" s="22" t="s">
        <v>3631</v>
      </c>
    </row>
    <row r="74" spans="1:20" ht="44.25" customHeight="1" x14ac:dyDescent="0.2">
      <c r="A74" s="289">
        <v>73</v>
      </c>
      <c r="B74" s="12" t="s">
        <v>4352</v>
      </c>
      <c r="C74" s="289"/>
      <c r="D74" s="9" t="s">
        <v>2339</v>
      </c>
      <c r="E74" s="285">
        <v>2008</v>
      </c>
      <c r="F74" s="13" t="s">
        <v>6554</v>
      </c>
      <c r="G74" s="56" t="s">
        <v>101</v>
      </c>
      <c r="H74" s="285" t="s">
        <v>5127</v>
      </c>
      <c r="I74" s="18"/>
      <c r="J74" s="285" t="s">
        <v>3132</v>
      </c>
      <c r="K74" s="15">
        <v>39709</v>
      </c>
      <c r="L74" s="22" t="s">
        <v>3632</v>
      </c>
      <c r="M74" s="15">
        <v>39664</v>
      </c>
      <c r="N74" s="16">
        <v>1</v>
      </c>
      <c r="O74" s="40">
        <v>62500</v>
      </c>
      <c r="P74" s="40">
        <v>46875.6</v>
      </c>
      <c r="Q74" s="40">
        <f t="shared" si="2"/>
        <v>15624.400000000001</v>
      </c>
      <c r="R74" s="285" t="s">
        <v>309</v>
      </c>
      <c r="S74" s="15">
        <v>39664</v>
      </c>
      <c r="T74" s="285" t="s">
        <v>3402</v>
      </c>
    </row>
    <row r="75" spans="1:20" ht="50.25" customHeight="1" x14ac:dyDescent="0.2">
      <c r="A75" s="289">
        <v>74</v>
      </c>
      <c r="B75" s="12" t="s">
        <v>5404</v>
      </c>
      <c r="C75" s="289"/>
      <c r="D75" s="9" t="s">
        <v>4989</v>
      </c>
      <c r="E75" s="285" t="s">
        <v>4844</v>
      </c>
      <c r="F75" s="13" t="s">
        <v>1069</v>
      </c>
      <c r="G75" s="285" t="s">
        <v>4946</v>
      </c>
      <c r="H75" s="285" t="s">
        <v>5127</v>
      </c>
      <c r="I75" s="18"/>
      <c r="J75" s="285" t="s">
        <v>3132</v>
      </c>
      <c r="K75" s="15">
        <v>40403</v>
      </c>
      <c r="L75" s="22" t="s">
        <v>2320</v>
      </c>
      <c r="M75" s="15">
        <v>40360</v>
      </c>
      <c r="N75" s="16">
        <v>1</v>
      </c>
      <c r="O75" s="40">
        <v>15450</v>
      </c>
      <c r="P75" s="40">
        <v>15450</v>
      </c>
      <c r="Q75" s="40">
        <f t="shared" si="2"/>
        <v>0</v>
      </c>
      <c r="R75" s="285"/>
      <c r="S75" s="15"/>
      <c r="T75" s="285"/>
    </row>
    <row r="76" spans="1:20" ht="50.25" customHeight="1" x14ac:dyDescent="0.2">
      <c r="A76" s="289">
        <v>75</v>
      </c>
      <c r="B76" s="12" t="s">
        <v>4528</v>
      </c>
      <c r="C76" s="289"/>
      <c r="D76" s="9" t="s">
        <v>3879</v>
      </c>
      <c r="E76" s="285" t="s">
        <v>3880</v>
      </c>
      <c r="F76" s="13" t="s">
        <v>1070</v>
      </c>
      <c r="G76" s="285" t="s">
        <v>4946</v>
      </c>
      <c r="H76" s="285" t="s">
        <v>5127</v>
      </c>
      <c r="I76" s="18"/>
      <c r="J76" s="285" t="s">
        <v>3132</v>
      </c>
      <c r="K76" s="15">
        <v>40403</v>
      </c>
      <c r="L76" s="22" t="s">
        <v>2320</v>
      </c>
      <c r="M76" s="15">
        <v>39814</v>
      </c>
      <c r="N76" s="16">
        <v>1</v>
      </c>
      <c r="O76" s="40">
        <v>11597.25</v>
      </c>
      <c r="P76" s="40">
        <v>11597.25</v>
      </c>
      <c r="Q76" s="40">
        <f t="shared" si="2"/>
        <v>0</v>
      </c>
      <c r="R76" s="285"/>
      <c r="S76" s="15"/>
      <c r="T76" s="285"/>
    </row>
    <row r="77" spans="1:20" ht="50.25" customHeight="1" x14ac:dyDescent="0.2">
      <c r="A77" s="289">
        <v>76</v>
      </c>
      <c r="B77" s="12" t="s">
        <v>1076</v>
      </c>
      <c r="C77" s="289"/>
      <c r="D77" s="9" t="s">
        <v>2853</v>
      </c>
      <c r="E77" s="285"/>
      <c r="F77" s="13" t="s">
        <v>6573</v>
      </c>
      <c r="G77" s="285" t="s">
        <v>7464</v>
      </c>
      <c r="H77" s="285" t="s">
        <v>5127</v>
      </c>
      <c r="I77" s="18"/>
      <c r="J77" s="285"/>
      <c r="K77" s="289"/>
      <c r="L77" s="22"/>
      <c r="M77" s="15">
        <v>41198</v>
      </c>
      <c r="N77" s="16">
        <v>1</v>
      </c>
      <c r="O77" s="40">
        <v>24320</v>
      </c>
      <c r="P77" s="40">
        <v>24320</v>
      </c>
      <c r="Q77" s="40">
        <f t="shared" si="2"/>
        <v>0</v>
      </c>
      <c r="R77" s="285"/>
      <c r="S77" s="15"/>
      <c r="T77" s="285"/>
    </row>
    <row r="78" spans="1:20" ht="50.25" customHeight="1" x14ac:dyDescent="0.2">
      <c r="A78" s="289">
        <v>77</v>
      </c>
      <c r="B78" s="12" t="s">
        <v>1077</v>
      </c>
      <c r="C78" s="289"/>
      <c r="D78" s="9" t="s">
        <v>1790</v>
      </c>
      <c r="E78" s="285"/>
      <c r="F78" s="13" t="s">
        <v>1071</v>
      </c>
      <c r="G78" s="285" t="s">
        <v>4296</v>
      </c>
      <c r="H78" s="285" t="s">
        <v>3793</v>
      </c>
      <c r="I78" s="289"/>
      <c r="J78" s="285" t="s">
        <v>3136</v>
      </c>
      <c r="K78" s="15">
        <v>42003</v>
      </c>
      <c r="L78" s="22" t="s">
        <v>5493</v>
      </c>
      <c r="M78" s="15">
        <v>39814</v>
      </c>
      <c r="N78" s="16">
        <v>1</v>
      </c>
      <c r="O78" s="40">
        <v>540</v>
      </c>
      <c r="P78" s="40">
        <v>540</v>
      </c>
      <c r="Q78" s="40">
        <f t="shared" si="2"/>
        <v>0</v>
      </c>
      <c r="R78" s="285"/>
      <c r="S78" s="15"/>
      <c r="T78" s="285"/>
    </row>
    <row r="79" spans="1:20" ht="50.25" customHeight="1" x14ac:dyDescent="0.2">
      <c r="A79" s="289">
        <v>78</v>
      </c>
      <c r="B79" s="12" t="s">
        <v>1078</v>
      </c>
      <c r="C79" s="289"/>
      <c r="D79" s="9" t="s">
        <v>4057</v>
      </c>
      <c r="E79" s="285"/>
      <c r="F79" s="13" t="s">
        <v>29</v>
      </c>
      <c r="G79" s="285" t="s">
        <v>4296</v>
      </c>
      <c r="H79" s="285" t="s">
        <v>3793</v>
      </c>
      <c r="I79" s="289"/>
      <c r="J79" s="285" t="s">
        <v>3136</v>
      </c>
      <c r="K79" s="15">
        <v>42003</v>
      </c>
      <c r="L79" s="22" t="s">
        <v>5493</v>
      </c>
      <c r="M79" s="15">
        <v>39814</v>
      </c>
      <c r="N79" s="16">
        <v>1</v>
      </c>
      <c r="O79" s="40">
        <v>1650</v>
      </c>
      <c r="P79" s="40">
        <v>1650</v>
      </c>
      <c r="Q79" s="40">
        <f t="shared" si="2"/>
        <v>0</v>
      </c>
      <c r="R79" s="285"/>
      <c r="S79" s="15"/>
      <c r="T79" s="285"/>
    </row>
    <row r="80" spans="1:20" ht="50.25" customHeight="1" x14ac:dyDescent="0.2">
      <c r="A80" s="289">
        <v>79</v>
      </c>
      <c r="B80" s="12" t="s">
        <v>1079</v>
      </c>
      <c r="C80" s="289" t="s">
        <v>5274</v>
      </c>
      <c r="D80" s="9" t="s">
        <v>536</v>
      </c>
      <c r="E80" s="14">
        <v>39594</v>
      </c>
      <c r="F80" s="13" t="s">
        <v>537</v>
      </c>
      <c r="G80" s="285" t="s">
        <v>7846</v>
      </c>
      <c r="H80" s="285" t="s">
        <v>5127</v>
      </c>
      <c r="I80" s="59"/>
      <c r="J80" s="285"/>
      <c r="K80" s="18"/>
      <c r="L80" s="18"/>
      <c r="M80" s="15">
        <v>39814</v>
      </c>
      <c r="N80" s="16">
        <v>1</v>
      </c>
      <c r="O80" s="40">
        <v>6500</v>
      </c>
      <c r="P80" s="40">
        <v>6500</v>
      </c>
      <c r="Q80" s="40">
        <f t="shared" si="2"/>
        <v>0</v>
      </c>
      <c r="R80" s="285" t="s">
        <v>5071</v>
      </c>
      <c r="S80" s="15">
        <v>39547</v>
      </c>
      <c r="T80" s="285">
        <v>1</v>
      </c>
    </row>
    <row r="81" spans="1:20" ht="50.25" customHeight="1" x14ac:dyDescent="0.2">
      <c r="A81" s="289">
        <v>80</v>
      </c>
      <c r="B81" s="12" t="s">
        <v>1080</v>
      </c>
      <c r="C81" s="289" t="s">
        <v>5274</v>
      </c>
      <c r="D81" s="9" t="s">
        <v>3105</v>
      </c>
      <c r="E81" s="14">
        <v>39594</v>
      </c>
      <c r="F81" s="13" t="s">
        <v>1966</v>
      </c>
      <c r="G81" s="285" t="s">
        <v>7846</v>
      </c>
      <c r="H81" s="285" t="s">
        <v>5127</v>
      </c>
      <c r="I81" s="18"/>
      <c r="J81" s="285"/>
      <c r="K81" s="289"/>
      <c r="L81" s="22"/>
      <c r="M81" s="15">
        <v>41000</v>
      </c>
      <c r="N81" s="16">
        <v>1</v>
      </c>
      <c r="O81" s="40">
        <v>33500</v>
      </c>
      <c r="P81" s="40">
        <v>33500</v>
      </c>
      <c r="Q81" s="40">
        <f t="shared" si="2"/>
        <v>0</v>
      </c>
      <c r="R81" s="285" t="s">
        <v>5071</v>
      </c>
      <c r="S81" s="15">
        <v>39547</v>
      </c>
      <c r="T81" s="285">
        <v>1</v>
      </c>
    </row>
    <row r="82" spans="1:20" ht="50.25" customHeight="1" x14ac:dyDescent="0.2">
      <c r="A82" s="289">
        <v>81</v>
      </c>
      <c r="B82" s="12" t="s">
        <v>1081</v>
      </c>
      <c r="C82" s="289" t="s">
        <v>5274</v>
      </c>
      <c r="D82" s="9" t="s">
        <v>3181</v>
      </c>
      <c r="E82" s="14">
        <v>39569</v>
      </c>
      <c r="F82" s="13" t="s">
        <v>3922</v>
      </c>
      <c r="G82" s="285" t="s">
        <v>7846</v>
      </c>
      <c r="H82" s="285" t="s">
        <v>5127</v>
      </c>
      <c r="I82" s="18"/>
      <c r="J82" s="285"/>
      <c r="K82" s="289"/>
      <c r="L82" s="22"/>
      <c r="M82" s="15">
        <v>39814</v>
      </c>
      <c r="N82" s="16">
        <v>1</v>
      </c>
      <c r="O82" s="40">
        <v>21262.799999999999</v>
      </c>
      <c r="P82" s="40">
        <v>21262.799999999999</v>
      </c>
      <c r="Q82" s="40">
        <f t="shared" si="2"/>
        <v>0</v>
      </c>
      <c r="R82" s="285"/>
      <c r="S82" s="15"/>
      <c r="T82" s="285"/>
    </row>
    <row r="83" spans="1:20" ht="50.25" customHeight="1" x14ac:dyDescent="0.2">
      <c r="A83" s="289">
        <v>82</v>
      </c>
      <c r="B83" s="12" t="s">
        <v>5864</v>
      </c>
      <c r="C83" s="289"/>
      <c r="D83" s="9" t="s">
        <v>5915</v>
      </c>
      <c r="E83" s="14">
        <v>37773</v>
      </c>
      <c r="F83" s="13" t="s">
        <v>5642</v>
      </c>
      <c r="G83" s="285" t="s">
        <v>7846</v>
      </c>
      <c r="H83" s="285" t="s">
        <v>5127</v>
      </c>
      <c r="I83" s="18"/>
      <c r="J83" s="285"/>
      <c r="K83" s="289"/>
      <c r="L83" s="22"/>
      <c r="M83" s="15">
        <v>39814</v>
      </c>
      <c r="N83" s="16">
        <v>1</v>
      </c>
      <c r="O83" s="40">
        <v>7252.83</v>
      </c>
      <c r="P83" s="40">
        <v>7252.83</v>
      </c>
      <c r="Q83" s="40">
        <f t="shared" si="2"/>
        <v>0</v>
      </c>
      <c r="R83" s="285"/>
      <c r="S83" s="15"/>
      <c r="T83" s="285"/>
    </row>
    <row r="84" spans="1:20" ht="50.25" customHeight="1" x14ac:dyDescent="0.2">
      <c r="A84" s="289">
        <v>83</v>
      </c>
      <c r="B84" s="12" t="s">
        <v>5865</v>
      </c>
      <c r="C84" s="289"/>
      <c r="D84" s="9" t="s">
        <v>4479</v>
      </c>
      <c r="E84" s="14">
        <v>37773</v>
      </c>
      <c r="F84" s="13" t="s">
        <v>5562</v>
      </c>
      <c r="G84" s="285" t="s">
        <v>7846</v>
      </c>
      <c r="H84" s="285" t="s">
        <v>5127</v>
      </c>
      <c r="I84" s="18"/>
      <c r="J84" s="285"/>
      <c r="K84" s="289"/>
      <c r="L84" s="22"/>
      <c r="M84" s="15">
        <v>39814</v>
      </c>
      <c r="N84" s="16">
        <v>1</v>
      </c>
      <c r="O84" s="40">
        <v>8554.2000000000007</v>
      </c>
      <c r="P84" s="40">
        <v>8554.2000000000007</v>
      </c>
      <c r="Q84" s="40">
        <f t="shared" si="2"/>
        <v>0</v>
      </c>
      <c r="R84" s="285"/>
      <c r="S84" s="15"/>
      <c r="T84" s="285"/>
    </row>
    <row r="85" spans="1:20" ht="50.25" customHeight="1" x14ac:dyDescent="0.2">
      <c r="A85" s="289">
        <v>84</v>
      </c>
      <c r="B85" s="12" t="s">
        <v>5866</v>
      </c>
      <c r="C85" s="289"/>
      <c r="D85" s="9" t="s">
        <v>725</v>
      </c>
      <c r="E85" s="285"/>
      <c r="F85" s="13"/>
      <c r="G85" s="285" t="s">
        <v>7983</v>
      </c>
      <c r="H85" s="285" t="s">
        <v>5127</v>
      </c>
      <c r="I85" s="18"/>
      <c r="J85" s="285" t="s">
        <v>9412</v>
      </c>
      <c r="K85" s="15">
        <v>43831</v>
      </c>
      <c r="L85" s="22" t="s">
        <v>1029</v>
      </c>
      <c r="M85" s="15">
        <v>39872</v>
      </c>
      <c r="N85" s="16">
        <v>1</v>
      </c>
      <c r="O85" s="40">
        <v>11900</v>
      </c>
      <c r="P85" s="40">
        <v>11900</v>
      </c>
      <c r="Q85" s="40">
        <f t="shared" si="2"/>
        <v>0</v>
      </c>
      <c r="R85" s="285"/>
      <c r="S85" s="22"/>
      <c r="T85" s="285"/>
    </row>
    <row r="86" spans="1:20" ht="50.25" customHeight="1" x14ac:dyDescent="0.2">
      <c r="A86" s="289">
        <v>85</v>
      </c>
      <c r="B86" s="12" t="s">
        <v>5867</v>
      </c>
      <c r="C86" s="289"/>
      <c r="D86" s="9" t="s">
        <v>7462</v>
      </c>
      <c r="E86" s="22" t="s">
        <v>3508</v>
      </c>
      <c r="F86" s="13"/>
      <c r="G86" s="285" t="s">
        <v>7464</v>
      </c>
      <c r="H86" s="285" t="s">
        <v>5127</v>
      </c>
      <c r="I86" s="18"/>
      <c r="J86" s="285" t="s">
        <v>3136</v>
      </c>
      <c r="K86" s="15">
        <v>42830</v>
      </c>
      <c r="L86" s="22" t="s">
        <v>7465</v>
      </c>
      <c r="M86" s="15">
        <v>39872</v>
      </c>
      <c r="N86" s="16">
        <v>1</v>
      </c>
      <c r="O86" s="40">
        <v>13610</v>
      </c>
      <c r="P86" s="40">
        <v>13610</v>
      </c>
      <c r="Q86" s="40">
        <f t="shared" si="2"/>
        <v>0</v>
      </c>
      <c r="R86" s="285" t="s">
        <v>5890</v>
      </c>
      <c r="S86" s="22" t="s">
        <v>5504</v>
      </c>
      <c r="T86" s="285" t="s">
        <v>1029</v>
      </c>
    </row>
    <row r="87" spans="1:20" ht="50.25" customHeight="1" x14ac:dyDescent="0.2">
      <c r="A87" s="289">
        <v>86</v>
      </c>
      <c r="B87" s="12" t="s">
        <v>5868</v>
      </c>
      <c r="C87" s="289"/>
      <c r="D87" s="9" t="s">
        <v>1349</v>
      </c>
      <c r="E87" s="285"/>
      <c r="F87" s="13"/>
      <c r="G87" s="285" t="s">
        <v>7983</v>
      </c>
      <c r="H87" s="285" t="s">
        <v>5127</v>
      </c>
      <c r="I87" s="18"/>
      <c r="J87" s="285" t="s">
        <v>9412</v>
      </c>
      <c r="K87" s="15">
        <v>43831</v>
      </c>
      <c r="L87" s="22" t="s">
        <v>1029</v>
      </c>
      <c r="M87" s="22" t="s">
        <v>2828</v>
      </c>
      <c r="N87" s="16">
        <v>1</v>
      </c>
      <c r="O87" s="40">
        <v>31020</v>
      </c>
      <c r="P87" s="40">
        <v>31020</v>
      </c>
      <c r="Q87" s="40">
        <f t="shared" si="2"/>
        <v>0</v>
      </c>
      <c r="R87" s="285" t="s">
        <v>5071</v>
      </c>
      <c r="S87" s="22" t="s">
        <v>2828</v>
      </c>
      <c r="T87" s="285">
        <v>216</v>
      </c>
    </row>
    <row r="88" spans="1:20" ht="50.25" customHeight="1" x14ac:dyDescent="0.2">
      <c r="A88" s="289">
        <v>87</v>
      </c>
      <c r="B88" s="12" t="s">
        <v>5869</v>
      </c>
      <c r="C88" s="289"/>
      <c r="D88" s="9" t="s">
        <v>2250</v>
      </c>
      <c r="E88" s="22" t="s">
        <v>3508</v>
      </c>
      <c r="F88" s="26" t="s">
        <v>7459</v>
      </c>
      <c r="G88" s="285" t="s">
        <v>7464</v>
      </c>
      <c r="H88" s="285" t="s">
        <v>5127</v>
      </c>
      <c r="I88" s="18"/>
      <c r="J88" s="285" t="s">
        <v>3136</v>
      </c>
      <c r="K88" s="15">
        <v>42830</v>
      </c>
      <c r="L88" s="22" t="s">
        <v>7465</v>
      </c>
      <c r="M88" s="22" t="s">
        <v>5504</v>
      </c>
      <c r="N88" s="16">
        <v>1</v>
      </c>
      <c r="O88" s="40">
        <v>28040</v>
      </c>
      <c r="P88" s="40">
        <v>28040</v>
      </c>
      <c r="Q88" s="40">
        <f t="shared" si="2"/>
        <v>0</v>
      </c>
      <c r="R88" s="285" t="s">
        <v>5890</v>
      </c>
      <c r="S88" s="22" t="s">
        <v>5504</v>
      </c>
      <c r="T88" s="285" t="s">
        <v>1029</v>
      </c>
    </row>
    <row r="89" spans="1:20" ht="50.25" customHeight="1" x14ac:dyDescent="0.2">
      <c r="A89" s="289">
        <v>88</v>
      </c>
      <c r="B89" s="12" t="s">
        <v>1083</v>
      </c>
      <c r="C89" s="289"/>
      <c r="D89" s="9" t="s">
        <v>2250</v>
      </c>
      <c r="E89" s="22" t="s">
        <v>3508</v>
      </c>
      <c r="F89" s="26" t="s">
        <v>7460</v>
      </c>
      <c r="G89" s="285" t="s">
        <v>7464</v>
      </c>
      <c r="H89" s="285" t="s">
        <v>5127</v>
      </c>
      <c r="I89" s="18"/>
      <c r="J89" s="285" t="s">
        <v>3136</v>
      </c>
      <c r="K89" s="15">
        <v>42830</v>
      </c>
      <c r="L89" s="22" t="s">
        <v>7465</v>
      </c>
      <c r="M89" s="15">
        <v>39876</v>
      </c>
      <c r="N89" s="16">
        <v>1</v>
      </c>
      <c r="O89" s="40">
        <v>35840</v>
      </c>
      <c r="P89" s="40">
        <v>35840</v>
      </c>
      <c r="Q89" s="40">
        <f t="shared" si="2"/>
        <v>0</v>
      </c>
      <c r="R89" s="285" t="s">
        <v>5890</v>
      </c>
      <c r="S89" s="22" t="s">
        <v>5504</v>
      </c>
      <c r="T89" s="285" t="s">
        <v>1029</v>
      </c>
    </row>
    <row r="90" spans="1:20" ht="29.25" customHeight="1" x14ac:dyDescent="0.2">
      <c r="A90" s="289">
        <v>89</v>
      </c>
      <c r="B90" s="12" t="s">
        <v>3034</v>
      </c>
      <c r="C90" s="289" t="s">
        <v>5274</v>
      </c>
      <c r="D90" s="9" t="s">
        <v>2910</v>
      </c>
      <c r="E90" s="22" t="s">
        <v>6360</v>
      </c>
      <c r="F90" s="13" t="s">
        <v>4901</v>
      </c>
      <c r="G90" s="285" t="s">
        <v>7917</v>
      </c>
      <c r="H90" s="285" t="s">
        <v>5127</v>
      </c>
      <c r="I90" s="18"/>
      <c r="J90" s="285"/>
      <c r="K90" s="289"/>
      <c r="L90" s="22"/>
      <c r="M90" s="14">
        <v>40435</v>
      </c>
      <c r="N90" s="16">
        <v>1</v>
      </c>
      <c r="O90" s="40">
        <v>12042</v>
      </c>
      <c r="P90" s="40">
        <v>12042</v>
      </c>
      <c r="Q90" s="40">
        <f t="shared" si="2"/>
        <v>0</v>
      </c>
      <c r="R90" s="285" t="s">
        <v>5071</v>
      </c>
      <c r="S90" s="15">
        <v>39281</v>
      </c>
      <c r="T90" s="285">
        <v>84</v>
      </c>
    </row>
    <row r="91" spans="1:20" ht="29.25" customHeight="1" x14ac:dyDescent="0.2">
      <c r="A91" s="289">
        <v>90</v>
      </c>
      <c r="B91" s="12" t="s">
        <v>3035</v>
      </c>
      <c r="C91" s="289" t="s">
        <v>5274</v>
      </c>
      <c r="D91" s="9" t="s">
        <v>2995</v>
      </c>
      <c r="E91" s="22" t="s">
        <v>6360</v>
      </c>
      <c r="F91" s="13" t="s">
        <v>498</v>
      </c>
      <c r="G91" s="285" t="s">
        <v>7917</v>
      </c>
      <c r="H91" s="285" t="s">
        <v>5127</v>
      </c>
      <c r="I91" s="18"/>
      <c r="J91" s="285"/>
      <c r="K91" s="289"/>
      <c r="L91" s="22"/>
      <c r="M91" s="15">
        <v>40544</v>
      </c>
      <c r="N91" s="16">
        <v>1</v>
      </c>
      <c r="O91" s="40">
        <v>12188</v>
      </c>
      <c r="P91" s="40">
        <v>12188</v>
      </c>
      <c r="Q91" s="40">
        <f t="shared" si="2"/>
        <v>0</v>
      </c>
      <c r="R91" s="285" t="s">
        <v>5071</v>
      </c>
      <c r="S91" s="15">
        <v>39281</v>
      </c>
      <c r="T91" s="285">
        <v>84</v>
      </c>
    </row>
    <row r="92" spans="1:20" ht="29.25" customHeight="1" x14ac:dyDescent="0.2">
      <c r="A92" s="289">
        <v>91</v>
      </c>
      <c r="B92" s="12" t="s">
        <v>4387</v>
      </c>
      <c r="C92" s="289" t="s">
        <v>5274</v>
      </c>
      <c r="D92" s="9" t="s">
        <v>2515</v>
      </c>
      <c r="E92" s="22" t="s">
        <v>6360</v>
      </c>
      <c r="F92" s="13" t="s">
        <v>332</v>
      </c>
      <c r="G92" s="285" t="s">
        <v>7917</v>
      </c>
      <c r="H92" s="285" t="s">
        <v>5127</v>
      </c>
      <c r="I92" s="18"/>
      <c r="J92" s="285"/>
      <c r="K92" s="289"/>
      <c r="L92" s="22"/>
      <c r="M92" s="15">
        <v>40544</v>
      </c>
      <c r="N92" s="16">
        <v>1</v>
      </c>
      <c r="O92" s="40">
        <v>14026</v>
      </c>
      <c r="P92" s="40">
        <v>14026</v>
      </c>
      <c r="Q92" s="40">
        <f t="shared" si="2"/>
        <v>0</v>
      </c>
      <c r="R92" s="285" t="s">
        <v>5071</v>
      </c>
      <c r="S92" s="15">
        <v>39281</v>
      </c>
      <c r="T92" s="285">
        <v>84</v>
      </c>
    </row>
    <row r="93" spans="1:20" ht="29.25" customHeight="1" x14ac:dyDescent="0.2">
      <c r="A93" s="289">
        <v>92</v>
      </c>
      <c r="B93" s="12" t="s">
        <v>4765</v>
      </c>
      <c r="C93" s="289" t="s">
        <v>5274</v>
      </c>
      <c r="D93" s="9" t="s">
        <v>1560</v>
      </c>
      <c r="E93" s="22" t="s">
        <v>6360</v>
      </c>
      <c r="F93" s="9" t="s">
        <v>205</v>
      </c>
      <c r="G93" s="285" t="s">
        <v>7917</v>
      </c>
      <c r="H93" s="285" t="s">
        <v>5127</v>
      </c>
      <c r="I93" s="18"/>
      <c r="J93" s="285"/>
      <c r="K93" s="289"/>
      <c r="L93" s="22"/>
      <c r="M93" s="15">
        <v>40544</v>
      </c>
      <c r="N93" s="16">
        <v>15</v>
      </c>
      <c r="O93" s="40">
        <v>159915</v>
      </c>
      <c r="P93" s="40">
        <v>159915</v>
      </c>
      <c r="Q93" s="40">
        <f t="shared" si="2"/>
        <v>0</v>
      </c>
      <c r="R93" s="285" t="s">
        <v>5071</v>
      </c>
      <c r="S93" s="15">
        <v>39281</v>
      </c>
      <c r="T93" s="285">
        <v>84</v>
      </c>
    </row>
    <row r="94" spans="1:20" ht="27.75" customHeight="1" x14ac:dyDescent="0.2">
      <c r="A94" s="289">
        <v>93</v>
      </c>
      <c r="B94" s="12" t="s">
        <v>4766</v>
      </c>
      <c r="C94" s="289" t="s">
        <v>5274</v>
      </c>
      <c r="D94" s="9" t="s">
        <v>378</v>
      </c>
      <c r="E94" s="22" t="s">
        <v>6360</v>
      </c>
      <c r="F94" s="13" t="s">
        <v>499</v>
      </c>
      <c r="G94" s="285" t="s">
        <v>7917</v>
      </c>
      <c r="H94" s="285" t="s">
        <v>5127</v>
      </c>
      <c r="I94" s="18"/>
      <c r="J94" s="285"/>
      <c r="K94" s="289"/>
      <c r="L94" s="22"/>
      <c r="M94" s="15">
        <v>40544</v>
      </c>
      <c r="N94" s="16">
        <v>1</v>
      </c>
      <c r="O94" s="40">
        <v>15963</v>
      </c>
      <c r="P94" s="40">
        <v>15963</v>
      </c>
      <c r="Q94" s="40">
        <f t="shared" si="2"/>
        <v>0</v>
      </c>
      <c r="R94" s="285" t="s">
        <v>5071</v>
      </c>
      <c r="S94" s="15"/>
      <c r="T94" s="285"/>
    </row>
    <row r="95" spans="1:20" ht="27.75" customHeight="1" x14ac:dyDescent="0.2">
      <c r="A95" s="289">
        <v>94</v>
      </c>
      <c r="B95" s="12" t="s">
        <v>5632</v>
      </c>
      <c r="C95" s="289" t="s">
        <v>5274</v>
      </c>
      <c r="D95" s="9" t="s">
        <v>4147</v>
      </c>
      <c r="E95" s="22" t="s">
        <v>6360</v>
      </c>
      <c r="F95" s="13" t="s">
        <v>500</v>
      </c>
      <c r="G95" s="285" t="s">
        <v>7917</v>
      </c>
      <c r="H95" s="285" t="s">
        <v>5127</v>
      </c>
      <c r="I95" s="18"/>
      <c r="J95" s="285"/>
      <c r="K95" s="289"/>
      <c r="L95" s="22"/>
      <c r="M95" s="15">
        <v>40544</v>
      </c>
      <c r="N95" s="16">
        <v>1</v>
      </c>
      <c r="O95" s="40">
        <v>11902</v>
      </c>
      <c r="P95" s="40">
        <v>11902</v>
      </c>
      <c r="Q95" s="40">
        <f t="shared" si="2"/>
        <v>0</v>
      </c>
      <c r="R95" s="285" t="s">
        <v>5071</v>
      </c>
      <c r="S95" s="15">
        <v>39281</v>
      </c>
      <c r="T95" s="285">
        <v>84</v>
      </c>
    </row>
    <row r="96" spans="1:20" ht="27.75" customHeight="1" x14ac:dyDescent="0.2">
      <c r="A96" s="289">
        <v>95</v>
      </c>
      <c r="B96" s="12" t="s">
        <v>5633</v>
      </c>
      <c r="C96" s="289" t="s">
        <v>5274</v>
      </c>
      <c r="D96" s="9" t="s">
        <v>866</v>
      </c>
      <c r="E96" s="22" t="s">
        <v>6360</v>
      </c>
      <c r="F96" s="13" t="s">
        <v>501</v>
      </c>
      <c r="G96" s="285" t="s">
        <v>7917</v>
      </c>
      <c r="H96" s="285" t="s">
        <v>5127</v>
      </c>
      <c r="I96" s="18"/>
      <c r="J96" s="285"/>
      <c r="K96" s="289"/>
      <c r="L96" s="22"/>
      <c r="M96" s="15">
        <v>40544</v>
      </c>
      <c r="N96" s="16">
        <v>1</v>
      </c>
      <c r="O96" s="40">
        <v>11736</v>
      </c>
      <c r="P96" s="40">
        <v>11736</v>
      </c>
      <c r="Q96" s="40">
        <f t="shared" si="2"/>
        <v>0</v>
      </c>
      <c r="R96" s="285" t="s">
        <v>5071</v>
      </c>
      <c r="S96" s="15">
        <v>39281</v>
      </c>
      <c r="T96" s="285">
        <v>84</v>
      </c>
    </row>
    <row r="97" spans="1:20" ht="27.75" customHeight="1" x14ac:dyDescent="0.2">
      <c r="A97" s="289">
        <v>96</v>
      </c>
      <c r="B97" s="12" t="s">
        <v>5634</v>
      </c>
      <c r="C97" s="289"/>
      <c r="D97" s="9" t="s">
        <v>3195</v>
      </c>
      <c r="E97" s="22" t="s">
        <v>6360</v>
      </c>
      <c r="F97" s="13" t="s">
        <v>502</v>
      </c>
      <c r="G97" s="285" t="s">
        <v>7917</v>
      </c>
      <c r="H97" s="285" t="s">
        <v>5127</v>
      </c>
      <c r="I97" s="18"/>
      <c r="J97" s="285"/>
      <c r="K97" s="289"/>
      <c r="L97" s="22"/>
      <c r="M97" s="15">
        <v>39814</v>
      </c>
      <c r="N97" s="16">
        <v>1</v>
      </c>
      <c r="O97" s="40">
        <v>10331.450000000001</v>
      </c>
      <c r="P97" s="40">
        <v>10331.450000000001</v>
      </c>
      <c r="Q97" s="40">
        <f t="shared" si="2"/>
        <v>0</v>
      </c>
      <c r="R97" s="285" t="s">
        <v>5071</v>
      </c>
      <c r="S97" s="15"/>
      <c r="T97" s="285"/>
    </row>
    <row r="98" spans="1:20" ht="27.75" customHeight="1" x14ac:dyDescent="0.2">
      <c r="A98" s="289">
        <v>97</v>
      </c>
      <c r="B98" s="12" t="s">
        <v>557</v>
      </c>
      <c r="C98" s="289" t="s">
        <v>5274</v>
      </c>
      <c r="D98" s="9" t="s">
        <v>4061</v>
      </c>
      <c r="E98" s="22" t="s">
        <v>6360</v>
      </c>
      <c r="F98" s="13" t="s">
        <v>503</v>
      </c>
      <c r="G98" s="285" t="s">
        <v>7917</v>
      </c>
      <c r="H98" s="285" t="s">
        <v>5127</v>
      </c>
      <c r="I98" s="18"/>
      <c r="J98" s="285"/>
      <c r="K98" s="289"/>
      <c r="L98" s="22"/>
      <c r="M98" s="15">
        <v>41000</v>
      </c>
      <c r="N98" s="16">
        <v>1</v>
      </c>
      <c r="O98" s="40">
        <v>19166</v>
      </c>
      <c r="P98" s="40">
        <v>19166</v>
      </c>
      <c r="Q98" s="40">
        <f t="shared" si="2"/>
        <v>0</v>
      </c>
      <c r="R98" s="285" t="s">
        <v>5071</v>
      </c>
      <c r="S98" s="15">
        <v>39281</v>
      </c>
      <c r="T98" s="285">
        <v>84</v>
      </c>
    </row>
    <row r="99" spans="1:20" ht="27.75" customHeight="1" x14ac:dyDescent="0.2">
      <c r="A99" s="289">
        <v>98</v>
      </c>
      <c r="B99" s="12" t="s">
        <v>558</v>
      </c>
      <c r="C99" s="289" t="s">
        <v>5274</v>
      </c>
      <c r="D99" s="9" t="s">
        <v>30</v>
      </c>
      <c r="E99" s="22" t="s">
        <v>6360</v>
      </c>
      <c r="F99" s="13" t="s">
        <v>504</v>
      </c>
      <c r="G99" s="285" t="s">
        <v>7917</v>
      </c>
      <c r="H99" s="285" t="s">
        <v>5127</v>
      </c>
      <c r="I99" s="18"/>
      <c r="J99" s="285"/>
      <c r="K99" s="289"/>
      <c r="L99" s="22"/>
      <c r="M99" s="15">
        <v>39814</v>
      </c>
      <c r="N99" s="16">
        <v>1</v>
      </c>
      <c r="O99" s="40">
        <v>12859</v>
      </c>
      <c r="P99" s="40">
        <v>12859</v>
      </c>
      <c r="Q99" s="40">
        <f t="shared" si="2"/>
        <v>0</v>
      </c>
      <c r="R99" s="285" t="s">
        <v>5071</v>
      </c>
      <c r="S99" s="15">
        <v>39281</v>
      </c>
      <c r="T99" s="285">
        <v>84</v>
      </c>
    </row>
    <row r="100" spans="1:20" ht="30" customHeight="1" x14ac:dyDescent="0.2">
      <c r="A100" s="289">
        <v>99</v>
      </c>
      <c r="B100" s="12" t="s">
        <v>559</v>
      </c>
      <c r="C100" s="289" t="s">
        <v>5274</v>
      </c>
      <c r="D100" s="9" t="s">
        <v>1375</v>
      </c>
      <c r="E100" s="22" t="s">
        <v>6360</v>
      </c>
      <c r="F100" s="13" t="s">
        <v>505</v>
      </c>
      <c r="G100" s="285" t="s">
        <v>7917</v>
      </c>
      <c r="H100" s="285" t="s">
        <v>5127</v>
      </c>
      <c r="I100" s="18"/>
      <c r="J100" s="285"/>
      <c r="K100" s="289"/>
      <c r="L100" s="22"/>
      <c r="M100" s="15">
        <v>39814</v>
      </c>
      <c r="N100" s="16">
        <v>1</v>
      </c>
      <c r="O100" s="40">
        <v>14137</v>
      </c>
      <c r="P100" s="40">
        <v>14137</v>
      </c>
      <c r="Q100" s="40">
        <f t="shared" si="2"/>
        <v>0</v>
      </c>
      <c r="R100" s="285" t="s">
        <v>5071</v>
      </c>
      <c r="S100" s="15"/>
      <c r="T100" s="285"/>
    </row>
    <row r="101" spans="1:20" ht="30" customHeight="1" x14ac:dyDescent="0.2">
      <c r="A101" s="289">
        <v>100</v>
      </c>
      <c r="B101" s="12" t="s">
        <v>560</v>
      </c>
      <c r="C101" s="289" t="s">
        <v>5274</v>
      </c>
      <c r="D101" s="9" t="s">
        <v>3783</v>
      </c>
      <c r="E101" s="22" t="s">
        <v>6866</v>
      </c>
      <c r="F101" s="13" t="s">
        <v>5011</v>
      </c>
      <c r="G101" s="285" t="s">
        <v>7917</v>
      </c>
      <c r="H101" s="285" t="s">
        <v>5127</v>
      </c>
      <c r="I101" s="18"/>
      <c r="J101" s="285"/>
      <c r="K101" s="289"/>
      <c r="L101" s="22"/>
      <c r="M101" s="15">
        <v>41244</v>
      </c>
      <c r="N101" s="16">
        <v>1</v>
      </c>
      <c r="O101" s="40">
        <v>10361</v>
      </c>
      <c r="P101" s="40">
        <v>10361</v>
      </c>
      <c r="Q101" s="40">
        <f t="shared" si="2"/>
        <v>0</v>
      </c>
      <c r="R101" s="285" t="s">
        <v>5071</v>
      </c>
      <c r="S101" s="15"/>
      <c r="T101" s="285"/>
    </row>
    <row r="102" spans="1:20" ht="71.25" customHeight="1" x14ac:dyDescent="0.2">
      <c r="A102" s="289">
        <v>101</v>
      </c>
      <c r="B102" s="12" t="s">
        <v>561</v>
      </c>
      <c r="C102" s="289" t="s">
        <v>5274</v>
      </c>
      <c r="D102" s="9" t="s">
        <v>1954</v>
      </c>
      <c r="E102" s="14">
        <v>39385</v>
      </c>
      <c r="F102" s="13" t="s">
        <v>7070</v>
      </c>
      <c r="G102" s="285" t="s">
        <v>7981</v>
      </c>
      <c r="H102" s="285" t="s">
        <v>5127</v>
      </c>
      <c r="I102" s="18"/>
      <c r="J102" s="22" t="s">
        <v>9411</v>
      </c>
      <c r="K102" s="15">
        <v>40544</v>
      </c>
      <c r="L102" s="289" t="s">
        <v>1029</v>
      </c>
      <c r="M102" s="15">
        <v>39385</v>
      </c>
      <c r="N102" s="16">
        <v>1</v>
      </c>
      <c r="O102" s="40">
        <v>10080</v>
      </c>
      <c r="P102" s="40">
        <v>10080</v>
      </c>
      <c r="Q102" s="40">
        <f t="shared" si="2"/>
        <v>0</v>
      </c>
      <c r="R102" s="285" t="s">
        <v>5071</v>
      </c>
      <c r="S102" s="15">
        <v>39353</v>
      </c>
      <c r="T102" s="285">
        <v>333</v>
      </c>
    </row>
    <row r="103" spans="1:20" ht="71.25" customHeight="1" x14ac:dyDescent="0.2">
      <c r="A103" s="289">
        <v>102</v>
      </c>
      <c r="B103" s="12" t="s">
        <v>562</v>
      </c>
      <c r="C103" s="289" t="s">
        <v>5274</v>
      </c>
      <c r="D103" s="9" t="s">
        <v>3391</v>
      </c>
      <c r="E103" s="14">
        <v>39385</v>
      </c>
      <c r="F103" s="13" t="s">
        <v>4900</v>
      </c>
      <c r="G103" s="285" t="s">
        <v>7981</v>
      </c>
      <c r="H103" s="285" t="s">
        <v>5127</v>
      </c>
      <c r="I103" s="18"/>
      <c r="J103" s="22" t="s">
        <v>9411</v>
      </c>
      <c r="K103" s="15">
        <v>40544</v>
      </c>
      <c r="L103" s="289" t="s">
        <v>1029</v>
      </c>
      <c r="M103" s="15">
        <v>39385</v>
      </c>
      <c r="N103" s="16">
        <v>1</v>
      </c>
      <c r="O103" s="40">
        <v>10732</v>
      </c>
      <c r="P103" s="40">
        <v>10732</v>
      </c>
      <c r="Q103" s="40">
        <f t="shared" si="2"/>
        <v>0</v>
      </c>
      <c r="R103" s="285" t="s">
        <v>5071</v>
      </c>
      <c r="S103" s="15">
        <v>39353</v>
      </c>
      <c r="T103" s="285">
        <v>333</v>
      </c>
    </row>
    <row r="104" spans="1:20" ht="71.25" customHeight="1" x14ac:dyDescent="0.2">
      <c r="A104" s="289">
        <v>103</v>
      </c>
      <c r="B104" s="12" t="s">
        <v>563</v>
      </c>
      <c r="C104" s="289" t="s">
        <v>5274</v>
      </c>
      <c r="D104" s="9" t="s">
        <v>3843</v>
      </c>
      <c r="E104" s="14">
        <v>39385</v>
      </c>
      <c r="F104" s="13" t="s">
        <v>7071</v>
      </c>
      <c r="G104" s="285" t="s">
        <v>7981</v>
      </c>
      <c r="H104" s="285" t="s">
        <v>5127</v>
      </c>
      <c r="I104" s="18"/>
      <c r="J104" s="22" t="s">
        <v>9411</v>
      </c>
      <c r="K104" s="15">
        <v>40544</v>
      </c>
      <c r="L104" s="289" t="s">
        <v>1029</v>
      </c>
      <c r="M104" s="15">
        <v>39385</v>
      </c>
      <c r="N104" s="16">
        <v>15</v>
      </c>
      <c r="O104" s="40">
        <v>167160</v>
      </c>
      <c r="P104" s="40">
        <v>167160</v>
      </c>
      <c r="Q104" s="40">
        <f t="shared" si="2"/>
        <v>0</v>
      </c>
      <c r="R104" s="285" t="s">
        <v>5071</v>
      </c>
      <c r="S104" s="15">
        <v>39353</v>
      </c>
      <c r="T104" s="285">
        <v>333</v>
      </c>
    </row>
    <row r="105" spans="1:20" ht="71.25" customHeight="1" x14ac:dyDescent="0.2">
      <c r="A105" s="289">
        <v>104</v>
      </c>
      <c r="B105" s="12" t="s">
        <v>564</v>
      </c>
      <c r="C105" s="289" t="s">
        <v>5274</v>
      </c>
      <c r="D105" s="9" t="s">
        <v>5716</v>
      </c>
      <c r="E105" s="14">
        <v>39385</v>
      </c>
      <c r="F105" s="13" t="s">
        <v>501</v>
      </c>
      <c r="G105" s="285" t="s">
        <v>7981</v>
      </c>
      <c r="H105" s="285" t="s">
        <v>5127</v>
      </c>
      <c r="I105" s="18"/>
      <c r="J105" s="22" t="s">
        <v>9411</v>
      </c>
      <c r="K105" s="15">
        <v>40544</v>
      </c>
      <c r="L105" s="289" t="s">
        <v>1029</v>
      </c>
      <c r="M105" s="15">
        <v>39385</v>
      </c>
      <c r="N105" s="16">
        <v>1</v>
      </c>
      <c r="O105" s="40">
        <v>41131</v>
      </c>
      <c r="P105" s="40">
        <v>41131</v>
      </c>
      <c r="Q105" s="40">
        <f t="shared" si="2"/>
        <v>0</v>
      </c>
      <c r="R105" s="285" t="s">
        <v>5071</v>
      </c>
      <c r="S105" s="15"/>
      <c r="T105" s="285"/>
    </row>
    <row r="106" spans="1:20" ht="71.25" customHeight="1" x14ac:dyDescent="0.2">
      <c r="A106" s="289">
        <v>105</v>
      </c>
      <c r="B106" s="12" t="s">
        <v>565</v>
      </c>
      <c r="C106" s="289" t="s">
        <v>5274</v>
      </c>
      <c r="D106" s="9" t="s">
        <v>4440</v>
      </c>
      <c r="E106" s="14">
        <v>40057</v>
      </c>
      <c r="F106" s="13" t="s">
        <v>7072</v>
      </c>
      <c r="G106" s="285" t="s">
        <v>7981</v>
      </c>
      <c r="H106" s="285" t="s">
        <v>5127</v>
      </c>
      <c r="I106" s="18"/>
      <c r="J106" s="22" t="s">
        <v>9411</v>
      </c>
      <c r="K106" s="15">
        <v>40544</v>
      </c>
      <c r="L106" s="289" t="s">
        <v>1029</v>
      </c>
      <c r="M106" s="15">
        <v>40057</v>
      </c>
      <c r="N106" s="16">
        <v>1</v>
      </c>
      <c r="O106" s="40">
        <v>41910</v>
      </c>
      <c r="P106" s="40">
        <v>41910</v>
      </c>
      <c r="Q106" s="40">
        <f t="shared" si="2"/>
        <v>0</v>
      </c>
      <c r="R106" s="285" t="s">
        <v>5071</v>
      </c>
      <c r="S106" s="15">
        <v>39737</v>
      </c>
      <c r="T106" s="285">
        <v>1688</v>
      </c>
    </row>
    <row r="107" spans="1:20" ht="71.25" customHeight="1" x14ac:dyDescent="0.2">
      <c r="A107" s="289">
        <v>106</v>
      </c>
      <c r="B107" s="12" t="s">
        <v>5564</v>
      </c>
      <c r="C107" s="289" t="s">
        <v>5274</v>
      </c>
      <c r="D107" s="9" t="s">
        <v>6619</v>
      </c>
      <c r="E107" s="22" t="s">
        <v>6620</v>
      </c>
      <c r="F107" s="13" t="s">
        <v>6621</v>
      </c>
      <c r="G107" s="285" t="s">
        <v>2074</v>
      </c>
      <c r="H107" s="285" t="s">
        <v>5127</v>
      </c>
      <c r="I107" s="18"/>
      <c r="J107" s="285" t="s">
        <v>3132</v>
      </c>
      <c r="K107" s="15">
        <v>39807</v>
      </c>
      <c r="L107" s="22" t="s">
        <v>3635</v>
      </c>
      <c r="M107" s="15">
        <v>41306</v>
      </c>
      <c r="N107" s="16">
        <v>1</v>
      </c>
      <c r="O107" s="40">
        <v>6180</v>
      </c>
      <c r="P107" s="40">
        <v>6180</v>
      </c>
      <c r="Q107" s="40">
        <f t="shared" si="2"/>
        <v>0</v>
      </c>
      <c r="R107" s="285" t="s">
        <v>5587</v>
      </c>
      <c r="S107" s="15">
        <v>39807</v>
      </c>
      <c r="T107" s="285" t="s">
        <v>5891</v>
      </c>
    </row>
    <row r="108" spans="1:20" ht="30" customHeight="1" x14ac:dyDescent="0.2">
      <c r="A108" s="289">
        <v>107</v>
      </c>
      <c r="B108" s="12" t="s">
        <v>5565</v>
      </c>
      <c r="C108" s="289" t="s">
        <v>5274</v>
      </c>
      <c r="D108" s="9" t="s">
        <v>4396</v>
      </c>
      <c r="E108" s="22" t="s">
        <v>6361</v>
      </c>
      <c r="F108" s="13" t="s">
        <v>5084</v>
      </c>
      <c r="G108" s="285" t="s">
        <v>7917</v>
      </c>
      <c r="H108" s="285" t="s">
        <v>5127</v>
      </c>
      <c r="I108" s="18"/>
      <c r="J108" s="285"/>
      <c r="K108" s="289"/>
      <c r="L108" s="22"/>
      <c r="M108" s="15">
        <v>41275</v>
      </c>
      <c r="N108" s="16">
        <v>1</v>
      </c>
      <c r="O108" s="40">
        <v>75000</v>
      </c>
      <c r="P108" s="40">
        <v>75000</v>
      </c>
      <c r="Q108" s="40">
        <f t="shared" si="2"/>
        <v>0</v>
      </c>
      <c r="R108" s="285" t="s">
        <v>4658</v>
      </c>
      <c r="S108" s="15">
        <v>39750</v>
      </c>
      <c r="T108" s="285">
        <v>1881</v>
      </c>
    </row>
    <row r="109" spans="1:20" ht="96" customHeight="1" x14ac:dyDescent="0.2">
      <c r="A109" s="289">
        <v>108</v>
      </c>
      <c r="B109" s="12" t="s">
        <v>5566</v>
      </c>
      <c r="C109" s="289" t="s">
        <v>5274</v>
      </c>
      <c r="D109" s="9" t="s">
        <v>4998</v>
      </c>
      <c r="E109" s="14">
        <v>40057</v>
      </c>
      <c r="F109" s="122" t="s">
        <v>7073</v>
      </c>
      <c r="G109" s="285" t="s">
        <v>7981</v>
      </c>
      <c r="H109" s="285" t="s">
        <v>5127</v>
      </c>
      <c r="I109" s="18"/>
      <c r="J109" s="22" t="s">
        <v>9411</v>
      </c>
      <c r="K109" s="15">
        <v>40544</v>
      </c>
      <c r="L109" s="289" t="s">
        <v>1029</v>
      </c>
      <c r="M109" s="15">
        <v>40057</v>
      </c>
      <c r="N109" s="16">
        <v>1</v>
      </c>
      <c r="O109" s="40">
        <v>8000</v>
      </c>
      <c r="P109" s="40">
        <v>8000</v>
      </c>
      <c r="Q109" s="40">
        <f t="shared" si="2"/>
        <v>0</v>
      </c>
      <c r="R109" s="285" t="s">
        <v>4658</v>
      </c>
      <c r="S109" s="15">
        <v>39794</v>
      </c>
      <c r="T109" s="285">
        <v>2513</v>
      </c>
    </row>
    <row r="110" spans="1:20" ht="98.25" customHeight="1" x14ac:dyDescent="0.2">
      <c r="A110" s="289">
        <v>109</v>
      </c>
      <c r="B110" s="12" t="s">
        <v>5567</v>
      </c>
      <c r="C110" s="289" t="s">
        <v>5274</v>
      </c>
      <c r="D110" s="9" t="s">
        <v>9486</v>
      </c>
      <c r="E110" s="14">
        <v>39813</v>
      </c>
      <c r="F110" s="13" t="s">
        <v>4419</v>
      </c>
      <c r="G110" s="285" t="s">
        <v>7982</v>
      </c>
      <c r="H110" s="285" t="s">
        <v>5127</v>
      </c>
      <c r="I110" s="18"/>
      <c r="J110" s="285" t="s">
        <v>9411</v>
      </c>
      <c r="K110" s="15">
        <v>40544</v>
      </c>
      <c r="L110" s="289" t="s">
        <v>1029</v>
      </c>
      <c r="M110" s="15">
        <v>39813</v>
      </c>
      <c r="N110" s="16">
        <v>1</v>
      </c>
      <c r="O110" s="40">
        <v>7818</v>
      </c>
      <c r="P110" s="40">
        <v>7818</v>
      </c>
      <c r="Q110" s="40">
        <f t="shared" si="2"/>
        <v>0</v>
      </c>
      <c r="R110" s="285" t="s">
        <v>4658</v>
      </c>
      <c r="S110" s="15">
        <v>39742</v>
      </c>
      <c r="T110" s="285">
        <v>1714</v>
      </c>
    </row>
    <row r="111" spans="1:20" ht="30" customHeight="1" x14ac:dyDescent="0.2">
      <c r="A111" s="289">
        <v>110</v>
      </c>
      <c r="B111" s="12" t="s">
        <v>5568</v>
      </c>
      <c r="C111" s="289" t="s">
        <v>5274</v>
      </c>
      <c r="D111" s="9" t="s">
        <v>3591</v>
      </c>
      <c r="E111" s="22" t="s">
        <v>6670</v>
      </c>
      <c r="F111" s="13" t="s">
        <v>6645</v>
      </c>
      <c r="G111" s="285" t="s">
        <v>7917</v>
      </c>
      <c r="H111" s="285" t="s">
        <v>5127</v>
      </c>
      <c r="I111" s="18"/>
      <c r="J111" s="285"/>
      <c r="K111" s="289"/>
      <c r="L111" s="22"/>
      <c r="M111" s="15">
        <v>41000</v>
      </c>
      <c r="N111" s="16">
        <v>1</v>
      </c>
      <c r="O111" s="40">
        <v>3744</v>
      </c>
      <c r="P111" s="40">
        <v>3744</v>
      </c>
      <c r="Q111" s="40">
        <f t="shared" si="2"/>
        <v>0</v>
      </c>
      <c r="R111" s="285" t="s">
        <v>4658</v>
      </c>
      <c r="S111" s="15">
        <v>39762</v>
      </c>
      <c r="T111" s="285">
        <v>2034</v>
      </c>
    </row>
    <row r="112" spans="1:20" ht="86.25" customHeight="1" x14ac:dyDescent="0.2">
      <c r="A112" s="289">
        <v>111</v>
      </c>
      <c r="B112" s="12" t="s">
        <v>2807</v>
      </c>
      <c r="C112" s="289" t="s">
        <v>5274</v>
      </c>
      <c r="D112" s="9" t="s">
        <v>4079</v>
      </c>
      <c r="E112" s="14">
        <v>39813</v>
      </c>
      <c r="F112" s="36" t="s">
        <v>6362</v>
      </c>
      <c r="G112" s="285" t="s">
        <v>7981</v>
      </c>
      <c r="H112" s="285" t="s">
        <v>5127</v>
      </c>
      <c r="I112" s="18"/>
      <c r="J112" s="22" t="s">
        <v>9411</v>
      </c>
      <c r="K112" s="15">
        <v>40544</v>
      </c>
      <c r="L112" s="289" t="s">
        <v>1029</v>
      </c>
      <c r="M112" s="15">
        <v>39813</v>
      </c>
      <c r="N112" s="16">
        <v>1</v>
      </c>
      <c r="O112" s="40">
        <v>3200</v>
      </c>
      <c r="P112" s="40">
        <v>3200</v>
      </c>
      <c r="Q112" s="40">
        <f t="shared" si="2"/>
        <v>0</v>
      </c>
      <c r="R112" s="285" t="s">
        <v>4658</v>
      </c>
      <c r="S112" s="15">
        <v>39742</v>
      </c>
      <c r="T112" s="285">
        <v>1713</v>
      </c>
    </row>
    <row r="113" spans="1:20" ht="30" customHeight="1" x14ac:dyDescent="0.2">
      <c r="A113" s="289">
        <v>112</v>
      </c>
      <c r="B113" s="12" t="s">
        <v>2808</v>
      </c>
      <c r="C113" s="289"/>
      <c r="D113" s="9" t="s">
        <v>932</v>
      </c>
      <c r="E113" s="14">
        <v>39813</v>
      </c>
      <c r="F113" s="9" t="s">
        <v>6867</v>
      </c>
      <c r="G113" s="285" t="s">
        <v>7917</v>
      </c>
      <c r="H113" s="285" t="s">
        <v>5127</v>
      </c>
      <c r="I113" s="18"/>
      <c r="J113" s="285"/>
      <c r="K113" s="289"/>
      <c r="L113" s="22"/>
      <c r="M113" s="15">
        <v>41000</v>
      </c>
      <c r="N113" s="16">
        <v>25</v>
      </c>
      <c r="O113" s="40">
        <v>77826.5</v>
      </c>
      <c r="P113" s="40">
        <v>77826.5</v>
      </c>
      <c r="Q113" s="40">
        <f t="shared" si="2"/>
        <v>0</v>
      </c>
      <c r="R113" s="285" t="s">
        <v>5071</v>
      </c>
      <c r="S113" s="15">
        <v>39742</v>
      </c>
      <c r="T113" s="285">
        <v>1713</v>
      </c>
    </row>
    <row r="114" spans="1:20" ht="99" customHeight="1" x14ac:dyDescent="0.2">
      <c r="A114" s="289">
        <v>113</v>
      </c>
      <c r="B114" s="12" t="s">
        <v>2809</v>
      </c>
      <c r="C114" s="289" t="s">
        <v>5274</v>
      </c>
      <c r="D114" s="9" t="s">
        <v>1761</v>
      </c>
      <c r="E114" s="14">
        <v>39813</v>
      </c>
      <c r="F114" s="13" t="s">
        <v>4420</v>
      </c>
      <c r="G114" s="285" t="s">
        <v>7981</v>
      </c>
      <c r="H114" s="285" t="s">
        <v>5127</v>
      </c>
      <c r="I114" s="18"/>
      <c r="J114" s="22" t="s">
        <v>9411</v>
      </c>
      <c r="K114" s="15">
        <v>40544</v>
      </c>
      <c r="L114" s="289" t="s">
        <v>1029</v>
      </c>
      <c r="M114" s="15">
        <v>39813</v>
      </c>
      <c r="N114" s="16">
        <v>1</v>
      </c>
      <c r="O114" s="40">
        <v>4090</v>
      </c>
      <c r="P114" s="40">
        <v>4090</v>
      </c>
      <c r="Q114" s="40">
        <f t="shared" si="2"/>
        <v>0</v>
      </c>
      <c r="R114" s="285" t="s">
        <v>4658</v>
      </c>
      <c r="S114" s="15">
        <v>39752</v>
      </c>
      <c r="T114" s="285">
        <v>36</v>
      </c>
    </row>
    <row r="115" spans="1:20" ht="99" customHeight="1" x14ac:dyDescent="0.2">
      <c r="A115" s="289">
        <v>114</v>
      </c>
      <c r="B115" s="12" t="s">
        <v>2810</v>
      </c>
      <c r="C115" s="289"/>
      <c r="D115" s="9" t="s">
        <v>2651</v>
      </c>
      <c r="E115" s="22" t="s">
        <v>6663</v>
      </c>
      <c r="F115" s="9" t="s">
        <v>6662</v>
      </c>
      <c r="G115" s="285" t="s">
        <v>6266</v>
      </c>
      <c r="H115" s="285" t="s">
        <v>5127</v>
      </c>
      <c r="I115" s="18"/>
      <c r="J115" s="285" t="s">
        <v>9411</v>
      </c>
      <c r="K115" s="15">
        <v>40544</v>
      </c>
      <c r="L115" s="22" t="s">
        <v>1029</v>
      </c>
      <c r="M115" s="15">
        <v>39813</v>
      </c>
      <c r="N115" s="16">
        <v>1</v>
      </c>
      <c r="O115" s="40">
        <v>5456</v>
      </c>
      <c r="P115" s="40">
        <v>5456</v>
      </c>
      <c r="Q115" s="40">
        <f t="shared" si="2"/>
        <v>0</v>
      </c>
      <c r="R115" s="285" t="s">
        <v>4658</v>
      </c>
      <c r="S115" s="15">
        <v>39762</v>
      </c>
      <c r="T115" s="285">
        <v>2031</v>
      </c>
    </row>
    <row r="116" spans="1:20" ht="57.75" customHeight="1" x14ac:dyDescent="0.2">
      <c r="A116" s="289">
        <v>115</v>
      </c>
      <c r="B116" s="12" t="s">
        <v>2811</v>
      </c>
      <c r="C116" s="289"/>
      <c r="D116" s="9" t="s">
        <v>217</v>
      </c>
      <c r="E116" s="22" t="s">
        <v>1639</v>
      </c>
      <c r="F116" s="13" t="s">
        <v>4421</v>
      </c>
      <c r="G116" s="285" t="s">
        <v>101</v>
      </c>
      <c r="H116" s="285" t="s">
        <v>5127</v>
      </c>
      <c r="I116" s="18"/>
      <c r="J116" s="285" t="s">
        <v>3136</v>
      </c>
      <c r="K116" s="15">
        <v>42283</v>
      </c>
      <c r="L116" s="22" t="s">
        <v>3992</v>
      </c>
      <c r="M116" s="15">
        <v>39724</v>
      </c>
      <c r="N116" s="16">
        <v>2</v>
      </c>
      <c r="O116" s="40">
        <v>67200</v>
      </c>
      <c r="P116" s="40">
        <v>67200</v>
      </c>
      <c r="Q116" s="40">
        <f t="shared" si="2"/>
        <v>0</v>
      </c>
      <c r="R116" s="285" t="s">
        <v>4658</v>
      </c>
      <c r="S116" s="15">
        <v>39724</v>
      </c>
      <c r="T116" s="285" t="s">
        <v>5892</v>
      </c>
    </row>
    <row r="117" spans="1:20" ht="99" customHeight="1" x14ac:dyDescent="0.2">
      <c r="A117" s="289">
        <v>116</v>
      </c>
      <c r="B117" s="12" t="s">
        <v>2812</v>
      </c>
      <c r="C117" s="289" t="s">
        <v>5274</v>
      </c>
      <c r="D117" s="9" t="s">
        <v>6168</v>
      </c>
      <c r="E117" s="14">
        <v>39813</v>
      </c>
      <c r="F117" s="9" t="s">
        <v>4422</v>
      </c>
      <c r="G117" s="285" t="s">
        <v>7981</v>
      </c>
      <c r="H117" s="285" t="s">
        <v>5127</v>
      </c>
      <c r="I117" s="18"/>
      <c r="J117" s="22" t="s">
        <v>9411</v>
      </c>
      <c r="K117" s="15">
        <v>40544</v>
      </c>
      <c r="L117" s="289" t="s">
        <v>1029</v>
      </c>
      <c r="M117" s="15">
        <v>39813</v>
      </c>
      <c r="N117" s="16">
        <v>1</v>
      </c>
      <c r="O117" s="40">
        <v>3186</v>
      </c>
      <c r="P117" s="40">
        <v>3186</v>
      </c>
      <c r="Q117" s="40">
        <f t="shared" si="2"/>
        <v>0</v>
      </c>
      <c r="R117" s="285" t="s">
        <v>4658</v>
      </c>
      <c r="S117" s="15">
        <v>39659</v>
      </c>
      <c r="T117" s="285">
        <v>4686</v>
      </c>
    </row>
    <row r="118" spans="1:20" ht="58.5" customHeight="1" x14ac:dyDescent="0.2">
      <c r="A118" s="289">
        <v>117</v>
      </c>
      <c r="B118" s="12" t="s">
        <v>2813</v>
      </c>
      <c r="C118" s="289" t="s">
        <v>5274</v>
      </c>
      <c r="D118" s="9" t="s">
        <v>3538</v>
      </c>
      <c r="E118" s="14">
        <v>39813</v>
      </c>
      <c r="F118" s="13" t="s">
        <v>4423</v>
      </c>
      <c r="G118" s="285" t="s">
        <v>7981</v>
      </c>
      <c r="H118" s="285" t="s">
        <v>5127</v>
      </c>
      <c r="I118" s="18"/>
      <c r="J118" s="22" t="s">
        <v>9411</v>
      </c>
      <c r="K118" s="15">
        <v>40544</v>
      </c>
      <c r="L118" s="289" t="s">
        <v>1029</v>
      </c>
      <c r="M118" s="15">
        <v>39813</v>
      </c>
      <c r="N118" s="16">
        <v>1</v>
      </c>
      <c r="O118" s="40">
        <v>29836</v>
      </c>
      <c r="P118" s="40">
        <v>29836</v>
      </c>
      <c r="Q118" s="40">
        <f t="shared" si="2"/>
        <v>0</v>
      </c>
      <c r="R118" s="285" t="s">
        <v>4658</v>
      </c>
      <c r="S118" s="15">
        <v>39659</v>
      </c>
      <c r="T118" s="285">
        <v>4686</v>
      </c>
    </row>
    <row r="119" spans="1:20" ht="58.5" customHeight="1" x14ac:dyDescent="0.2">
      <c r="A119" s="289">
        <v>118</v>
      </c>
      <c r="B119" s="12" t="s">
        <v>4908</v>
      </c>
      <c r="C119" s="289" t="s">
        <v>5274</v>
      </c>
      <c r="D119" s="9" t="s">
        <v>1035</v>
      </c>
      <c r="E119" s="14">
        <v>39813</v>
      </c>
      <c r="F119" s="13" t="s">
        <v>4424</v>
      </c>
      <c r="G119" s="285" t="s">
        <v>7981</v>
      </c>
      <c r="H119" s="285" t="s">
        <v>5127</v>
      </c>
      <c r="I119" s="18"/>
      <c r="J119" s="22" t="s">
        <v>9411</v>
      </c>
      <c r="K119" s="15">
        <v>40544</v>
      </c>
      <c r="L119" s="289" t="s">
        <v>1029</v>
      </c>
      <c r="M119" s="15">
        <v>39813</v>
      </c>
      <c r="N119" s="16">
        <v>1</v>
      </c>
      <c r="O119" s="40">
        <v>9863</v>
      </c>
      <c r="P119" s="40">
        <v>9863</v>
      </c>
      <c r="Q119" s="40">
        <f t="shared" si="2"/>
        <v>0</v>
      </c>
      <c r="R119" s="285" t="s">
        <v>4658</v>
      </c>
      <c r="S119" s="15">
        <v>39659</v>
      </c>
      <c r="T119" s="285">
        <v>4686</v>
      </c>
    </row>
    <row r="120" spans="1:20" ht="30" customHeight="1" x14ac:dyDescent="0.2">
      <c r="A120" s="289">
        <v>119</v>
      </c>
      <c r="B120" s="12" t="s">
        <v>4909</v>
      </c>
      <c r="C120" s="289" t="s">
        <v>5274</v>
      </c>
      <c r="D120" s="9" t="s">
        <v>2310</v>
      </c>
      <c r="E120" s="180" t="s">
        <v>3537</v>
      </c>
      <c r="F120" s="13" t="s">
        <v>6868</v>
      </c>
      <c r="G120" s="285" t="s">
        <v>7917</v>
      </c>
      <c r="H120" s="285" t="s">
        <v>5127</v>
      </c>
      <c r="I120" s="18"/>
      <c r="J120" s="285"/>
      <c r="K120" s="289"/>
      <c r="L120" s="22"/>
      <c r="M120" s="15">
        <v>41000</v>
      </c>
      <c r="N120" s="16">
        <v>1</v>
      </c>
      <c r="O120" s="40">
        <v>10000</v>
      </c>
      <c r="P120" s="40">
        <v>10000</v>
      </c>
      <c r="Q120" s="40">
        <f t="shared" si="2"/>
        <v>0</v>
      </c>
      <c r="R120" s="285" t="s">
        <v>4658</v>
      </c>
      <c r="S120" s="15">
        <v>39720</v>
      </c>
      <c r="T120" s="285">
        <v>1426</v>
      </c>
    </row>
    <row r="121" spans="1:20" ht="30" customHeight="1" x14ac:dyDescent="0.2">
      <c r="A121" s="289">
        <v>120</v>
      </c>
      <c r="B121" s="12" t="s">
        <v>4910</v>
      </c>
      <c r="C121" s="289" t="s">
        <v>5274</v>
      </c>
      <c r="D121" s="9" t="s">
        <v>3366</v>
      </c>
      <c r="E121" s="180" t="s">
        <v>3537</v>
      </c>
      <c r="F121" s="13" t="s">
        <v>6490</v>
      </c>
      <c r="G121" s="285" t="s">
        <v>7917</v>
      </c>
      <c r="H121" s="285" t="s">
        <v>5127</v>
      </c>
      <c r="I121" s="18"/>
      <c r="J121" s="285"/>
      <c r="K121" s="289"/>
      <c r="L121" s="22"/>
      <c r="M121" s="15">
        <v>40544</v>
      </c>
      <c r="N121" s="16">
        <v>2</v>
      </c>
      <c r="O121" s="40">
        <v>32000</v>
      </c>
      <c r="P121" s="40">
        <v>32000</v>
      </c>
      <c r="Q121" s="40">
        <f t="shared" si="2"/>
        <v>0</v>
      </c>
      <c r="R121" s="285" t="s">
        <v>4658</v>
      </c>
      <c r="S121" s="15">
        <v>39720</v>
      </c>
      <c r="T121" s="285">
        <v>1426</v>
      </c>
    </row>
    <row r="122" spans="1:20" ht="58.5" customHeight="1" x14ac:dyDescent="0.2">
      <c r="A122" s="289">
        <v>121</v>
      </c>
      <c r="B122" s="12" t="s">
        <v>4911</v>
      </c>
      <c r="C122" s="289" t="s">
        <v>5274</v>
      </c>
      <c r="D122" s="9" t="s">
        <v>2310</v>
      </c>
      <c r="E122" s="14">
        <v>40057</v>
      </c>
      <c r="F122" s="13" t="s">
        <v>1216</v>
      </c>
      <c r="G122" s="285" t="s">
        <v>7981</v>
      </c>
      <c r="H122" s="285" t="s">
        <v>5127</v>
      </c>
      <c r="I122" s="18"/>
      <c r="J122" s="22" t="s">
        <v>9411</v>
      </c>
      <c r="K122" s="15">
        <v>40544</v>
      </c>
      <c r="L122" s="289" t="s">
        <v>1029</v>
      </c>
      <c r="M122" s="15">
        <v>40057</v>
      </c>
      <c r="N122" s="16">
        <v>1</v>
      </c>
      <c r="O122" s="40">
        <v>10000</v>
      </c>
      <c r="P122" s="40">
        <v>10000</v>
      </c>
      <c r="Q122" s="40">
        <f t="shared" si="2"/>
        <v>0</v>
      </c>
      <c r="R122" s="285" t="s">
        <v>4658</v>
      </c>
      <c r="S122" s="15">
        <v>39720</v>
      </c>
      <c r="T122" s="285">
        <v>1427</v>
      </c>
    </row>
    <row r="123" spans="1:20" ht="58.5" customHeight="1" x14ac:dyDescent="0.2">
      <c r="A123" s="289">
        <v>122</v>
      </c>
      <c r="B123" s="12" t="s">
        <v>4912</v>
      </c>
      <c r="C123" s="289" t="s">
        <v>5274</v>
      </c>
      <c r="D123" s="9" t="s">
        <v>3106</v>
      </c>
      <c r="E123" s="14">
        <v>40057</v>
      </c>
      <c r="F123" s="9" t="s">
        <v>7074</v>
      </c>
      <c r="G123" s="285" t="s">
        <v>7981</v>
      </c>
      <c r="H123" s="285" t="s">
        <v>5127</v>
      </c>
      <c r="I123" s="18"/>
      <c r="J123" s="22" t="s">
        <v>9411</v>
      </c>
      <c r="K123" s="15">
        <v>40544</v>
      </c>
      <c r="L123" s="289" t="s">
        <v>1029</v>
      </c>
      <c r="M123" s="15">
        <v>40057</v>
      </c>
      <c r="N123" s="16">
        <v>2</v>
      </c>
      <c r="O123" s="40">
        <v>32000</v>
      </c>
      <c r="P123" s="40">
        <v>32000</v>
      </c>
      <c r="Q123" s="40">
        <f t="shared" si="2"/>
        <v>0</v>
      </c>
      <c r="R123" s="285" t="s">
        <v>4658</v>
      </c>
      <c r="S123" s="15">
        <v>39720</v>
      </c>
      <c r="T123" s="285">
        <v>1427</v>
      </c>
    </row>
    <row r="124" spans="1:20" ht="58.5" customHeight="1" x14ac:dyDescent="0.2">
      <c r="A124" s="289">
        <v>123</v>
      </c>
      <c r="B124" s="12" t="s">
        <v>4913</v>
      </c>
      <c r="C124" s="289" t="s">
        <v>5274</v>
      </c>
      <c r="D124" s="9" t="s">
        <v>2008</v>
      </c>
      <c r="E124" s="14">
        <v>39813</v>
      </c>
      <c r="F124" s="13" t="s">
        <v>3986</v>
      </c>
      <c r="G124" s="285" t="s">
        <v>7982</v>
      </c>
      <c r="H124" s="285" t="s">
        <v>5127</v>
      </c>
      <c r="I124" s="18"/>
      <c r="J124" s="285" t="s">
        <v>9411</v>
      </c>
      <c r="K124" s="15">
        <v>40544</v>
      </c>
      <c r="L124" s="289" t="s">
        <v>1029</v>
      </c>
      <c r="M124" s="15">
        <v>39813</v>
      </c>
      <c r="N124" s="16">
        <v>1</v>
      </c>
      <c r="O124" s="40">
        <v>10000</v>
      </c>
      <c r="P124" s="40">
        <v>10000</v>
      </c>
      <c r="Q124" s="40">
        <f t="shared" si="2"/>
        <v>0</v>
      </c>
      <c r="R124" s="285" t="s">
        <v>4658</v>
      </c>
      <c r="S124" s="15">
        <v>39686</v>
      </c>
      <c r="T124" s="285">
        <v>419</v>
      </c>
    </row>
    <row r="125" spans="1:20" ht="58.5" customHeight="1" x14ac:dyDescent="0.2">
      <c r="A125" s="289">
        <v>124</v>
      </c>
      <c r="B125" s="12" t="s">
        <v>4914</v>
      </c>
      <c r="C125" s="289" t="s">
        <v>5274</v>
      </c>
      <c r="D125" s="9" t="s">
        <v>17</v>
      </c>
      <c r="E125" s="14">
        <v>39813</v>
      </c>
      <c r="F125" s="13" t="s">
        <v>798</v>
      </c>
      <c r="G125" s="285" t="s">
        <v>7982</v>
      </c>
      <c r="H125" s="285" t="s">
        <v>5127</v>
      </c>
      <c r="I125" s="18"/>
      <c r="J125" s="285" t="s">
        <v>9411</v>
      </c>
      <c r="K125" s="15">
        <v>40544</v>
      </c>
      <c r="L125" s="289" t="s">
        <v>1029</v>
      </c>
      <c r="M125" s="15">
        <v>39813</v>
      </c>
      <c r="N125" s="16">
        <v>1</v>
      </c>
      <c r="O125" s="40">
        <v>19990</v>
      </c>
      <c r="P125" s="40">
        <v>19990</v>
      </c>
      <c r="Q125" s="40">
        <f t="shared" si="2"/>
        <v>0</v>
      </c>
      <c r="R125" s="285" t="s">
        <v>4658</v>
      </c>
      <c r="S125" s="15">
        <v>39713</v>
      </c>
      <c r="T125" s="285">
        <v>89</v>
      </c>
    </row>
    <row r="126" spans="1:20" ht="58.5" customHeight="1" x14ac:dyDescent="0.2">
      <c r="A126" s="289">
        <v>125</v>
      </c>
      <c r="B126" s="12" t="s">
        <v>4915</v>
      </c>
      <c r="C126" s="289"/>
      <c r="D126" s="9" t="s">
        <v>5400</v>
      </c>
      <c r="E126" s="14">
        <v>39813</v>
      </c>
      <c r="F126" s="13" t="s">
        <v>6965</v>
      </c>
      <c r="G126" s="285" t="s">
        <v>7982</v>
      </c>
      <c r="H126" s="285" t="s">
        <v>5127</v>
      </c>
      <c r="I126" s="18"/>
      <c r="J126" s="285" t="s">
        <v>9411</v>
      </c>
      <c r="K126" s="15">
        <v>40544</v>
      </c>
      <c r="L126" s="289" t="s">
        <v>1029</v>
      </c>
      <c r="M126" s="15">
        <v>39813</v>
      </c>
      <c r="N126" s="16">
        <v>1</v>
      </c>
      <c r="O126" s="40">
        <v>17990</v>
      </c>
      <c r="P126" s="40">
        <v>17990</v>
      </c>
      <c r="Q126" s="40">
        <f t="shared" si="2"/>
        <v>0</v>
      </c>
      <c r="R126" s="285" t="s">
        <v>4658</v>
      </c>
      <c r="S126" s="15">
        <v>39723</v>
      </c>
      <c r="T126" s="285">
        <v>21</v>
      </c>
    </row>
    <row r="127" spans="1:20" ht="58.5" customHeight="1" x14ac:dyDescent="0.2">
      <c r="A127" s="289">
        <v>126</v>
      </c>
      <c r="B127" s="12" t="s">
        <v>4916</v>
      </c>
      <c r="C127" s="289"/>
      <c r="D127" s="9" t="s">
        <v>3911</v>
      </c>
      <c r="E127" s="14">
        <v>39813</v>
      </c>
      <c r="F127" s="13" t="s">
        <v>6966</v>
      </c>
      <c r="G127" s="285" t="s">
        <v>7982</v>
      </c>
      <c r="H127" s="285" t="s">
        <v>5127</v>
      </c>
      <c r="I127" s="18"/>
      <c r="J127" s="285" t="s">
        <v>9411</v>
      </c>
      <c r="K127" s="15">
        <v>40544</v>
      </c>
      <c r="L127" s="289" t="s">
        <v>1029</v>
      </c>
      <c r="M127" s="15">
        <v>39813</v>
      </c>
      <c r="N127" s="16">
        <v>1</v>
      </c>
      <c r="O127" s="40">
        <v>12390</v>
      </c>
      <c r="P127" s="40">
        <v>12390</v>
      </c>
      <c r="Q127" s="40">
        <f t="shared" si="2"/>
        <v>0</v>
      </c>
      <c r="R127" s="285" t="s">
        <v>4658</v>
      </c>
      <c r="S127" s="15">
        <v>39723</v>
      </c>
      <c r="T127" s="285">
        <v>21</v>
      </c>
    </row>
    <row r="128" spans="1:20" ht="58.5" customHeight="1" x14ac:dyDescent="0.2">
      <c r="A128" s="289">
        <v>127</v>
      </c>
      <c r="B128" s="12" t="s">
        <v>4917</v>
      </c>
      <c r="C128" s="289" t="s">
        <v>5274</v>
      </c>
      <c r="D128" s="9" t="s">
        <v>260</v>
      </c>
      <c r="E128" s="14">
        <v>39813</v>
      </c>
      <c r="F128" s="13" t="s">
        <v>4657</v>
      </c>
      <c r="G128" s="285" t="s">
        <v>7982</v>
      </c>
      <c r="H128" s="285" t="s">
        <v>5127</v>
      </c>
      <c r="I128" s="18"/>
      <c r="J128" s="285" t="s">
        <v>9411</v>
      </c>
      <c r="K128" s="15">
        <v>40544</v>
      </c>
      <c r="L128" s="289" t="s">
        <v>1029</v>
      </c>
      <c r="M128" s="15">
        <v>39813</v>
      </c>
      <c r="N128" s="16">
        <v>2</v>
      </c>
      <c r="O128" s="40">
        <v>60000</v>
      </c>
      <c r="P128" s="40">
        <v>60000</v>
      </c>
      <c r="Q128" s="40">
        <f t="shared" si="2"/>
        <v>0</v>
      </c>
      <c r="R128" s="285" t="s">
        <v>4658</v>
      </c>
      <c r="S128" s="15">
        <v>39685</v>
      </c>
      <c r="T128" s="285">
        <v>561</v>
      </c>
    </row>
    <row r="129" spans="1:20" ht="58.5" customHeight="1" x14ac:dyDescent="0.2">
      <c r="A129" s="289">
        <v>128</v>
      </c>
      <c r="B129" s="12" t="s">
        <v>4918</v>
      </c>
      <c r="C129" s="289" t="s">
        <v>5274</v>
      </c>
      <c r="D129" s="9" t="s">
        <v>260</v>
      </c>
      <c r="E129" s="14">
        <v>39813</v>
      </c>
      <c r="F129" s="13" t="s">
        <v>6790</v>
      </c>
      <c r="G129" s="285" t="s">
        <v>7981</v>
      </c>
      <c r="H129" s="285" t="s">
        <v>5127</v>
      </c>
      <c r="I129" s="18"/>
      <c r="J129" s="22" t="s">
        <v>9411</v>
      </c>
      <c r="K129" s="15">
        <v>40544</v>
      </c>
      <c r="L129" s="289" t="s">
        <v>1029</v>
      </c>
      <c r="M129" s="15">
        <v>39813</v>
      </c>
      <c r="N129" s="16">
        <v>1</v>
      </c>
      <c r="O129" s="40">
        <v>30000</v>
      </c>
      <c r="P129" s="40">
        <v>30000</v>
      </c>
      <c r="Q129" s="40">
        <f t="shared" si="2"/>
        <v>0</v>
      </c>
      <c r="R129" s="285" t="s">
        <v>5071</v>
      </c>
      <c r="S129" s="15">
        <v>39685</v>
      </c>
      <c r="T129" s="285">
        <v>559</v>
      </c>
    </row>
    <row r="130" spans="1:20" ht="58.5" customHeight="1" x14ac:dyDescent="0.2">
      <c r="A130" s="289">
        <v>129</v>
      </c>
      <c r="B130" s="12" t="s">
        <v>4919</v>
      </c>
      <c r="C130" s="289" t="s">
        <v>5274</v>
      </c>
      <c r="D130" s="9" t="s">
        <v>2444</v>
      </c>
      <c r="E130" s="14">
        <v>39813</v>
      </c>
      <c r="F130" s="13" t="s">
        <v>1523</v>
      </c>
      <c r="G130" s="285" t="s">
        <v>7981</v>
      </c>
      <c r="H130" s="285" t="s">
        <v>5127</v>
      </c>
      <c r="I130" s="18"/>
      <c r="J130" s="22" t="s">
        <v>9411</v>
      </c>
      <c r="K130" s="15">
        <v>40544</v>
      </c>
      <c r="L130" s="289" t="s">
        <v>1029</v>
      </c>
      <c r="M130" s="15">
        <v>39813</v>
      </c>
      <c r="N130" s="16">
        <v>1</v>
      </c>
      <c r="O130" s="40">
        <v>59000</v>
      </c>
      <c r="P130" s="40">
        <v>59000</v>
      </c>
      <c r="Q130" s="40">
        <f t="shared" si="2"/>
        <v>0</v>
      </c>
      <c r="R130" s="285" t="s">
        <v>5071</v>
      </c>
      <c r="S130" s="15">
        <v>39672</v>
      </c>
      <c r="T130" s="285">
        <v>548</v>
      </c>
    </row>
    <row r="131" spans="1:20" ht="58.5" customHeight="1" x14ac:dyDescent="0.2">
      <c r="A131" s="289">
        <v>130</v>
      </c>
      <c r="B131" s="12" t="s">
        <v>4920</v>
      </c>
      <c r="C131" s="289" t="s">
        <v>5274</v>
      </c>
      <c r="D131" s="9" t="s">
        <v>2444</v>
      </c>
      <c r="E131" s="14">
        <v>39813</v>
      </c>
      <c r="F131" s="13" t="s">
        <v>5085</v>
      </c>
      <c r="G131" s="285" t="s">
        <v>7982</v>
      </c>
      <c r="H131" s="285" t="s">
        <v>5127</v>
      </c>
      <c r="I131" s="18"/>
      <c r="J131" s="285" t="s">
        <v>9411</v>
      </c>
      <c r="K131" s="15">
        <v>40544</v>
      </c>
      <c r="L131" s="289" t="s">
        <v>1029</v>
      </c>
      <c r="M131" s="15">
        <v>39813</v>
      </c>
      <c r="N131" s="16">
        <v>1</v>
      </c>
      <c r="O131" s="40">
        <v>59000</v>
      </c>
      <c r="P131" s="40">
        <v>59000</v>
      </c>
      <c r="Q131" s="40">
        <f t="shared" ref="Q131:Q194" si="3">O131-P131</f>
        <v>0</v>
      </c>
      <c r="R131" s="285" t="s">
        <v>4658</v>
      </c>
      <c r="S131" s="15">
        <v>39672</v>
      </c>
      <c r="T131" s="285">
        <v>547</v>
      </c>
    </row>
    <row r="132" spans="1:20" ht="27.75" customHeight="1" x14ac:dyDescent="0.2">
      <c r="A132" s="289">
        <v>131</v>
      </c>
      <c r="B132" s="12" t="s">
        <v>4401</v>
      </c>
      <c r="C132" s="289" t="s">
        <v>5274</v>
      </c>
      <c r="D132" s="9" t="s">
        <v>2444</v>
      </c>
      <c r="E132" s="180" t="s">
        <v>3537</v>
      </c>
      <c r="F132" s="13" t="s">
        <v>6869</v>
      </c>
      <c r="G132" s="285" t="s">
        <v>7917</v>
      </c>
      <c r="H132" s="285" t="s">
        <v>5127</v>
      </c>
      <c r="I132" s="18"/>
      <c r="J132" s="285"/>
      <c r="K132" s="289"/>
      <c r="L132" s="22"/>
      <c r="M132" s="15">
        <v>41000</v>
      </c>
      <c r="N132" s="16">
        <v>2</v>
      </c>
      <c r="O132" s="40">
        <v>118000</v>
      </c>
      <c r="P132" s="40">
        <v>118000</v>
      </c>
      <c r="Q132" s="40">
        <f t="shared" si="3"/>
        <v>0</v>
      </c>
      <c r="R132" s="285" t="s">
        <v>4658</v>
      </c>
      <c r="S132" s="15">
        <v>39672</v>
      </c>
      <c r="T132" s="285">
        <v>545</v>
      </c>
    </row>
    <row r="133" spans="1:20" ht="27.75" customHeight="1" x14ac:dyDescent="0.2">
      <c r="A133" s="289">
        <v>132</v>
      </c>
      <c r="B133" s="12" t="s">
        <v>5435</v>
      </c>
      <c r="C133" s="289" t="s">
        <v>5274</v>
      </c>
      <c r="D133" s="9" t="s">
        <v>4998</v>
      </c>
      <c r="E133" s="180"/>
      <c r="F133" s="13" t="s">
        <v>6870</v>
      </c>
      <c r="G133" s="285" t="s">
        <v>7917</v>
      </c>
      <c r="H133" s="285" t="s">
        <v>5127</v>
      </c>
      <c r="I133" s="18"/>
      <c r="J133" s="285"/>
      <c r="K133" s="289"/>
      <c r="L133" s="22"/>
      <c r="M133" s="15">
        <v>41000</v>
      </c>
      <c r="N133" s="16">
        <v>1</v>
      </c>
      <c r="O133" s="40">
        <v>8000</v>
      </c>
      <c r="P133" s="40">
        <v>8000</v>
      </c>
      <c r="Q133" s="40">
        <f t="shared" si="3"/>
        <v>0</v>
      </c>
      <c r="R133" s="285" t="s">
        <v>4658</v>
      </c>
      <c r="S133" s="15">
        <v>39791</v>
      </c>
      <c r="T133" s="285">
        <v>2479</v>
      </c>
    </row>
    <row r="134" spans="1:20" ht="58.5" customHeight="1" x14ac:dyDescent="0.2">
      <c r="A134" s="289">
        <v>133</v>
      </c>
      <c r="B134" s="12" t="s">
        <v>5545</v>
      </c>
      <c r="C134" s="289" t="s">
        <v>5274</v>
      </c>
      <c r="D134" s="9" t="s">
        <v>4148</v>
      </c>
      <c r="E134" s="14">
        <v>39813</v>
      </c>
      <c r="F134" s="13" t="s">
        <v>6967</v>
      </c>
      <c r="G134" s="285" t="s">
        <v>7982</v>
      </c>
      <c r="H134" s="285" t="s">
        <v>5127</v>
      </c>
      <c r="I134" s="18"/>
      <c r="J134" s="285" t="s">
        <v>9411</v>
      </c>
      <c r="K134" s="15">
        <v>40544</v>
      </c>
      <c r="L134" s="289" t="s">
        <v>1029</v>
      </c>
      <c r="M134" s="15">
        <v>39813</v>
      </c>
      <c r="N134" s="16">
        <v>1</v>
      </c>
      <c r="O134" s="40">
        <v>18999</v>
      </c>
      <c r="P134" s="40">
        <v>18999</v>
      </c>
      <c r="Q134" s="40">
        <f t="shared" si="3"/>
        <v>0</v>
      </c>
      <c r="R134" s="285" t="s">
        <v>5071</v>
      </c>
      <c r="S134" s="15">
        <v>39742</v>
      </c>
      <c r="T134" s="285">
        <v>1714</v>
      </c>
    </row>
    <row r="135" spans="1:20" ht="58.5" customHeight="1" x14ac:dyDescent="0.2">
      <c r="A135" s="289">
        <v>134</v>
      </c>
      <c r="B135" s="12" t="s">
        <v>5546</v>
      </c>
      <c r="C135" s="289" t="s">
        <v>5274</v>
      </c>
      <c r="D135" s="9" t="s">
        <v>907</v>
      </c>
      <c r="E135" s="14">
        <v>39812</v>
      </c>
      <c r="F135" s="13" t="s">
        <v>6968</v>
      </c>
      <c r="G135" s="285" t="s">
        <v>7982</v>
      </c>
      <c r="H135" s="285" t="s">
        <v>5127</v>
      </c>
      <c r="I135" s="18"/>
      <c r="J135" s="285" t="s">
        <v>9411</v>
      </c>
      <c r="K135" s="15">
        <v>40544</v>
      </c>
      <c r="L135" s="289" t="s">
        <v>1029</v>
      </c>
      <c r="M135" s="15">
        <v>39812</v>
      </c>
      <c r="N135" s="16">
        <v>1</v>
      </c>
      <c r="O135" s="40">
        <v>12304</v>
      </c>
      <c r="P135" s="40">
        <v>12304</v>
      </c>
      <c r="Q135" s="40">
        <f t="shared" si="3"/>
        <v>0</v>
      </c>
      <c r="R135" s="285" t="s">
        <v>5071</v>
      </c>
      <c r="S135" s="15">
        <v>39742</v>
      </c>
      <c r="T135" s="285">
        <v>1714</v>
      </c>
    </row>
    <row r="136" spans="1:20" ht="58.5" customHeight="1" x14ac:dyDescent="0.2">
      <c r="A136" s="289">
        <v>135</v>
      </c>
      <c r="B136" s="12" t="s">
        <v>5547</v>
      </c>
      <c r="C136" s="289" t="s">
        <v>5274</v>
      </c>
      <c r="D136" s="9" t="s">
        <v>2749</v>
      </c>
      <c r="E136" s="14">
        <v>39812</v>
      </c>
      <c r="F136" s="13" t="s">
        <v>6969</v>
      </c>
      <c r="G136" s="285" t="s">
        <v>7982</v>
      </c>
      <c r="H136" s="285" t="s">
        <v>5127</v>
      </c>
      <c r="I136" s="18"/>
      <c r="J136" s="285" t="s">
        <v>9411</v>
      </c>
      <c r="K136" s="15">
        <v>40544</v>
      </c>
      <c r="L136" s="289" t="s">
        <v>1029</v>
      </c>
      <c r="M136" s="15">
        <v>39812</v>
      </c>
      <c r="N136" s="16">
        <v>1</v>
      </c>
      <c r="O136" s="40">
        <v>10271</v>
      </c>
      <c r="P136" s="40">
        <v>10271</v>
      </c>
      <c r="Q136" s="40">
        <f t="shared" si="3"/>
        <v>0</v>
      </c>
      <c r="R136" s="285" t="s">
        <v>5071</v>
      </c>
      <c r="S136" s="15">
        <v>39742</v>
      </c>
      <c r="T136" s="285">
        <v>1714</v>
      </c>
    </row>
    <row r="137" spans="1:20" ht="58.5" customHeight="1" x14ac:dyDescent="0.2">
      <c r="A137" s="289">
        <v>136</v>
      </c>
      <c r="B137" s="12" t="s">
        <v>5548</v>
      </c>
      <c r="C137" s="289" t="s">
        <v>5274</v>
      </c>
      <c r="D137" s="9" t="s">
        <v>3122</v>
      </c>
      <c r="E137" s="14">
        <v>39812</v>
      </c>
      <c r="F137" s="13" t="s">
        <v>6970</v>
      </c>
      <c r="G137" s="285" t="s">
        <v>7982</v>
      </c>
      <c r="H137" s="285" t="s">
        <v>5127</v>
      </c>
      <c r="I137" s="18"/>
      <c r="J137" s="285" t="s">
        <v>9411</v>
      </c>
      <c r="K137" s="15">
        <v>40544</v>
      </c>
      <c r="L137" s="289" t="s">
        <v>1029</v>
      </c>
      <c r="M137" s="15">
        <v>39812</v>
      </c>
      <c r="N137" s="16">
        <v>1</v>
      </c>
      <c r="O137" s="40">
        <v>11944</v>
      </c>
      <c r="P137" s="40">
        <v>11944</v>
      </c>
      <c r="Q137" s="40">
        <f t="shared" si="3"/>
        <v>0</v>
      </c>
      <c r="R137" s="285" t="s">
        <v>5071</v>
      </c>
      <c r="S137" s="15">
        <v>39742</v>
      </c>
      <c r="T137" s="285">
        <v>1714</v>
      </c>
    </row>
    <row r="138" spans="1:20" ht="58.5" customHeight="1" x14ac:dyDescent="0.2">
      <c r="A138" s="289">
        <v>137</v>
      </c>
      <c r="B138" s="12" t="s">
        <v>5549</v>
      </c>
      <c r="C138" s="289" t="s">
        <v>5274</v>
      </c>
      <c r="D138" s="9" t="s">
        <v>4606</v>
      </c>
      <c r="E138" s="14">
        <v>39812</v>
      </c>
      <c r="F138" s="13" t="s">
        <v>6971</v>
      </c>
      <c r="G138" s="285" t="s">
        <v>7982</v>
      </c>
      <c r="H138" s="285" t="s">
        <v>5127</v>
      </c>
      <c r="I138" s="18"/>
      <c r="J138" s="285" t="s">
        <v>9411</v>
      </c>
      <c r="K138" s="15">
        <v>40544</v>
      </c>
      <c r="L138" s="289" t="s">
        <v>1029</v>
      </c>
      <c r="M138" s="15">
        <v>39812</v>
      </c>
      <c r="N138" s="16">
        <v>1</v>
      </c>
      <c r="O138" s="40">
        <v>14746</v>
      </c>
      <c r="P138" s="40">
        <v>14746</v>
      </c>
      <c r="Q138" s="40">
        <f t="shared" si="3"/>
        <v>0</v>
      </c>
      <c r="R138" s="285" t="s">
        <v>5071</v>
      </c>
      <c r="S138" s="15">
        <v>39742</v>
      </c>
      <c r="T138" s="285">
        <v>1714</v>
      </c>
    </row>
    <row r="139" spans="1:20" ht="58.5" customHeight="1" x14ac:dyDescent="0.2">
      <c r="A139" s="289">
        <v>138</v>
      </c>
      <c r="B139" s="12" t="s">
        <v>3552</v>
      </c>
      <c r="C139" s="289" t="s">
        <v>5274</v>
      </c>
      <c r="D139" s="9" t="s">
        <v>4761</v>
      </c>
      <c r="E139" s="14">
        <v>39812</v>
      </c>
      <c r="F139" s="13" t="s">
        <v>6972</v>
      </c>
      <c r="G139" s="285" t="s">
        <v>7982</v>
      </c>
      <c r="H139" s="285" t="s">
        <v>5127</v>
      </c>
      <c r="I139" s="18"/>
      <c r="J139" s="285" t="s">
        <v>9411</v>
      </c>
      <c r="K139" s="15">
        <v>40544</v>
      </c>
      <c r="L139" s="289" t="s">
        <v>1029</v>
      </c>
      <c r="M139" s="15">
        <v>39812</v>
      </c>
      <c r="N139" s="16">
        <v>1</v>
      </c>
      <c r="O139" s="40">
        <v>13911</v>
      </c>
      <c r="P139" s="40">
        <v>13911</v>
      </c>
      <c r="Q139" s="40">
        <f t="shared" si="3"/>
        <v>0</v>
      </c>
      <c r="R139" s="285" t="s">
        <v>5071</v>
      </c>
      <c r="S139" s="15">
        <v>39742</v>
      </c>
      <c r="T139" s="285">
        <v>1714</v>
      </c>
    </row>
    <row r="140" spans="1:20" ht="58.5" customHeight="1" x14ac:dyDescent="0.2">
      <c r="A140" s="289">
        <v>139</v>
      </c>
      <c r="B140" s="12" t="s">
        <v>5871</v>
      </c>
      <c r="C140" s="289" t="s">
        <v>5274</v>
      </c>
      <c r="D140" s="9" t="s">
        <v>2375</v>
      </c>
      <c r="E140" s="14">
        <v>39812</v>
      </c>
      <c r="F140" s="13" t="s">
        <v>6973</v>
      </c>
      <c r="G140" s="285" t="s">
        <v>7982</v>
      </c>
      <c r="H140" s="285" t="s">
        <v>5127</v>
      </c>
      <c r="I140" s="18"/>
      <c r="J140" s="285" t="s">
        <v>9411</v>
      </c>
      <c r="K140" s="15">
        <v>40544</v>
      </c>
      <c r="L140" s="289" t="s">
        <v>1029</v>
      </c>
      <c r="M140" s="15">
        <v>39812</v>
      </c>
      <c r="N140" s="16">
        <v>1</v>
      </c>
      <c r="O140" s="40">
        <v>10555</v>
      </c>
      <c r="P140" s="40">
        <v>10555</v>
      </c>
      <c r="Q140" s="40">
        <f t="shared" si="3"/>
        <v>0</v>
      </c>
      <c r="R140" s="285" t="s">
        <v>5071</v>
      </c>
      <c r="S140" s="15">
        <v>39742</v>
      </c>
      <c r="T140" s="285">
        <v>1714</v>
      </c>
    </row>
    <row r="141" spans="1:20" ht="58.5" customHeight="1" x14ac:dyDescent="0.2">
      <c r="A141" s="289">
        <v>140</v>
      </c>
      <c r="B141" s="12" t="s">
        <v>1287</v>
      </c>
      <c r="C141" s="289" t="s">
        <v>5274</v>
      </c>
      <c r="D141" s="9" t="s">
        <v>4254</v>
      </c>
      <c r="E141" s="14">
        <v>39812</v>
      </c>
      <c r="F141" s="122" t="s">
        <v>6974</v>
      </c>
      <c r="G141" s="285" t="s">
        <v>7982</v>
      </c>
      <c r="H141" s="285" t="s">
        <v>5127</v>
      </c>
      <c r="I141" s="18"/>
      <c r="J141" s="285" t="s">
        <v>9411</v>
      </c>
      <c r="K141" s="15">
        <v>40544</v>
      </c>
      <c r="L141" s="289" t="s">
        <v>1029</v>
      </c>
      <c r="M141" s="15">
        <v>39812</v>
      </c>
      <c r="N141" s="16">
        <v>1</v>
      </c>
      <c r="O141" s="40">
        <v>11236</v>
      </c>
      <c r="P141" s="40">
        <v>11236</v>
      </c>
      <c r="Q141" s="40">
        <f t="shared" si="3"/>
        <v>0</v>
      </c>
      <c r="R141" s="285" t="s">
        <v>5071</v>
      </c>
      <c r="S141" s="15">
        <v>39742</v>
      </c>
      <c r="T141" s="285">
        <v>1714</v>
      </c>
    </row>
    <row r="142" spans="1:20" ht="58.5" customHeight="1" x14ac:dyDescent="0.2">
      <c r="A142" s="289">
        <v>141</v>
      </c>
      <c r="B142" s="12" t="s">
        <v>1288</v>
      </c>
      <c r="C142" s="289" t="s">
        <v>5274</v>
      </c>
      <c r="D142" s="9" t="s">
        <v>1764</v>
      </c>
      <c r="E142" s="14">
        <v>39812</v>
      </c>
      <c r="F142" s="13" t="s">
        <v>6975</v>
      </c>
      <c r="G142" s="285" t="s">
        <v>7982</v>
      </c>
      <c r="H142" s="285" t="s">
        <v>5127</v>
      </c>
      <c r="I142" s="18"/>
      <c r="J142" s="285" t="s">
        <v>9411</v>
      </c>
      <c r="K142" s="15">
        <v>40544</v>
      </c>
      <c r="L142" s="289" t="s">
        <v>1029</v>
      </c>
      <c r="M142" s="15">
        <v>39812</v>
      </c>
      <c r="N142" s="16">
        <v>1</v>
      </c>
      <c r="O142" s="40">
        <v>10700</v>
      </c>
      <c r="P142" s="40">
        <v>10700</v>
      </c>
      <c r="Q142" s="40">
        <f t="shared" si="3"/>
        <v>0</v>
      </c>
      <c r="R142" s="285"/>
      <c r="S142" s="15"/>
      <c r="T142" s="285"/>
    </row>
    <row r="143" spans="1:20" ht="58.5" customHeight="1" x14ac:dyDescent="0.2">
      <c r="A143" s="289">
        <v>142</v>
      </c>
      <c r="B143" s="12" t="s">
        <v>1289</v>
      </c>
      <c r="C143" s="289" t="s">
        <v>5274</v>
      </c>
      <c r="D143" s="9" t="s">
        <v>8241</v>
      </c>
      <c r="E143" s="14">
        <v>33511</v>
      </c>
      <c r="F143" s="122" t="s">
        <v>6976</v>
      </c>
      <c r="G143" s="285" t="s">
        <v>7982</v>
      </c>
      <c r="H143" s="285" t="s">
        <v>5127</v>
      </c>
      <c r="I143" s="18"/>
      <c r="J143" s="285" t="s">
        <v>9411</v>
      </c>
      <c r="K143" s="15">
        <v>40544</v>
      </c>
      <c r="L143" s="289" t="s">
        <v>1029</v>
      </c>
      <c r="M143" s="15">
        <v>33511</v>
      </c>
      <c r="N143" s="16">
        <v>1</v>
      </c>
      <c r="O143" s="40">
        <v>16800</v>
      </c>
      <c r="P143" s="40">
        <v>16800</v>
      </c>
      <c r="Q143" s="40">
        <f t="shared" si="3"/>
        <v>0</v>
      </c>
      <c r="R143" s="285"/>
      <c r="S143" s="15"/>
      <c r="T143" s="285"/>
    </row>
    <row r="144" spans="1:20" ht="54" customHeight="1" x14ac:dyDescent="0.2">
      <c r="A144" s="289">
        <v>143</v>
      </c>
      <c r="B144" s="12" t="s">
        <v>1339</v>
      </c>
      <c r="C144" s="289"/>
      <c r="D144" s="9" t="s">
        <v>4141</v>
      </c>
      <c r="E144" s="14">
        <v>33511</v>
      </c>
      <c r="F144" s="13" t="s">
        <v>4659</v>
      </c>
      <c r="G144" s="56" t="s">
        <v>101</v>
      </c>
      <c r="H144" s="285" t="s">
        <v>5127</v>
      </c>
      <c r="I144" s="18"/>
      <c r="J144" s="285" t="s">
        <v>9459</v>
      </c>
      <c r="K144" s="289">
        <v>2008</v>
      </c>
      <c r="L144" s="289" t="s">
        <v>1029</v>
      </c>
      <c r="M144" s="15">
        <v>39757</v>
      </c>
      <c r="N144" s="16">
        <v>1</v>
      </c>
      <c r="O144" s="40">
        <v>28000</v>
      </c>
      <c r="P144" s="40">
        <v>19717.23</v>
      </c>
      <c r="Q144" s="40">
        <f t="shared" si="3"/>
        <v>8282.77</v>
      </c>
      <c r="R144" s="285" t="s">
        <v>4658</v>
      </c>
      <c r="S144" s="15">
        <v>39757</v>
      </c>
      <c r="T144" s="285" t="s">
        <v>3403</v>
      </c>
    </row>
    <row r="145" spans="1:20" ht="51.75" customHeight="1" x14ac:dyDescent="0.2">
      <c r="A145" s="289">
        <v>144</v>
      </c>
      <c r="B145" s="12" t="s">
        <v>1340</v>
      </c>
      <c r="C145" s="289" t="s">
        <v>5274</v>
      </c>
      <c r="D145" s="9" t="s">
        <v>2076</v>
      </c>
      <c r="E145" s="14">
        <v>33511</v>
      </c>
      <c r="F145" s="13" t="s">
        <v>966</v>
      </c>
      <c r="G145" s="56" t="s">
        <v>101</v>
      </c>
      <c r="H145" s="285" t="s">
        <v>5127</v>
      </c>
      <c r="I145" s="18"/>
      <c r="J145" s="285" t="s">
        <v>9459</v>
      </c>
      <c r="K145" s="289">
        <v>2008</v>
      </c>
      <c r="L145" s="289" t="s">
        <v>1029</v>
      </c>
      <c r="M145" s="15">
        <v>39741</v>
      </c>
      <c r="N145" s="16">
        <v>1</v>
      </c>
      <c r="O145" s="40">
        <v>16555.939999999999</v>
      </c>
      <c r="P145" s="40">
        <v>16555.939999999999</v>
      </c>
      <c r="Q145" s="40">
        <f t="shared" si="3"/>
        <v>0</v>
      </c>
      <c r="R145" s="285" t="s">
        <v>9040</v>
      </c>
      <c r="S145" s="15">
        <v>39741</v>
      </c>
      <c r="T145" s="285">
        <v>153</v>
      </c>
    </row>
    <row r="146" spans="1:20" ht="39.75" customHeight="1" x14ac:dyDescent="0.2">
      <c r="A146" s="289">
        <v>145</v>
      </c>
      <c r="B146" s="12" t="s">
        <v>1341</v>
      </c>
      <c r="C146" s="289" t="s">
        <v>5274</v>
      </c>
      <c r="D146" s="9" t="s">
        <v>2076</v>
      </c>
      <c r="E146" s="22" t="s">
        <v>2263</v>
      </c>
      <c r="F146" s="13" t="s">
        <v>5412</v>
      </c>
      <c r="G146" s="56" t="s">
        <v>101</v>
      </c>
      <c r="H146" s="285" t="s">
        <v>5127</v>
      </c>
      <c r="I146" s="18"/>
      <c r="J146" s="285"/>
      <c r="K146" s="289"/>
      <c r="L146" s="22"/>
      <c r="M146" s="165">
        <v>41000</v>
      </c>
      <c r="N146" s="16">
        <v>2</v>
      </c>
      <c r="O146" s="40">
        <v>20299.060000000001</v>
      </c>
      <c r="P146" s="40">
        <v>20299.060000000001</v>
      </c>
      <c r="Q146" s="40">
        <f t="shared" si="3"/>
        <v>0</v>
      </c>
      <c r="R146" s="285"/>
      <c r="S146" s="15"/>
      <c r="T146" s="285"/>
    </row>
    <row r="147" spans="1:20" ht="37.5" customHeight="1" x14ac:dyDescent="0.2">
      <c r="A147" s="289">
        <v>146</v>
      </c>
      <c r="B147" s="12" t="s">
        <v>5873</v>
      </c>
      <c r="C147" s="289" t="s">
        <v>5274</v>
      </c>
      <c r="D147" s="9" t="s">
        <v>3902</v>
      </c>
      <c r="E147" s="22" t="s">
        <v>2263</v>
      </c>
      <c r="F147" s="13" t="s">
        <v>4661</v>
      </c>
      <c r="G147" s="56" t="s">
        <v>101</v>
      </c>
      <c r="H147" s="285" t="s">
        <v>5127</v>
      </c>
      <c r="I147" s="18"/>
      <c r="J147" s="285"/>
      <c r="K147" s="289"/>
      <c r="L147" s="22"/>
      <c r="M147" s="165">
        <v>41000</v>
      </c>
      <c r="N147" s="16">
        <v>1</v>
      </c>
      <c r="O147" s="40">
        <v>17999</v>
      </c>
      <c r="P147" s="40">
        <v>17999</v>
      </c>
      <c r="Q147" s="40">
        <f t="shared" si="3"/>
        <v>0</v>
      </c>
      <c r="R147" s="285" t="s">
        <v>4660</v>
      </c>
      <c r="S147" s="15">
        <v>39722</v>
      </c>
      <c r="T147" s="285">
        <v>39</v>
      </c>
    </row>
    <row r="148" spans="1:20" ht="37.5" customHeight="1" x14ac:dyDescent="0.2">
      <c r="A148" s="289">
        <v>147</v>
      </c>
      <c r="B148" s="12" t="s">
        <v>5874</v>
      </c>
      <c r="C148" s="289" t="s">
        <v>5274</v>
      </c>
      <c r="D148" s="9" t="s">
        <v>5358</v>
      </c>
      <c r="E148" s="22" t="s">
        <v>2263</v>
      </c>
      <c r="F148" s="13" t="s">
        <v>2353</v>
      </c>
      <c r="G148" s="56" t="s">
        <v>101</v>
      </c>
      <c r="H148" s="285" t="s">
        <v>5127</v>
      </c>
      <c r="I148" s="18"/>
      <c r="J148" s="285"/>
      <c r="K148" s="289"/>
      <c r="L148" s="22"/>
      <c r="M148" s="165">
        <v>41000</v>
      </c>
      <c r="N148" s="16">
        <v>1</v>
      </c>
      <c r="O148" s="40">
        <v>17272.73</v>
      </c>
      <c r="P148" s="40">
        <v>17272.73</v>
      </c>
      <c r="Q148" s="40">
        <f t="shared" si="3"/>
        <v>0</v>
      </c>
      <c r="R148" s="285" t="s">
        <v>1017</v>
      </c>
      <c r="S148" s="15"/>
      <c r="T148" s="285"/>
    </row>
    <row r="149" spans="1:20" ht="37.5" customHeight="1" x14ac:dyDescent="0.2">
      <c r="A149" s="289">
        <v>148</v>
      </c>
      <c r="B149" s="12" t="s">
        <v>5875</v>
      </c>
      <c r="C149" s="289"/>
      <c r="D149" s="9" t="s">
        <v>5646</v>
      </c>
      <c r="E149" s="22" t="s">
        <v>2263</v>
      </c>
      <c r="F149" s="13" t="s">
        <v>2354</v>
      </c>
      <c r="G149" s="56" t="s">
        <v>101</v>
      </c>
      <c r="H149" s="285" t="s">
        <v>5127</v>
      </c>
      <c r="I149" s="18"/>
      <c r="J149" s="285"/>
      <c r="K149" s="289"/>
      <c r="L149" s="22"/>
      <c r="M149" s="165">
        <v>41198</v>
      </c>
      <c r="N149" s="16">
        <v>1</v>
      </c>
      <c r="O149" s="40">
        <v>34989.9</v>
      </c>
      <c r="P149" s="40">
        <v>24930.09</v>
      </c>
      <c r="Q149" s="40">
        <f t="shared" si="3"/>
        <v>10059.810000000001</v>
      </c>
      <c r="R149" s="285" t="s">
        <v>1017</v>
      </c>
      <c r="S149" s="15"/>
      <c r="T149" s="285"/>
    </row>
    <row r="150" spans="1:20" ht="37.5" customHeight="1" x14ac:dyDescent="0.2">
      <c r="A150" s="289">
        <v>149</v>
      </c>
      <c r="B150" s="12" t="s">
        <v>5876</v>
      </c>
      <c r="C150" s="289"/>
      <c r="D150" s="9" t="s">
        <v>5359</v>
      </c>
      <c r="E150" s="22" t="s">
        <v>2263</v>
      </c>
      <c r="F150" s="13" t="s">
        <v>2357</v>
      </c>
      <c r="G150" s="56" t="s">
        <v>101</v>
      </c>
      <c r="H150" s="285" t="s">
        <v>5127</v>
      </c>
      <c r="I150" s="18"/>
      <c r="J150" s="285" t="s">
        <v>3132</v>
      </c>
      <c r="K150" s="15">
        <v>39932</v>
      </c>
      <c r="L150" s="22" t="s">
        <v>3636</v>
      </c>
      <c r="M150" s="15">
        <v>39932</v>
      </c>
      <c r="N150" s="16">
        <v>1</v>
      </c>
      <c r="O150" s="40">
        <v>10488.99</v>
      </c>
      <c r="P150" s="40">
        <v>10488.99</v>
      </c>
      <c r="Q150" s="40">
        <f t="shared" si="3"/>
        <v>0</v>
      </c>
      <c r="R150" s="285" t="s">
        <v>1017</v>
      </c>
      <c r="S150" s="15"/>
      <c r="T150" s="285"/>
    </row>
    <row r="151" spans="1:20" ht="37.5" customHeight="1" x14ac:dyDescent="0.2">
      <c r="A151" s="289">
        <v>150</v>
      </c>
      <c r="B151" s="12" t="s">
        <v>2573</v>
      </c>
      <c r="C151" s="289" t="s">
        <v>5274</v>
      </c>
      <c r="D151" s="9" t="s">
        <v>5066</v>
      </c>
      <c r="E151" s="22" t="s">
        <v>2263</v>
      </c>
      <c r="F151" s="13" t="s">
        <v>2358</v>
      </c>
      <c r="G151" s="56" t="s">
        <v>101</v>
      </c>
      <c r="H151" s="285" t="s">
        <v>5127</v>
      </c>
      <c r="I151" s="18"/>
      <c r="J151" s="285" t="s">
        <v>3132</v>
      </c>
      <c r="K151" s="15">
        <v>39932</v>
      </c>
      <c r="L151" s="22" t="s">
        <v>3636</v>
      </c>
      <c r="M151" s="15">
        <v>39932</v>
      </c>
      <c r="N151" s="16">
        <v>1</v>
      </c>
      <c r="O151" s="40">
        <v>12654.9</v>
      </c>
      <c r="P151" s="40">
        <v>12654.9</v>
      </c>
      <c r="Q151" s="40">
        <f t="shared" si="3"/>
        <v>0</v>
      </c>
      <c r="R151" s="285" t="s">
        <v>1017</v>
      </c>
      <c r="S151" s="15"/>
      <c r="T151" s="285"/>
    </row>
    <row r="152" spans="1:20" ht="58.5" customHeight="1" x14ac:dyDescent="0.2">
      <c r="A152" s="289">
        <v>151</v>
      </c>
      <c r="B152" s="12" t="s">
        <v>2574</v>
      </c>
      <c r="C152" s="289"/>
      <c r="D152" s="9" t="s">
        <v>3212</v>
      </c>
      <c r="E152" s="180" t="s">
        <v>3537</v>
      </c>
      <c r="F152" s="26"/>
      <c r="G152" s="285" t="s">
        <v>7846</v>
      </c>
      <c r="H152" s="285" t="s">
        <v>5127</v>
      </c>
      <c r="I152" s="18"/>
      <c r="J152" s="285" t="s">
        <v>3136</v>
      </c>
      <c r="K152" s="15">
        <v>42356</v>
      </c>
      <c r="L152" s="22" t="s">
        <v>4448</v>
      </c>
      <c r="M152" s="15">
        <v>39872</v>
      </c>
      <c r="N152" s="16">
        <v>2</v>
      </c>
      <c r="O152" s="40">
        <v>35500</v>
      </c>
      <c r="P152" s="40">
        <v>35500</v>
      </c>
      <c r="Q152" s="40">
        <f t="shared" si="3"/>
        <v>0</v>
      </c>
      <c r="R152" s="285"/>
      <c r="S152" s="15"/>
      <c r="T152" s="285"/>
    </row>
    <row r="153" spans="1:20" ht="58.5" customHeight="1" x14ac:dyDescent="0.2">
      <c r="A153" s="289">
        <v>152</v>
      </c>
      <c r="B153" s="12" t="s">
        <v>2574</v>
      </c>
      <c r="C153" s="289"/>
      <c r="D153" s="9" t="s">
        <v>3212</v>
      </c>
      <c r="E153" s="180" t="s">
        <v>3537</v>
      </c>
      <c r="F153" s="26"/>
      <c r="G153" s="285" t="s">
        <v>6266</v>
      </c>
      <c r="H153" s="285" t="s">
        <v>5127</v>
      </c>
      <c r="I153" s="18"/>
      <c r="J153" s="285" t="s">
        <v>3136</v>
      </c>
      <c r="K153" s="15">
        <v>42356</v>
      </c>
      <c r="L153" s="22" t="s">
        <v>4448</v>
      </c>
      <c r="M153" s="15">
        <v>39872</v>
      </c>
      <c r="N153" s="16">
        <v>1</v>
      </c>
      <c r="O153" s="40">
        <v>17750</v>
      </c>
      <c r="P153" s="40">
        <v>17750</v>
      </c>
      <c r="Q153" s="40">
        <f t="shared" si="3"/>
        <v>0</v>
      </c>
      <c r="R153" s="285"/>
      <c r="S153" s="15"/>
      <c r="T153" s="285"/>
    </row>
    <row r="154" spans="1:20" ht="58.5" customHeight="1" x14ac:dyDescent="0.2">
      <c r="A154" s="289">
        <v>153</v>
      </c>
      <c r="B154" s="12" t="s">
        <v>2575</v>
      </c>
      <c r="C154" s="289"/>
      <c r="D154" s="9" t="s">
        <v>4762</v>
      </c>
      <c r="E154" s="180" t="s">
        <v>3537</v>
      </c>
      <c r="F154" s="26"/>
      <c r="G154" s="285" t="s">
        <v>7983</v>
      </c>
      <c r="H154" s="285" t="s">
        <v>5127</v>
      </c>
      <c r="I154" s="18"/>
      <c r="J154" s="285" t="s">
        <v>9412</v>
      </c>
      <c r="K154" s="15">
        <v>43831</v>
      </c>
      <c r="L154" s="22" t="s">
        <v>1029</v>
      </c>
      <c r="M154" s="15">
        <v>39872</v>
      </c>
      <c r="N154" s="16">
        <v>1</v>
      </c>
      <c r="O154" s="40">
        <v>10540</v>
      </c>
      <c r="P154" s="40">
        <v>10540</v>
      </c>
      <c r="Q154" s="40">
        <f t="shared" si="3"/>
        <v>0</v>
      </c>
      <c r="R154" s="285"/>
      <c r="S154" s="15"/>
      <c r="T154" s="285"/>
    </row>
    <row r="155" spans="1:20" ht="58.5" customHeight="1" x14ac:dyDescent="0.2">
      <c r="A155" s="289">
        <v>154</v>
      </c>
      <c r="B155" s="12" t="s">
        <v>2576</v>
      </c>
      <c r="C155" s="289"/>
      <c r="D155" s="9" t="s">
        <v>4369</v>
      </c>
      <c r="E155" s="180" t="s">
        <v>3537</v>
      </c>
      <c r="F155" s="26"/>
      <c r="G155" s="285" t="s">
        <v>7846</v>
      </c>
      <c r="H155" s="285" t="s">
        <v>5127</v>
      </c>
      <c r="I155" s="18"/>
      <c r="J155" s="285" t="s">
        <v>3136</v>
      </c>
      <c r="K155" s="15">
        <v>42356</v>
      </c>
      <c r="L155" s="22" t="s">
        <v>4448</v>
      </c>
      <c r="M155" s="15">
        <v>39806</v>
      </c>
      <c r="N155" s="16">
        <v>1</v>
      </c>
      <c r="O155" s="40">
        <v>15000</v>
      </c>
      <c r="P155" s="40">
        <v>15000</v>
      </c>
      <c r="Q155" s="40">
        <f t="shared" si="3"/>
        <v>0</v>
      </c>
      <c r="R155" s="285" t="s">
        <v>5071</v>
      </c>
      <c r="S155" s="15">
        <v>39806</v>
      </c>
      <c r="T155" s="285">
        <v>317</v>
      </c>
    </row>
    <row r="156" spans="1:20" ht="58.5" customHeight="1" x14ac:dyDescent="0.2">
      <c r="A156" s="289">
        <v>155</v>
      </c>
      <c r="B156" s="12" t="s">
        <v>3991</v>
      </c>
      <c r="C156" s="289"/>
      <c r="D156" s="9" t="s">
        <v>3593</v>
      </c>
      <c r="E156" s="180" t="s">
        <v>3594</v>
      </c>
      <c r="F156" s="26"/>
      <c r="G156" s="285" t="s">
        <v>7983</v>
      </c>
      <c r="H156" s="285" t="s">
        <v>5127</v>
      </c>
      <c r="I156" s="18"/>
      <c r="J156" s="285" t="s">
        <v>9412</v>
      </c>
      <c r="K156" s="15">
        <v>43831</v>
      </c>
      <c r="L156" s="22" t="s">
        <v>1029</v>
      </c>
      <c r="M156" s="15">
        <v>39876</v>
      </c>
      <c r="N156" s="16">
        <v>1</v>
      </c>
      <c r="O156" s="40">
        <v>11500</v>
      </c>
      <c r="P156" s="40">
        <v>11500</v>
      </c>
      <c r="Q156" s="40">
        <f t="shared" si="3"/>
        <v>0</v>
      </c>
      <c r="R156" s="285" t="s">
        <v>5071</v>
      </c>
      <c r="S156" s="15">
        <v>39876</v>
      </c>
      <c r="T156" s="285">
        <v>31</v>
      </c>
    </row>
    <row r="157" spans="1:20" ht="58.5" customHeight="1" x14ac:dyDescent="0.2">
      <c r="A157" s="289">
        <v>156</v>
      </c>
      <c r="B157" s="12" t="s">
        <v>3288</v>
      </c>
      <c r="C157" s="289"/>
      <c r="D157" s="9" t="s">
        <v>2181</v>
      </c>
      <c r="E157" s="22" t="s">
        <v>4426</v>
      </c>
      <c r="F157" s="13" t="s">
        <v>2355</v>
      </c>
      <c r="G157" s="285" t="s">
        <v>7464</v>
      </c>
      <c r="H157" s="285" t="s">
        <v>5127</v>
      </c>
      <c r="I157" s="18"/>
      <c r="J157" s="285" t="s">
        <v>10693</v>
      </c>
      <c r="K157" s="15">
        <v>44266</v>
      </c>
      <c r="L157" s="22" t="s">
        <v>10694</v>
      </c>
      <c r="M157" s="14">
        <v>40218</v>
      </c>
      <c r="N157" s="16">
        <v>1</v>
      </c>
      <c r="O157" s="40">
        <v>11650</v>
      </c>
      <c r="P157" s="40">
        <v>11650</v>
      </c>
      <c r="Q157" s="40">
        <f t="shared" si="3"/>
        <v>0</v>
      </c>
      <c r="R157" s="285" t="s">
        <v>3405</v>
      </c>
      <c r="S157" s="15">
        <v>39902</v>
      </c>
      <c r="T157" s="285">
        <v>601</v>
      </c>
    </row>
    <row r="158" spans="1:20" ht="58.5" customHeight="1" x14ac:dyDescent="0.2">
      <c r="A158" s="289">
        <v>157</v>
      </c>
      <c r="B158" s="12" t="s">
        <v>3289</v>
      </c>
      <c r="C158" s="289"/>
      <c r="D158" s="9" t="s">
        <v>690</v>
      </c>
      <c r="E158" s="22">
        <v>2010</v>
      </c>
      <c r="F158" s="13" t="s">
        <v>2356</v>
      </c>
      <c r="G158" s="285" t="s">
        <v>8293</v>
      </c>
      <c r="H158" s="285" t="s">
        <v>5127</v>
      </c>
      <c r="I158" s="18"/>
      <c r="J158" s="285"/>
      <c r="K158" s="289"/>
      <c r="L158" s="22"/>
      <c r="M158" s="14">
        <v>40435</v>
      </c>
      <c r="N158" s="16">
        <v>1</v>
      </c>
      <c r="O158" s="40">
        <v>33800</v>
      </c>
      <c r="P158" s="40">
        <v>33800</v>
      </c>
      <c r="Q158" s="40">
        <f t="shared" si="3"/>
        <v>0</v>
      </c>
      <c r="R158" s="285" t="s">
        <v>3406</v>
      </c>
      <c r="S158" s="15">
        <v>40204</v>
      </c>
      <c r="T158" s="285">
        <v>6120100018</v>
      </c>
    </row>
    <row r="159" spans="1:20" ht="58.5" customHeight="1" x14ac:dyDescent="0.2">
      <c r="A159" s="289">
        <v>158</v>
      </c>
      <c r="B159" s="12" t="s">
        <v>3290</v>
      </c>
      <c r="C159" s="289"/>
      <c r="D159" s="9" t="s">
        <v>2570</v>
      </c>
      <c r="E159" s="180"/>
      <c r="F159" s="13" t="s">
        <v>4662</v>
      </c>
      <c r="G159" s="285" t="s">
        <v>4946</v>
      </c>
      <c r="H159" s="285" t="s">
        <v>5127</v>
      </c>
      <c r="I159" s="18"/>
      <c r="J159" s="285" t="s">
        <v>3132</v>
      </c>
      <c r="K159" s="15">
        <v>40403</v>
      </c>
      <c r="L159" s="22" t="s">
        <v>2320</v>
      </c>
      <c r="M159" s="15">
        <v>40360</v>
      </c>
      <c r="N159" s="16">
        <v>1</v>
      </c>
      <c r="O159" s="40">
        <v>11500</v>
      </c>
      <c r="P159" s="40">
        <v>11500</v>
      </c>
      <c r="Q159" s="40">
        <f t="shared" si="3"/>
        <v>0</v>
      </c>
      <c r="R159" s="285" t="s">
        <v>3405</v>
      </c>
      <c r="S159" s="15">
        <v>40136</v>
      </c>
      <c r="T159" s="285">
        <v>1671</v>
      </c>
    </row>
    <row r="160" spans="1:20" ht="58.5" customHeight="1" x14ac:dyDescent="0.2">
      <c r="A160" s="289">
        <v>159</v>
      </c>
      <c r="B160" s="12" t="s">
        <v>3291</v>
      </c>
      <c r="C160" s="289"/>
      <c r="D160" s="9" t="s">
        <v>3570</v>
      </c>
      <c r="E160" s="180"/>
      <c r="F160" s="13" t="s">
        <v>4663</v>
      </c>
      <c r="G160" s="285" t="s">
        <v>4946</v>
      </c>
      <c r="H160" s="285" t="s">
        <v>5127</v>
      </c>
      <c r="I160" s="18"/>
      <c r="J160" s="285" t="s">
        <v>3136</v>
      </c>
      <c r="K160" s="15">
        <v>42156</v>
      </c>
      <c r="L160" s="22" t="s">
        <v>3413</v>
      </c>
      <c r="M160" s="15">
        <v>40360</v>
      </c>
      <c r="N160" s="16">
        <v>1</v>
      </c>
      <c r="O160" s="40">
        <v>10100</v>
      </c>
      <c r="P160" s="40">
        <v>10100</v>
      </c>
      <c r="Q160" s="40">
        <f t="shared" si="3"/>
        <v>0</v>
      </c>
      <c r="R160" s="285" t="s">
        <v>3404</v>
      </c>
      <c r="S160" s="15">
        <v>40178</v>
      </c>
      <c r="T160" s="285">
        <v>5</v>
      </c>
    </row>
    <row r="161" spans="1:20" ht="58.5" customHeight="1" x14ac:dyDescent="0.2">
      <c r="A161" s="289">
        <v>160</v>
      </c>
      <c r="B161" s="12" t="s">
        <v>1883</v>
      </c>
      <c r="C161" s="289"/>
      <c r="D161" s="9" t="s">
        <v>5663</v>
      </c>
      <c r="E161" s="180">
        <v>40118</v>
      </c>
      <c r="F161" s="13" t="s">
        <v>322</v>
      </c>
      <c r="G161" s="285" t="s">
        <v>4946</v>
      </c>
      <c r="H161" s="285" t="s">
        <v>5127</v>
      </c>
      <c r="I161" s="18"/>
      <c r="J161" s="285" t="s">
        <v>3132</v>
      </c>
      <c r="K161" s="15">
        <v>40403</v>
      </c>
      <c r="L161" s="22" t="s">
        <v>2320</v>
      </c>
      <c r="M161" s="15">
        <v>40360</v>
      </c>
      <c r="N161" s="16">
        <v>1</v>
      </c>
      <c r="O161" s="40">
        <v>12749</v>
      </c>
      <c r="P161" s="40">
        <v>12749</v>
      </c>
      <c r="Q161" s="40">
        <f t="shared" si="3"/>
        <v>0</v>
      </c>
      <c r="R161" s="285" t="s">
        <v>3408</v>
      </c>
      <c r="S161" s="15"/>
      <c r="T161" s="285" t="s">
        <v>3407</v>
      </c>
    </row>
    <row r="162" spans="1:20" ht="58.5" customHeight="1" x14ac:dyDescent="0.2">
      <c r="A162" s="289">
        <v>161</v>
      </c>
      <c r="B162" s="12" t="s">
        <v>1884</v>
      </c>
      <c r="C162" s="289"/>
      <c r="D162" s="9" t="s">
        <v>2454</v>
      </c>
      <c r="E162" s="180"/>
      <c r="F162" s="13" t="s">
        <v>310</v>
      </c>
      <c r="G162" s="285" t="s">
        <v>4946</v>
      </c>
      <c r="H162" s="285" t="s">
        <v>5127</v>
      </c>
      <c r="I162" s="18"/>
      <c r="J162" s="285" t="s">
        <v>3132</v>
      </c>
      <c r="K162" s="15">
        <v>40403</v>
      </c>
      <c r="L162" s="22" t="s">
        <v>2320</v>
      </c>
      <c r="M162" s="15">
        <v>41183</v>
      </c>
      <c r="N162" s="16">
        <v>1</v>
      </c>
      <c r="O162" s="40">
        <v>25593</v>
      </c>
      <c r="P162" s="40">
        <v>25593</v>
      </c>
      <c r="Q162" s="40">
        <f t="shared" si="3"/>
        <v>0</v>
      </c>
      <c r="R162" s="285" t="s">
        <v>3408</v>
      </c>
      <c r="S162" s="15"/>
      <c r="T162" s="285" t="s">
        <v>3407</v>
      </c>
    </row>
    <row r="163" spans="1:20" ht="58.5" customHeight="1" x14ac:dyDescent="0.2">
      <c r="A163" s="289">
        <v>162</v>
      </c>
      <c r="B163" s="12" t="s">
        <v>1885</v>
      </c>
      <c r="C163" s="289"/>
      <c r="D163" s="9" t="s">
        <v>2959</v>
      </c>
      <c r="E163" s="180"/>
      <c r="F163" s="13" t="s">
        <v>4664</v>
      </c>
      <c r="G163" s="285" t="s">
        <v>4946</v>
      </c>
      <c r="H163" s="285" t="s">
        <v>5127</v>
      </c>
      <c r="I163" s="18"/>
      <c r="J163" s="285" t="s">
        <v>3132</v>
      </c>
      <c r="K163" s="15">
        <v>40403</v>
      </c>
      <c r="L163" s="22" t="s">
        <v>2320</v>
      </c>
      <c r="M163" s="15">
        <v>40360</v>
      </c>
      <c r="N163" s="16">
        <v>1</v>
      </c>
      <c r="O163" s="40">
        <v>11800</v>
      </c>
      <c r="P163" s="40">
        <v>11800</v>
      </c>
      <c r="Q163" s="40">
        <f t="shared" si="3"/>
        <v>0</v>
      </c>
      <c r="R163" s="285"/>
      <c r="S163" s="15"/>
      <c r="T163" s="285"/>
    </row>
    <row r="164" spans="1:20" ht="58.5" customHeight="1" x14ac:dyDescent="0.2">
      <c r="A164" s="289">
        <v>163</v>
      </c>
      <c r="B164" s="12" t="s">
        <v>1886</v>
      </c>
      <c r="C164" s="289"/>
      <c r="D164" s="9" t="s">
        <v>1773</v>
      </c>
      <c r="E164" s="180" t="s">
        <v>167</v>
      </c>
      <c r="F164" s="13" t="s">
        <v>6748</v>
      </c>
      <c r="G164" s="285" t="s">
        <v>4946</v>
      </c>
      <c r="H164" s="285" t="s">
        <v>5127</v>
      </c>
      <c r="I164" s="18"/>
      <c r="J164" s="285" t="s">
        <v>3136</v>
      </c>
      <c r="K164" s="15">
        <v>40521</v>
      </c>
      <c r="L164" s="22">
        <v>708</v>
      </c>
      <c r="M164" s="15">
        <v>40391</v>
      </c>
      <c r="N164" s="16">
        <v>1</v>
      </c>
      <c r="O164" s="40">
        <v>16900</v>
      </c>
      <c r="P164" s="40">
        <v>16900</v>
      </c>
      <c r="Q164" s="40">
        <f t="shared" si="3"/>
        <v>0</v>
      </c>
      <c r="R164" s="285"/>
      <c r="S164" s="15"/>
      <c r="T164" s="285"/>
    </row>
    <row r="165" spans="1:20" ht="58.5" customHeight="1" x14ac:dyDescent="0.2">
      <c r="A165" s="289">
        <v>164</v>
      </c>
      <c r="B165" s="12" t="s">
        <v>1887</v>
      </c>
      <c r="C165" s="289" t="s">
        <v>5274</v>
      </c>
      <c r="D165" s="9" t="s">
        <v>1349</v>
      </c>
      <c r="E165" s="22">
        <v>2009</v>
      </c>
      <c r="F165" s="13" t="s">
        <v>7075</v>
      </c>
      <c r="G165" s="285" t="s">
        <v>7981</v>
      </c>
      <c r="H165" s="285" t="s">
        <v>5127</v>
      </c>
      <c r="I165" s="18"/>
      <c r="J165" s="22" t="s">
        <v>9411</v>
      </c>
      <c r="K165" s="15">
        <v>40544</v>
      </c>
      <c r="L165" s="289" t="s">
        <v>1029</v>
      </c>
      <c r="M165" s="15">
        <v>40057</v>
      </c>
      <c r="N165" s="16">
        <v>1</v>
      </c>
      <c r="O165" s="40">
        <v>7000</v>
      </c>
      <c r="P165" s="40">
        <v>7000</v>
      </c>
      <c r="Q165" s="40">
        <f t="shared" si="3"/>
        <v>0</v>
      </c>
      <c r="R165" s="285" t="s">
        <v>5071</v>
      </c>
      <c r="S165" s="14">
        <v>39911</v>
      </c>
      <c r="T165" s="285">
        <v>109</v>
      </c>
    </row>
    <row r="166" spans="1:20" ht="58.5" customHeight="1" x14ac:dyDescent="0.2">
      <c r="A166" s="289">
        <v>165</v>
      </c>
      <c r="B166" s="12" t="s">
        <v>1888</v>
      </c>
      <c r="C166" s="289" t="s">
        <v>5274</v>
      </c>
      <c r="D166" s="9" t="s">
        <v>6378</v>
      </c>
      <c r="E166" s="14">
        <v>40116</v>
      </c>
      <c r="F166" s="13" t="s">
        <v>1879</v>
      </c>
      <c r="G166" s="285" t="s">
        <v>7981</v>
      </c>
      <c r="H166" s="285" t="s">
        <v>5127</v>
      </c>
      <c r="I166" s="18"/>
      <c r="J166" s="22" t="s">
        <v>9411</v>
      </c>
      <c r="K166" s="15">
        <v>40544</v>
      </c>
      <c r="L166" s="289" t="s">
        <v>1029</v>
      </c>
      <c r="M166" s="15">
        <v>40116</v>
      </c>
      <c r="N166" s="16">
        <v>1</v>
      </c>
      <c r="O166" s="40">
        <v>15600</v>
      </c>
      <c r="P166" s="40">
        <v>15600</v>
      </c>
      <c r="Q166" s="40">
        <f t="shared" si="3"/>
        <v>0</v>
      </c>
      <c r="R166" s="285" t="s">
        <v>5071</v>
      </c>
      <c r="S166" s="14">
        <v>40073</v>
      </c>
      <c r="T166" s="285">
        <v>243</v>
      </c>
    </row>
    <row r="167" spans="1:20" ht="58.5" customHeight="1" x14ac:dyDescent="0.2">
      <c r="A167" s="289">
        <v>166</v>
      </c>
      <c r="B167" s="12" t="s">
        <v>1889</v>
      </c>
      <c r="C167" s="289" t="s">
        <v>5274</v>
      </c>
      <c r="D167" s="9" t="s">
        <v>5561</v>
      </c>
      <c r="E167" s="14" t="s">
        <v>1138</v>
      </c>
      <c r="F167" s="13" t="s">
        <v>6749</v>
      </c>
      <c r="G167" s="285" t="s">
        <v>4946</v>
      </c>
      <c r="H167" s="285" t="s">
        <v>5127</v>
      </c>
      <c r="I167" s="18"/>
      <c r="J167" s="285" t="s">
        <v>3136</v>
      </c>
      <c r="K167" s="15">
        <v>40569</v>
      </c>
      <c r="L167" s="22">
        <v>57</v>
      </c>
      <c r="M167" s="15">
        <v>41183</v>
      </c>
      <c r="N167" s="16">
        <v>1</v>
      </c>
      <c r="O167" s="40">
        <v>145000</v>
      </c>
      <c r="P167" s="40">
        <v>145000</v>
      </c>
      <c r="Q167" s="40">
        <f t="shared" si="3"/>
        <v>0</v>
      </c>
      <c r="R167" s="285" t="s">
        <v>11</v>
      </c>
      <c r="S167" s="14">
        <v>40178</v>
      </c>
      <c r="T167" s="285">
        <v>409</v>
      </c>
    </row>
    <row r="168" spans="1:20" ht="58.5" customHeight="1" x14ac:dyDescent="0.2">
      <c r="A168" s="289">
        <v>167</v>
      </c>
      <c r="B168" s="12" t="s">
        <v>1890</v>
      </c>
      <c r="C168" s="289" t="s">
        <v>5274</v>
      </c>
      <c r="D168" s="9" t="s">
        <v>2290</v>
      </c>
      <c r="E168" s="14">
        <v>40057</v>
      </c>
      <c r="F168" s="13" t="s">
        <v>3616</v>
      </c>
      <c r="G168" s="285" t="s">
        <v>7977</v>
      </c>
      <c r="H168" s="285" t="s">
        <v>5127</v>
      </c>
      <c r="I168" s="18"/>
      <c r="J168" s="285" t="s">
        <v>9405</v>
      </c>
      <c r="K168" s="289">
        <v>2009</v>
      </c>
      <c r="L168" s="289" t="s">
        <v>1029</v>
      </c>
      <c r="M168" s="14">
        <v>39885</v>
      </c>
      <c r="N168" s="16">
        <v>1</v>
      </c>
      <c r="O168" s="40">
        <v>14217.73</v>
      </c>
      <c r="P168" s="40">
        <v>14217.73</v>
      </c>
      <c r="Q168" s="40">
        <f t="shared" si="3"/>
        <v>0</v>
      </c>
      <c r="R168" s="285" t="s">
        <v>5071</v>
      </c>
      <c r="S168" s="14">
        <v>39885</v>
      </c>
      <c r="T168" s="285">
        <v>80</v>
      </c>
    </row>
    <row r="169" spans="1:20" ht="58.5" customHeight="1" x14ac:dyDescent="0.2">
      <c r="A169" s="289">
        <v>168</v>
      </c>
      <c r="B169" s="12" t="s">
        <v>1891</v>
      </c>
      <c r="C169" s="289" t="s">
        <v>5274</v>
      </c>
      <c r="D169" s="9" t="s">
        <v>954</v>
      </c>
      <c r="E169" s="14">
        <v>40057</v>
      </c>
      <c r="F169" s="13" t="s">
        <v>3615</v>
      </c>
      <c r="G169" s="285" t="s">
        <v>7977</v>
      </c>
      <c r="H169" s="285" t="s">
        <v>5127</v>
      </c>
      <c r="I169" s="18"/>
      <c r="J169" s="285" t="s">
        <v>9405</v>
      </c>
      <c r="K169" s="289">
        <v>2009</v>
      </c>
      <c r="L169" s="289" t="s">
        <v>1029</v>
      </c>
      <c r="M169" s="14">
        <v>39885</v>
      </c>
      <c r="N169" s="16">
        <v>1</v>
      </c>
      <c r="O169" s="40">
        <v>11927.45</v>
      </c>
      <c r="P169" s="40">
        <v>11927.45</v>
      </c>
      <c r="Q169" s="40">
        <f t="shared" si="3"/>
        <v>0</v>
      </c>
      <c r="R169" s="285" t="s">
        <v>5071</v>
      </c>
      <c r="S169" s="14">
        <v>39885</v>
      </c>
      <c r="T169" s="285">
        <v>80</v>
      </c>
    </row>
    <row r="170" spans="1:20" ht="58.5" customHeight="1" x14ac:dyDescent="0.2">
      <c r="A170" s="289">
        <v>169</v>
      </c>
      <c r="B170" s="12" t="s">
        <v>1892</v>
      </c>
      <c r="C170" s="289" t="s">
        <v>5274</v>
      </c>
      <c r="D170" s="9" t="s">
        <v>1349</v>
      </c>
      <c r="E170" s="14">
        <v>40057</v>
      </c>
      <c r="F170" s="13" t="s">
        <v>7005</v>
      </c>
      <c r="G170" s="285" t="s">
        <v>7977</v>
      </c>
      <c r="H170" s="285" t="s">
        <v>5127</v>
      </c>
      <c r="I170" s="18"/>
      <c r="J170" s="285" t="s">
        <v>9405</v>
      </c>
      <c r="K170" s="289">
        <v>2009</v>
      </c>
      <c r="L170" s="289" t="s">
        <v>1029</v>
      </c>
      <c r="M170" s="14">
        <v>40002</v>
      </c>
      <c r="N170" s="16">
        <v>2</v>
      </c>
      <c r="O170" s="40">
        <v>27200</v>
      </c>
      <c r="P170" s="40">
        <v>27200</v>
      </c>
      <c r="Q170" s="40">
        <f t="shared" si="3"/>
        <v>0</v>
      </c>
      <c r="R170" s="285" t="s">
        <v>5071</v>
      </c>
      <c r="S170" s="14">
        <v>40002</v>
      </c>
      <c r="T170" s="285">
        <v>75</v>
      </c>
    </row>
    <row r="171" spans="1:20" ht="58.5" customHeight="1" x14ac:dyDescent="0.2">
      <c r="A171" s="289">
        <v>170</v>
      </c>
      <c r="B171" s="12" t="s">
        <v>1893</v>
      </c>
      <c r="C171" s="289" t="s">
        <v>5274</v>
      </c>
      <c r="D171" s="9" t="s">
        <v>1376</v>
      </c>
      <c r="E171" s="14">
        <v>40057</v>
      </c>
      <c r="F171" s="13" t="s">
        <v>7006</v>
      </c>
      <c r="G171" s="285" t="s">
        <v>7977</v>
      </c>
      <c r="H171" s="285" t="s">
        <v>5127</v>
      </c>
      <c r="I171" s="18"/>
      <c r="J171" s="285" t="s">
        <v>9405</v>
      </c>
      <c r="K171" s="289">
        <v>2009</v>
      </c>
      <c r="L171" s="289" t="s">
        <v>1029</v>
      </c>
      <c r="M171" s="14">
        <v>40039</v>
      </c>
      <c r="N171" s="16">
        <v>8</v>
      </c>
      <c r="O171" s="40">
        <v>141001.4</v>
      </c>
      <c r="P171" s="40">
        <v>141001.4</v>
      </c>
      <c r="Q171" s="40">
        <f t="shared" si="3"/>
        <v>0</v>
      </c>
      <c r="R171" s="285" t="s">
        <v>5071</v>
      </c>
      <c r="S171" s="14">
        <v>40039</v>
      </c>
      <c r="T171" s="285">
        <v>59</v>
      </c>
    </row>
    <row r="172" spans="1:20" ht="72.75" customHeight="1" x14ac:dyDescent="0.2">
      <c r="A172" s="289">
        <v>171</v>
      </c>
      <c r="B172" s="12" t="s">
        <v>1894</v>
      </c>
      <c r="C172" s="289" t="s">
        <v>5274</v>
      </c>
      <c r="D172" s="9" t="s">
        <v>1294</v>
      </c>
      <c r="E172" s="14">
        <v>40057</v>
      </c>
      <c r="F172" s="13" t="s">
        <v>7007</v>
      </c>
      <c r="G172" s="285" t="s">
        <v>7977</v>
      </c>
      <c r="H172" s="285" t="s">
        <v>5127</v>
      </c>
      <c r="I172" s="18"/>
      <c r="J172" s="285" t="s">
        <v>9405</v>
      </c>
      <c r="K172" s="289">
        <v>2009</v>
      </c>
      <c r="L172" s="289" t="s">
        <v>1029</v>
      </c>
      <c r="M172" s="14">
        <v>40039</v>
      </c>
      <c r="N172" s="16">
        <v>4</v>
      </c>
      <c r="O172" s="40">
        <v>56000</v>
      </c>
      <c r="P172" s="40">
        <v>56000</v>
      </c>
      <c r="Q172" s="40">
        <f t="shared" si="3"/>
        <v>0</v>
      </c>
      <c r="R172" s="285" t="s">
        <v>5071</v>
      </c>
      <c r="S172" s="14">
        <v>40039</v>
      </c>
      <c r="T172" s="285">
        <v>59</v>
      </c>
    </row>
    <row r="173" spans="1:20" ht="58.5" customHeight="1" x14ac:dyDescent="0.2">
      <c r="A173" s="289">
        <v>172</v>
      </c>
      <c r="B173" s="12" t="s">
        <v>1895</v>
      </c>
      <c r="C173" s="289" t="s">
        <v>5274</v>
      </c>
      <c r="D173" s="9" t="s">
        <v>1704</v>
      </c>
      <c r="E173" s="14">
        <v>40057</v>
      </c>
      <c r="F173" s="13" t="s">
        <v>7008</v>
      </c>
      <c r="G173" s="285" t="s">
        <v>7977</v>
      </c>
      <c r="H173" s="285" t="s">
        <v>5127</v>
      </c>
      <c r="I173" s="18"/>
      <c r="J173" s="285" t="s">
        <v>9405</v>
      </c>
      <c r="K173" s="289">
        <v>2009</v>
      </c>
      <c r="L173" s="289" t="s">
        <v>1029</v>
      </c>
      <c r="M173" s="14">
        <v>40039</v>
      </c>
      <c r="N173" s="16">
        <v>3</v>
      </c>
      <c r="O173" s="40">
        <v>34500</v>
      </c>
      <c r="P173" s="40">
        <v>34500</v>
      </c>
      <c r="Q173" s="40">
        <f t="shared" si="3"/>
        <v>0</v>
      </c>
      <c r="R173" s="285" t="s">
        <v>5071</v>
      </c>
      <c r="S173" s="14">
        <v>40039</v>
      </c>
      <c r="T173" s="285">
        <v>59</v>
      </c>
    </row>
    <row r="174" spans="1:20" ht="58.5" customHeight="1" x14ac:dyDescent="0.2">
      <c r="A174" s="289">
        <v>173</v>
      </c>
      <c r="B174" s="12" t="s">
        <v>5160</v>
      </c>
      <c r="C174" s="289" t="s">
        <v>5274</v>
      </c>
      <c r="D174" s="9" t="s">
        <v>1705</v>
      </c>
      <c r="E174" s="14">
        <v>40057</v>
      </c>
      <c r="F174" s="13" t="s">
        <v>7009</v>
      </c>
      <c r="G174" s="285" t="s">
        <v>7977</v>
      </c>
      <c r="H174" s="285" t="s">
        <v>5127</v>
      </c>
      <c r="I174" s="18"/>
      <c r="J174" s="285" t="s">
        <v>9405</v>
      </c>
      <c r="K174" s="289">
        <v>2009</v>
      </c>
      <c r="L174" s="289" t="s">
        <v>1029</v>
      </c>
      <c r="M174" s="14">
        <v>40039</v>
      </c>
      <c r="N174" s="16">
        <v>4</v>
      </c>
      <c r="O174" s="40">
        <v>40000</v>
      </c>
      <c r="P174" s="40">
        <v>40000</v>
      </c>
      <c r="Q174" s="40">
        <f t="shared" si="3"/>
        <v>0</v>
      </c>
      <c r="R174" s="285" t="s">
        <v>5071</v>
      </c>
      <c r="S174" s="14">
        <v>40039</v>
      </c>
      <c r="T174" s="285">
        <v>59</v>
      </c>
    </row>
    <row r="175" spans="1:20" ht="58.5" customHeight="1" x14ac:dyDescent="0.2">
      <c r="A175" s="289">
        <v>174</v>
      </c>
      <c r="B175" s="12" t="s">
        <v>5161</v>
      </c>
      <c r="C175" s="289" t="s">
        <v>5274</v>
      </c>
      <c r="D175" s="9" t="s">
        <v>3670</v>
      </c>
      <c r="E175" s="14">
        <v>40057</v>
      </c>
      <c r="F175" s="13" t="s">
        <v>3862</v>
      </c>
      <c r="G175" s="285" t="s">
        <v>7977</v>
      </c>
      <c r="H175" s="285" t="s">
        <v>5127</v>
      </c>
      <c r="I175" s="18"/>
      <c r="J175" s="285" t="s">
        <v>9405</v>
      </c>
      <c r="K175" s="289">
        <v>2009</v>
      </c>
      <c r="L175" s="289" t="s">
        <v>1029</v>
      </c>
      <c r="M175" s="14">
        <v>40039</v>
      </c>
      <c r="N175" s="16">
        <v>1</v>
      </c>
      <c r="O175" s="40">
        <v>14000</v>
      </c>
      <c r="P175" s="40">
        <v>14000</v>
      </c>
      <c r="Q175" s="40">
        <f t="shared" si="3"/>
        <v>0</v>
      </c>
      <c r="R175" s="285" t="s">
        <v>5071</v>
      </c>
      <c r="S175" s="14">
        <v>40039</v>
      </c>
      <c r="T175" s="285">
        <v>59</v>
      </c>
    </row>
    <row r="176" spans="1:20" ht="56.25" customHeight="1" x14ac:dyDescent="0.2">
      <c r="A176" s="289">
        <v>175</v>
      </c>
      <c r="B176" s="12" t="s">
        <v>5162</v>
      </c>
      <c r="C176" s="289" t="s">
        <v>5274</v>
      </c>
      <c r="D176" s="9" t="s">
        <v>3571</v>
      </c>
      <c r="E176" s="14">
        <v>40116</v>
      </c>
      <c r="F176" s="13" t="s">
        <v>4947</v>
      </c>
      <c r="G176" s="285" t="s">
        <v>7977</v>
      </c>
      <c r="H176" s="285" t="s">
        <v>5127</v>
      </c>
      <c r="I176" s="18"/>
      <c r="J176" s="285" t="s">
        <v>9405</v>
      </c>
      <c r="K176" s="289">
        <v>2009</v>
      </c>
      <c r="L176" s="289" t="s">
        <v>1029</v>
      </c>
      <c r="M176" s="14">
        <v>40086</v>
      </c>
      <c r="N176" s="16">
        <v>1</v>
      </c>
      <c r="O176" s="40">
        <v>10000</v>
      </c>
      <c r="P176" s="40">
        <v>10000</v>
      </c>
      <c r="Q176" s="40">
        <f t="shared" si="3"/>
        <v>0</v>
      </c>
      <c r="R176" s="285" t="s">
        <v>12</v>
      </c>
      <c r="S176" s="14">
        <v>40086</v>
      </c>
      <c r="T176" s="285"/>
    </row>
    <row r="177" spans="1:20" ht="56.25" customHeight="1" x14ac:dyDescent="0.2">
      <c r="A177" s="289">
        <v>176</v>
      </c>
      <c r="B177" s="12" t="s">
        <v>5080</v>
      </c>
      <c r="C177" s="289"/>
      <c r="D177" s="9" t="s">
        <v>3337</v>
      </c>
      <c r="E177" s="14">
        <v>40178</v>
      </c>
      <c r="F177" s="13" t="s">
        <v>6664</v>
      </c>
      <c r="G177" s="285" t="s">
        <v>6266</v>
      </c>
      <c r="H177" s="285" t="s">
        <v>5127</v>
      </c>
      <c r="I177" s="18"/>
      <c r="J177" s="285" t="s">
        <v>9411</v>
      </c>
      <c r="K177" s="15">
        <v>40544</v>
      </c>
      <c r="L177" s="22" t="s">
        <v>1029</v>
      </c>
      <c r="M177" s="15">
        <v>40178</v>
      </c>
      <c r="N177" s="16">
        <v>1</v>
      </c>
      <c r="O177" s="40">
        <v>16300</v>
      </c>
      <c r="P177" s="40">
        <v>16300</v>
      </c>
      <c r="Q177" s="40">
        <f t="shared" si="3"/>
        <v>0</v>
      </c>
      <c r="R177" s="285" t="s">
        <v>5071</v>
      </c>
      <c r="S177" s="14">
        <v>40119</v>
      </c>
      <c r="T177" s="285">
        <v>225</v>
      </c>
    </row>
    <row r="178" spans="1:20" ht="56.25" customHeight="1" x14ac:dyDescent="0.2">
      <c r="A178" s="289">
        <v>177</v>
      </c>
      <c r="B178" s="12" t="s">
        <v>5081</v>
      </c>
      <c r="C178" s="289" t="s">
        <v>5274</v>
      </c>
      <c r="D178" s="9" t="s">
        <v>5602</v>
      </c>
      <c r="E178" s="14">
        <v>40451</v>
      </c>
      <c r="F178" s="13" t="s">
        <v>6776</v>
      </c>
      <c r="G178" s="285" t="s">
        <v>7979</v>
      </c>
      <c r="H178" s="285" t="s">
        <v>5127</v>
      </c>
      <c r="I178" s="18"/>
      <c r="J178" s="285"/>
      <c r="K178" s="289"/>
      <c r="L178" s="22"/>
      <c r="M178" s="15">
        <v>40544</v>
      </c>
      <c r="N178" s="16">
        <v>2</v>
      </c>
      <c r="O178" s="40">
        <v>29000</v>
      </c>
      <c r="P178" s="40">
        <v>29000</v>
      </c>
      <c r="Q178" s="40">
        <f t="shared" si="3"/>
        <v>0</v>
      </c>
      <c r="R178" s="285" t="s">
        <v>5071</v>
      </c>
      <c r="S178" s="14">
        <v>40393</v>
      </c>
      <c r="T178" s="285" t="s">
        <v>1029</v>
      </c>
    </row>
    <row r="179" spans="1:20" ht="56.25" customHeight="1" x14ac:dyDescent="0.2">
      <c r="A179" s="289">
        <v>178</v>
      </c>
      <c r="B179" s="12" t="s">
        <v>4594</v>
      </c>
      <c r="C179" s="289"/>
      <c r="D179" s="9" t="s">
        <v>3895</v>
      </c>
      <c r="E179" s="22">
        <v>2010</v>
      </c>
      <c r="F179" s="13" t="s">
        <v>6574</v>
      </c>
      <c r="G179" s="285" t="s">
        <v>7464</v>
      </c>
      <c r="H179" s="285" t="s">
        <v>5127</v>
      </c>
      <c r="I179" s="18"/>
      <c r="J179" s="285"/>
      <c r="K179" s="289"/>
      <c r="L179" s="22"/>
      <c r="M179" s="12" t="s">
        <v>1031</v>
      </c>
      <c r="N179" s="16">
        <v>1</v>
      </c>
      <c r="O179" s="40">
        <v>33523</v>
      </c>
      <c r="P179" s="40">
        <v>33523</v>
      </c>
      <c r="Q179" s="40">
        <f t="shared" si="3"/>
        <v>0</v>
      </c>
      <c r="R179" s="285" t="s">
        <v>5071</v>
      </c>
      <c r="S179" s="14">
        <v>40402</v>
      </c>
      <c r="T179" s="285">
        <v>86</v>
      </c>
    </row>
    <row r="180" spans="1:20" ht="56.25" customHeight="1" x14ac:dyDescent="0.2">
      <c r="A180" s="289">
        <v>179</v>
      </c>
      <c r="B180" s="12" t="s">
        <v>4595</v>
      </c>
      <c r="C180" s="289"/>
      <c r="D180" s="9" t="s">
        <v>530</v>
      </c>
      <c r="E180" s="22"/>
      <c r="F180" s="26"/>
      <c r="G180" s="285" t="s">
        <v>7983</v>
      </c>
      <c r="H180" s="285" t="s">
        <v>5127</v>
      </c>
      <c r="I180" s="18"/>
      <c r="J180" s="285" t="s">
        <v>9412</v>
      </c>
      <c r="K180" s="15">
        <v>43831</v>
      </c>
      <c r="L180" s="22" t="s">
        <v>1029</v>
      </c>
      <c r="M180" s="14">
        <v>40218</v>
      </c>
      <c r="N180" s="16">
        <v>1</v>
      </c>
      <c r="O180" s="40">
        <v>25850</v>
      </c>
      <c r="P180" s="40">
        <v>25850</v>
      </c>
      <c r="Q180" s="40">
        <f t="shared" si="3"/>
        <v>0</v>
      </c>
      <c r="R180" s="285" t="s">
        <v>3405</v>
      </c>
      <c r="S180" s="14">
        <v>40218</v>
      </c>
      <c r="T180" s="285">
        <v>10</v>
      </c>
    </row>
    <row r="181" spans="1:20" ht="56.25" customHeight="1" x14ac:dyDescent="0.2">
      <c r="A181" s="289">
        <v>180</v>
      </c>
      <c r="B181" s="12" t="s">
        <v>2028</v>
      </c>
      <c r="C181" s="289"/>
      <c r="D181" s="9" t="s">
        <v>1882</v>
      </c>
      <c r="E181" s="22"/>
      <c r="F181" s="26"/>
      <c r="G181" s="285" t="s">
        <v>7983</v>
      </c>
      <c r="H181" s="285" t="s">
        <v>5127</v>
      </c>
      <c r="I181" s="18"/>
      <c r="J181" s="285" t="s">
        <v>9410</v>
      </c>
      <c r="K181" s="15">
        <v>43831</v>
      </c>
      <c r="L181" s="12" t="s">
        <v>1029</v>
      </c>
      <c r="M181" s="289">
        <v>2010</v>
      </c>
      <c r="N181" s="16">
        <v>1</v>
      </c>
      <c r="O181" s="40">
        <v>30000</v>
      </c>
      <c r="P181" s="40">
        <v>30000</v>
      </c>
      <c r="Q181" s="40">
        <f t="shared" si="3"/>
        <v>0</v>
      </c>
      <c r="R181" s="285" t="s">
        <v>3405</v>
      </c>
      <c r="S181" s="14">
        <v>40435</v>
      </c>
      <c r="T181" s="285">
        <v>262</v>
      </c>
    </row>
    <row r="182" spans="1:20" ht="56.25" customHeight="1" x14ac:dyDescent="0.2">
      <c r="A182" s="289">
        <v>181</v>
      </c>
      <c r="B182" s="12" t="s">
        <v>2029</v>
      </c>
      <c r="C182" s="289" t="s">
        <v>5274</v>
      </c>
      <c r="D182" s="9" t="s">
        <v>5487</v>
      </c>
      <c r="E182" s="285"/>
      <c r="F182" s="13" t="s">
        <v>5031</v>
      </c>
      <c r="G182" s="285" t="s">
        <v>7978</v>
      </c>
      <c r="H182" s="285" t="s">
        <v>5127</v>
      </c>
      <c r="I182" s="18"/>
      <c r="J182" s="285"/>
      <c r="K182" s="289"/>
      <c r="L182" s="22"/>
      <c r="M182" s="15">
        <v>41000</v>
      </c>
      <c r="N182" s="16">
        <v>1</v>
      </c>
      <c r="O182" s="40">
        <v>11000</v>
      </c>
      <c r="P182" s="40">
        <v>11000</v>
      </c>
      <c r="Q182" s="40">
        <f t="shared" si="3"/>
        <v>0</v>
      </c>
      <c r="R182" s="285" t="s">
        <v>5071</v>
      </c>
      <c r="S182" s="22" t="s">
        <v>13</v>
      </c>
      <c r="T182" s="285">
        <v>5</v>
      </c>
    </row>
    <row r="183" spans="1:20" ht="56.25" customHeight="1" x14ac:dyDescent="0.2">
      <c r="A183" s="289">
        <v>182</v>
      </c>
      <c r="B183" s="12" t="s">
        <v>2030</v>
      </c>
      <c r="C183" s="289"/>
      <c r="D183" s="9" t="s">
        <v>6555</v>
      </c>
      <c r="E183" s="180"/>
      <c r="F183" s="13" t="s">
        <v>2238</v>
      </c>
      <c r="G183" s="56" t="s">
        <v>101</v>
      </c>
      <c r="H183" s="285" t="s">
        <v>5127</v>
      </c>
      <c r="I183" s="18"/>
      <c r="J183" s="285" t="s">
        <v>9408</v>
      </c>
      <c r="K183" s="289">
        <v>2011</v>
      </c>
      <c r="L183" s="22" t="s">
        <v>1029</v>
      </c>
      <c r="M183" s="15">
        <v>40710</v>
      </c>
      <c r="N183" s="16">
        <v>1</v>
      </c>
      <c r="O183" s="40">
        <v>18899.27</v>
      </c>
      <c r="P183" s="40">
        <v>18899.27</v>
      </c>
      <c r="Q183" s="40">
        <f t="shared" si="3"/>
        <v>0</v>
      </c>
      <c r="R183" s="285" t="s">
        <v>5071</v>
      </c>
      <c r="S183" s="15">
        <v>40710</v>
      </c>
      <c r="T183" s="285">
        <v>16</v>
      </c>
    </row>
    <row r="184" spans="1:20" ht="27.75" customHeight="1" x14ac:dyDescent="0.2">
      <c r="A184" s="289">
        <v>183</v>
      </c>
      <c r="B184" s="12" t="s">
        <v>406</v>
      </c>
      <c r="C184" s="289" t="s">
        <v>5274</v>
      </c>
      <c r="D184" s="9" t="s">
        <v>4327</v>
      </c>
      <c r="E184" s="180"/>
      <c r="F184" s="13" t="s">
        <v>2480</v>
      </c>
      <c r="G184" s="285" t="s">
        <v>7917</v>
      </c>
      <c r="H184" s="285" t="s">
        <v>5127</v>
      </c>
      <c r="I184" s="18"/>
      <c r="J184" s="285"/>
      <c r="K184" s="289"/>
      <c r="L184" s="22"/>
      <c r="M184" s="15">
        <v>40634</v>
      </c>
      <c r="N184" s="16">
        <v>1</v>
      </c>
      <c r="O184" s="40">
        <v>17030.7</v>
      </c>
      <c r="P184" s="40">
        <v>17030.7</v>
      </c>
      <c r="Q184" s="40">
        <f t="shared" si="3"/>
        <v>0</v>
      </c>
      <c r="R184" s="285" t="s">
        <v>6052</v>
      </c>
      <c r="S184" s="15">
        <v>40634</v>
      </c>
      <c r="T184" s="285"/>
    </row>
    <row r="185" spans="1:20" ht="27.75" customHeight="1" x14ac:dyDescent="0.2">
      <c r="A185" s="289">
        <v>184</v>
      </c>
      <c r="B185" s="12" t="s">
        <v>407</v>
      </c>
      <c r="C185" s="289" t="s">
        <v>5274</v>
      </c>
      <c r="D185" s="9" t="s">
        <v>2583</v>
      </c>
      <c r="E185" s="180"/>
      <c r="F185" s="13" t="s">
        <v>2480</v>
      </c>
      <c r="G185" s="285" t="s">
        <v>7917</v>
      </c>
      <c r="H185" s="285" t="s">
        <v>5127</v>
      </c>
      <c r="I185" s="18"/>
      <c r="J185" s="285"/>
      <c r="K185" s="289"/>
      <c r="L185" s="22"/>
      <c r="M185" s="15">
        <v>40634</v>
      </c>
      <c r="N185" s="16">
        <v>2</v>
      </c>
      <c r="O185" s="40">
        <v>22707.599999999999</v>
      </c>
      <c r="P185" s="40">
        <v>22707.599999999999</v>
      </c>
      <c r="Q185" s="40">
        <f t="shared" si="3"/>
        <v>0</v>
      </c>
      <c r="R185" s="285" t="s">
        <v>6052</v>
      </c>
      <c r="S185" s="15">
        <v>40634</v>
      </c>
      <c r="T185" s="285"/>
    </row>
    <row r="186" spans="1:20" ht="56.25" customHeight="1" x14ac:dyDescent="0.2">
      <c r="A186" s="289">
        <v>185</v>
      </c>
      <c r="B186" s="12" t="s">
        <v>5266</v>
      </c>
      <c r="C186" s="289" t="s">
        <v>5274</v>
      </c>
      <c r="D186" s="9" t="s">
        <v>2583</v>
      </c>
      <c r="E186" s="180"/>
      <c r="F186" s="13" t="s">
        <v>813</v>
      </c>
      <c r="G186" s="285" t="s">
        <v>7979</v>
      </c>
      <c r="H186" s="285" t="s">
        <v>5127</v>
      </c>
      <c r="I186" s="18"/>
      <c r="J186" s="285"/>
      <c r="K186" s="289"/>
      <c r="L186" s="22"/>
      <c r="M186" s="15">
        <v>40634</v>
      </c>
      <c r="N186" s="16">
        <v>1</v>
      </c>
      <c r="O186" s="40">
        <v>11353.8</v>
      </c>
      <c r="P186" s="40">
        <v>11353.8</v>
      </c>
      <c r="Q186" s="40">
        <f t="shared" si="3"/>
        <v>0</v>
      </c>
      <c r="R186" s="285" t="s">
        <v>6052</v>
      </c>
      <c r="S186" s="15">
        <v>40634</v>
      </c>
      <c r="T186" s="285"/>
    </row>
    <row r="187" spans="1:20" ht="56.25" customHeight="1" x14ac:dyDescent="0.2">
      <c r="A187" s="289">
        <v>186</v>
      </c>
      <c r="B187" s="12" t="s">
        <v>5267</v>
      </c>
      <c r="C187" s="289" t="s">
        <v>5274</v>
      </c>
      <c r="D187" s="9" t="s">
        <v>8242</v>
      </c>
      <c r="E187" s="14">
        <v>33511</v>
      </c>
      <c r="F187" s="13" t="s">
        <v>6977</v>
      </c>
      <c r="G187" s="285" t="s">
        <v>7982</v>
      </c>
      <c r="H187" s="285" t="s">
        <v>5127</v>
      </c>
      <c r="I187" s="18"/>
      <c r="J187" s="285" t="s">
        <v>9411</v>
      </c>
      <c r="K187" s="15">
        <v>40544</v>
      </c>
      <c r="L187" s="289" t="s">
        <v>1029</v>
      </c>
      <c r="M187" s="15">
        <v>33511</v>
      </c>
      <c r="N187" s="16">
        <v>2</v>
      </c>
      <c r="O187" s="40">
        <v>33600</v>
      </c>
      <c r="P187" s="40">
        <v>33600</v>
      </c>
      <c r="Q187" s="40">
        <f t="shared" si="3"/>
        <v>0</v>
      </c>
      <c r="R187" s="285"/>
      <c r="S187" s="14"/>
      <c r="T187" s="285"/>
    </row>
    <row r="188" spans="1:20" ht="56.25" customHeight="1" x14ac:dyDescent="0.2">
      <c r="A188" s="289">
        <v>187</v>
      </c>
      <c r="B188" s="12" t="s">
        <v>5268</v>
      </c>
      <c r="C188" s="289" t="s">
        <v>5274</v>
      </c>
      <c r="D188" s="9" t="s">
        <v>6205</v>
      </c>
      <c r="E188" s="14">
        <v>33511</v>
      </c>
      <c r="F188" s="13" t="s">
        <v>6978</v>
      </c>
      <c r="G188" s="285" t="s">
        <v>7982</v>
      </c>
      <c r="H188" s="285" t="s">
        <v>5127</v>
      </c>
      <c r="I188" s="18"/>
      <c r="J188" s="285" t="s">
        <v>9411</v>
      </c>
      <c r="K188" s="15">
        <v>40544</v>
      </c>
      <c r="L188" s="289" t="s">
        <v>1029</v>
      </c>
      <c r="M188" s="15">
        <v>33511</v>
      </c>
      <c r="N188" s="16">
        <v>1</v>
      </c>
      <c r="O188" s="40">
        <v>16800</v>
      </c>
      <c r="P188" s="40">
        <v>16800</v>
      </c>
      <c r="Q188" s="40">
        <f t="shared" si="3"/>
        <v>0</v>
      </c>
      <c r="R188" s="285"/>
      <c r="S188" s="14"/>
      <c r="T188" s="285"/>
    </row>
    <row r="189" spans="1:20" ht="56.25" customHeight="1" x14ac:dyDescent="0.2">
      <c r="A189" s="289">
        <v>188</v>
      </c>
      <c r="B189" s="12" t="s">
        <v>5366</v>
      </c>
      <c r="C189" s="289" t="s">
        <v>5274</v>
      </c>
      <c r="D189" s="9" t="s">
        <v>8243</v>
      </c>
      <c r="E189" s="14">
        <v>33511</v>
      </c>
      <c r="F189" s="13" t="s">
        <v>6979</v>
      </c>
      <c r="G189" s="285" t="s">
        <v>7982</v>
      </c>
      <c r="H189" s="285" t="s">
        <v>5127</v>
      </c>
      <c r="I189" s="18"/>
      <c r="J189" s="285" t="s">
        <v>9411</v>
      </c>
      <c r="K189" s="15">
        <v>40544</v>
      </c>
      <c r="L189" s="289" t="s">
        <v>1029</v>
      </c>
      <c r="M189" s="15">
        <v>33511</v>
      </c>
      <c r="N189" s="16">
        <v>1</v>
      </c>
      <c r="O189" s="40">
        <v>16800</v>
      </c>
      <c r="P189" s="40">
        <v>16800</v>
      </c>
      <c r="Q189" s="40">
        <f t="shared" si="3"/>
        <v>0</v>
      </c>
      <c r="R189" s="285"/>
      <c r="S189" s="14"/>
      <c r="T189" s="285"/>
    </row>
    <row r="190" spans="1:20" ht="56.25" customHeight="1" x14ac:dyDescent="0.2">
      <c r="A190" s="289">
        <v>189</v>
      </c>
      <c r="B190" s="12" t="s">
        <v>5367</v>
      </c>
      <c r="C190" s="289" t="s">
        <v>5274</v>
      </c>
      <c r="D190" s="9" t="s">
        <v>8244</v>
      </c>
      <c r="E190" s="14">
        <v>33511</v>
      </c>
      <c r="F190" s="13" t="s">
        <v>6980</v>
      </c>
      <c r="G190" s="285" t="s">
        <v>7982</v>
      </c>
      <c r="H190" s="285" t="s">
        <v>5127</v>
      </c>
      <c r="I190" s="18"/>
      <c r="J190" s="285" t="s">
        <v>9411</v>
      </c>
      <c r="K190" s="15">
        <v>40544</v>
      </c>
      <c r="L190" s="289" t="s">
        <v>1029</v>
      </c>
      <c r="M190" s="15">
        <v>33511</v>
      </c>
      <c r="N190" s="16">
        <v>1</v>
      </c>
      <c r="O190" s="40">
        <v>16800</v>
      </c>
      <c r="P190" s="40">
        <v>16800</v>
      </c>
      <c r="Q190" s="40">
        <f t="shared" si="3"/>
        <v>0</v>
      </c>
      <c r="R190" s="285"/>
      <c r="S190" s="14"/>
      <c r="T190" s="285"/>
    </row>
    <row r="191" spans="1:20" ht="56.25" customHeight="1" x14ac:dyDescent="0.2">
      <c r="A191" s="289">
        <v>190</v>
      </c>
      <c r="B191" s="12" t="s">
        <v>5368</v>
      </c>
      <c r="C191" s="289" t="s">
        <v>5274</v>
      </c>
      <c r="D191" s="9" t="s">
        <v>8245</v>
      </c>
      <c r="E191" s="14">
        <v>33358</v>
      </c>
      <c r="F191" s="13" t="s">
        <v>5604</v>
      </c>
      <c r="G191" s="285" t="s">
        <v>7982</v>
      </c>
      <c r="H191" s="285" t="s">
        <v>5127</v>
      </c>
      <c r="I191" s="18"/>
      <c r="J191" s="285" t="s">
        <v>9411</v>
      </c>
      <c r="K191" s="15">
        <v>40544</v>
      </c>
      <c r="L191" s="289" t="s">
        <v>1029</v>
      </c>
      <c r="M191" s="15">
        <v>33358</v>
      </c>
      <c r="N191" s="16">
        <v>1</v>
      </c>
      <c r="O191" s="40">
        <v>14373.79</v>
      </c>
      <c r="P191" s="40">
        <v>14373.79</v>
      </c>
      <c r="Q191" s="40">
        <f t="shared" si="3"/>
        <v>0</v>
      </c>
      <c r="R191" s="285"/>
      <c r="S191" s="14"/>
      <c r="T191" s="285"/>
    </row>
    <row r="192" spans="1:20" ht="56.25" customHeight="1" x14ac:dyDescent="0.2">
      <c r="A192" s="289">
        <v>191</v>
      </c>
      <c r="B192" s="12" t="s">
        <v>5369</v>
      </c>
      <c r="C192" s="289" t="s">
        <v>5274</v>
      </c>
      <c r="D192" s="9" t="s">
        <v>1278</v>
      </c>
      <c r="E192" s="14">
        <v>33358</v>
      </c>
      <c r="F192" s="13" t="s">
        <v>6981</v>
      </c>
      <c r="G192" s="285" t="s">
        <v>7982</v>
      </c>
      <c r="H192" s="285" t="s">
        <v>5127</v>
      </c>
      <c r="I192" s="18"/>
      <c r="J192" s="285" t="s">
        <v>9411</v>
      </c>
      <c r="K192" s="15">
        <v>40544</v>
      </c>
      <c r="L192" s="289" t="s">
        <v>1029</v>
      </c>
      <c r="M192" s="15">
        <v>33358</v>
      </c>
      <c r="N192" s="16">
        <v>1</v>
      </c>
      <c r="O192" s="40">
        <v>14373.79</v>
      </c>
      <c r="P192" s="40">
        <v>14373.79</v>
      </c>
      <c r="Q192" s="40">
        <f t="shared" si="3"/>
        <v>0</v>
      </c>
      <c r="R192" s="285"/>
      <c r="S192" s="14"/>
      <c r="T192" s="285"/>
    </row>
    <row r="193" spans="1:20" ht="56.25" customHeight="1" x14ac:dyDescent="0.2">
      <c r="A193" s="289">
        <v>192</v>
      </c>
      <c r="B193" s="12" t="s">
        <v>5370</v>
      </c>
      <c r="C193" s="289" t="s">
        <v>5274</v>
      </c>
      <c r="D193" s="9" t="s">
        <v>2205</v>
      </c>
      <c r="E193" s="14">
        <v>39813</v>
      </c>
      <c r="F193" s="13" t="s">
        <v>6982</v>
      </c>
      <c r="G193" s="285" t="s">
        <v>7982</v>
      </c>
      <c r="H193" s="285" t="s">
        <v>5127</v>
      </c>
      <c r="I193" s="18"/>
      <c r="J193" s="285" t="s">
        <v>9411</v>
      </c>
      <c r="K193" s="15">
        <v>40544</v>
      </c>
      <c r="L193" s="289" t="s">
        <v>1029</v>
      </c>
      <c r="M193" s="15">
        <v>39813</v>
      </c>
      <c r="N193" s="16">
        <v>1</v>
      </c>
      <c r="O193" s="40">
        <v>30413</v>
      </c>
      <c r="P193" s="40">
        <v>30413</v>
      </c>
      <c r="Q193" s="40">
        <f t="shared" si="3"/>
        <v>0</v>
      </c>
      <c r="R193" s="285"/>
      <c r="S193" s="14"/>
      <c r="T193" s="285"/>
    </row>
    <row r="194" spans="1:20" ht="56.25" customHeight="1" x14ac:dyDescent="0.2">
      <c r="A194" s="289">
        <v>193</v>
      </c>
      <c r="B194" s="12" t="s">
        <v>5371</v>
      </c>
      <c r="C194" s="289" t="s">
        <v>5274</v>
      </c>
      <c r="D194" s="9" t="s">
        <v>8246</v>
      </c>
      <c r="E194" s="285"/>
      <c r="F194" s="13" t="s">
        <v>6891</v>
      </c>
      <c r="G194" s="285" t="s">
        <v>7978</v>
      </c>
      <c r="H194" s="285" t="s">
        <v>5127</v>
      </c>
      <c r="I194" s="18"/>
      <c r="J194" s="285"/>
      <c r="K194" s="289"/>
      <c r="L194" s="22"/>
      <c r="M194" s="15">
        <v>41000</v>
      </c>
      <c r="N194" s="16">
        <v>1</v>
      </c>
      <c r="O194" s="40">
        <v>29135</v>
      </c>
      <c r="P194" s="40">
        <v>29135</v>
      </c>
      <c r="Q194" s="40">
        <f t="shared" si="3"/>
        <v>0</v>
      </c>
      <c r="R194" s="285" t="s">
        <v>5071</v>
      </c>
      <c r="S194" s="22" t="s">
        <v>14</v>
      </c>
      <c r="T194" s="285">
        <v>945</v>
      </c>
    </row>
    <row r="195" spans="1:20" ht="56.25" customHeight="1" x14ac:dyDescent="0.2">
      <c r="A195" s="289">
        <v>194</v>
      </c>
      <c r="B195" s="12" t="s">
        <v>5372</v>
      </c>
      <c r="C195" s="289" t="s">
        <v>5274</v>
      </c>
      <c r="D195" s="9" t="s">
        <v>8247</v>
      </c>
      <c r="E195" s="285"/>
      <c r="F195" s="13" t="s">
        <v>6892</v>
      </c>
      <c r="G195" s="285" t="s">
        <v>7978</v>
      </c>
      <c r="H195" s="285" t="s">
        <v>5127</v>
      </c>
      <c r="I195" s="18"/>
      <c r="J195" s="285"/>
      <c r="K195" s="289"/>
      <c r="L195" s="22"/>
      <c r="M195" s="15">
        <v>41000</v>
      </c>
      <c r="N195" s="16">
        <v>1</v>
      </c>
      <c r="O195" s="40">
        <v>19500</v>
      </c>
      <c r="P195" s="40">
        <v>19500</v>
      </c>
      <c r="Q195" s="40">
        <f t="shared" ref="Q195:Q258" si="4">O195-P195</f>
        <v>0</v>
      </c>
      <c r="R195" s="285" t="s">
        <v>5071</v>
      </c>
      <c r="S195" s="22" t="s">
        <v>14</v>
      </c>
      <c r="T195" s="285">
        <v>945</v>
      </c>
    </row>
    <row r="196" spans="1:20" ht="56.25" customHeight="1" x14ac:dyDescent="0.2">
      <c r="A196" s="289">
        <v>195</v>
      </c>
      <c r="B196" s="12" t="s">
        <v>2031</v>
      </c>
      <c r="C196" s="289" t="s">
        <v>5274</v>
      </c>
      <c r="D196" s="9" t="s">
        <v>6777</v>
      </c>
      <c r="E196" s="285"/>
      <c r="F196" s="13" t="s">
        <v>6093</v>
      </c>
      <c r="G196" s="285" t="s">
        <v>7979</v>
      </c>
      <c r="H196" s="285" t="s">
        <v>5127</v>
      </c>
      <c r="I196" s="18"/>
      <c r="J196" s="285"/>
      <c r="K196" s="289"/>
      <c r="L196" s="22"/>
      <c r="M196" s="15">
        <v>41000</v>
      </c>
      <c r="N196" s="16">
        <v>1</v>
      </c>
      <c r="O196" s="40">
        <v>24600</v>
      </c>
      <c r="P196" s="40">
        <v>24600</v>
      </c>
      <c r="Q196" s="40">
        <f t="shared" si="4"/>
        <v>0</v>
      </c>
      <c r="R196" s="285" t="s">
        <v>5071</v>
      </c>
      <c r="S196" s="22" t="s">
        <v>14</v>
      </c>
      <c r="T196" s="285">
        <v>945</v>
      </c>
    </row>
    <row r="197" spans="1:20" ht="56.25" customHeight="1" x14ac:dyDescent="0.2">
      <c r="A197" s="289">
        <v>196</v>
      </c>
      <c r="B197" s="12" t="s">
        <v>5292</v>
      </c>
      <c r="C197" s="289" t="s">
        <v>5274</v>
      </c>
      <c r="D197" s="9" t="s">
        <v>6777</v>
      </c>
      <c r="E197" s="285"/>
      <c r="F197" s="26" t="s">
        <v>7100</v>
      </c>
      <c r="G197" s="285" t="s">
        <v>7934</v>
      </c>
      <c r="H197" s="285" t="s">
        <v>5127</v>
      </c>
      <c r="I197" s="18"/>
      <c r="J197" s="285"/>
      <c r="K197" s="289"/>
      <c r="L197" s="22"/>
      <c r="M197" s="15">
        <v>41000</v>
      </c>
      <c r="N197" s="16">
        <v>1</v>
      </c>
      <c r="O197" s="40">
        <v>24600</v>
      </c>
      <c r="P197" s="40">
        <v>24600</v>
      </c>
      <c r="Q197" s="40">
        <f t="shared" si="4"/>
        <v>0</v>
      </c>
      <c r="R197" s="285" t="s">
        <v>5071</v>
      </c>
      <c r="S197" s="22" t="s">
        <v>14</v>
      </c>
      <c r="T197" s="285">
        <v>945</v>
      </c>
    </row>
    <row r="198" spans="1:20" ht="56.25" customHeight="1" x14ac:dyDescent="0.2">
      <c r="A198" s="289">
        <v>197</v>
      </c>
      <c r="B198" s="12" t="s">
        <v>5293</v>
      </c>
      <c r="C198" s="289" t="s">
        <v>5274</v>
      </c>
      <c r="D198" s="9" t="s">
        <v>8247</v>
      </c>
      <c r="E198" s="285"/>
      <c r="F198" s="26" t="s">
        <v>7101</v>
      </c>
      <c r="G198" s="285" t="s">
        <v>7934</v>
      </c>
      <c r="H198" s="285" t="s">
        <v>5127</v>
      </c>
      <c r="I198" s="18"/>
      <c r="J198" s="285"/>
      <c r="K198" s="289"/>
      <c r="L198" s="22"/>
      <c r="M198" s="15">
        <v>41000</v>
      </c>
      <c r="N198" s="16">
        <v>1</v>
      </c>
      <c r="O198" s="40">
        <v>19500</v>
      </c>
      <c r="P198" s="40">
        <v>19500</v>
      </c>
      <c r="Q198" s="40">
        <f t="shared" si="4"/>
        <v>0</v>
      </c>
      <c r="R198" s="285" t="s">
        <v>5071</v>
      </c>
      <c r="S198" s="22" t="s">
        <v>14</v>
      </c>
      <c r="T198" s="285">
        <v>945</v>
      </c>
    </row>
    <row r="199" spans="1:20" ht="56.25" customHeight="1" x14ac:dyDescent="0.2">
      <c r="A199" s="289">
        <v>198</v>
      </c>
      <c r="B199" s="12" t="s">
        <v>5294</v>
      </c>
      <c r="C199" s="289" t="s">
        <v>5274</v>
      </c>
      <c r="D199" s="9" t="s">
        <v>8246</v>
      </c>
      <c r="E199" s="285"/>
      <c r="F199" s="26" t="s">
        <v>7102</v>
      </c>
      <c r="G199" s="285" t="s">
        <v>7934</v>
      </c>
      <c r="H199" s="285" t="s">
        <v>5127</v>
      </c>
      <c r="I199" s="18"/>
      <c r="J199" s="285"/>
      <c r="K199" s="289"/>
      <c r="L199" s="22"/>
      <c r="M199" s="15">
        <v>41000</v>
      </c>
      <c r="N199" s="16">
        <v>1</v>
      </c>
      <c r="O199" s="40">
        <v>29135</v>
      </c>
      <c r="P199" s="40">
        <v>29135</v>
      </c>
      <c r="Q199" s="40">
        <f t="shared" si="4"/>
        <v>0</v>
      </c>
      <c r="R199" s="285" t="s">
        <v>5071</v>
      </c>
      <c r="S199" s="22" t="s">
        <v>14</v>
      </c>
      <c r="T199" s="285">
        <v>945</v>
      </c>
    </row>
    <row r="200" spans="1:20" ht="56.25" customHeight="1" x14ac:dyDescent="0.2">
      <c r="A200" s="289">
        <v>199</v>
      </c>
      <c r="B200" s="12" t="s">
        <v>3898</v>
      </c>
      <c r="C200" s="289"/>
      <c r="D200" s="9" t="s">
        <v>260</v>
      </c>
      <c r="E200" s="285"/>
      <c r="F200" s="13" t="s">
        <v>5140</v>
      </c>
      <c r="G200" s="285" t="s">
        <v>792</v>
      </c>
      <c r="H200" s="285" t="s">
        <v>5127</v>
      </c>
      <c r="I200" s="18"/>
      <c r="J200" s="285"/>
      <c r="K200" s="289"/>
      <c r="L200" s="22"/>
      <c r="M200" s="15">
        <v>41000</v>
      </c>
      <c r="N200" s="16">
        <v>1</v>
      </c>
      <c r="O200" s="40">
        <v>15479</v>
      </c>
      <c r="P200" s="40">
        <v>15479</v>
      </c>
      <c r="Q200" s="40">
        <f t="shared" si="4"/>
        <v>0</v>
      </c>
      <c r="R200" s="22"/>
      <c r="S200" s="22"/>
      <c r="T200" s="285"/>
    </row>
    <row r="201" spans="1:20" ht="56.25" customHeight="1" x14ac:dyDescent="0.2">
      <c r="A201" s="289">
        <v>200</v>
      </c>
      <c r="B201" s="12" t="s">
        <v>3899</v>
      </c>
      <c r="C201" s="289"/>
      <c r="D201" s="9" t="s">
        <v>1957</v>
      </c>
      <c r="E201" s="22" t="s">
        <v>2568</v>
      </c>
      <c r="F201" s="13" t="s">
        <v>3778</v>
      </c>
      <c r="G201" s="285" t="s">
        <v>9194</v>
      </c>
      <c r="H201" s="285" t="s">
        <v>5127</v>
      </c>
      <c r="I201" s="18"/>
      <c r="J201" s="285"/>
      <c r="K201" s="289"/>
      <c r="L201" s="22"/>
      <c r="M201" s="15">
        <v>41091</v>
      </c>
      <c r="N201" s="16">
        <v>1</v>
      </c>
      <c r="O201" s="40">
        <v>14630</v>
      </c>
      <c r="P201" s="40">
        <v>14630</v>
      </c>
      <c r="Q201" s="40">
        <f t="shared" si="4"/>
        <v>0</v>
      </c>
      <c r="R201" s="285"/>
      <c r="S201" s="14"/>
      <c r="T201" s="285"/>
    </row>
    <row r="202" spans="1:20" ht="56.25" customHeight="1" x14ac:dyDescent="0.2">
      <c r="A202" s="289">
        <v>201</v>
      </c>
      <c r="B202" s="12" t="s">
        <v>3900</v>
      </c>
      <c r="C202" s="289"/>
      <c r="D202" s="9" t="s">
        <v>3652</v>
      </c>
      <c r="E202" s="22" t="s">
        <v>2568</v>
      </c>
      <c r="F202" s="13" t="s">
        <v>5290</v>
      </c>
      <c r="G202" s="285" t="s">
        <v>8661</v>
      </c>
      <c r="H202" s="285" t="s">
        <v>5127</v>
      </c>
      <c r="I202" s="18"/>
      <c r="J202" s="285"/>
      <c r="K202" s="289"/>
      <c r="L202" s="22"/>
      <c r="M202" s="15">
        <v>41091</v>
      </c>
      <c r="N202" s="24">
        <v>2</v>
      </c>
      <c r="O202" s="40">
        <v>23380</v>
      </c>
      <c r="P202" s="40">
        <v>23380</v>
      </c>
      <c r="Q202" s="40">
        <f t="shared" si="4"/>
        <v>0</v>
      </c>
      <c r="R202" s="285"/>
      <c r="S202" s="14"/>
      <c r="T202" s="285"/>
    </row>
    <row r="203" spans="1:20" ht="56.25" customHeight="1" x14ac:dyDescent="0.2">
      <c r="A203" s="289">
        <v>202</v>
      </c>
      <c r="B203" s="12" t="s">
        <v>3901</v>
      </c>
      <c r="C203" s="289"/>
      <c r="D203" s="9" t="s">
        <v>2152</v>
      </c>
      <c r="E203" s="14">
        <v>41170</v>
      </c>
      <c r="F203" s="13" t="s">
        <v>7076</v>
      </c>
      <c r="G203" s="285" t="s">
        <v>7981</v>
      </c>
      <c r="H203" s="285" t="s">
        <v>5127</v>
      </c>
      <c r="I203" s="18"/>
      <c r="J203" s="285" t="s">
        <v>9490</v>
      </c>
      <c r="K203" s="15">
        <v>41182</v>
      </c>
      <c r="L203" s="12" t="s">
        <v>1029</v>
      </c>
      <c r="M203" s="15">
        <v>41170</v>
      </c>
      <c r="N203" s="24">
        <v>1</v>
      </c>
      <c r="O203" s="40">
        <v>26770</v>
      </c>
      <c r="P203" s="40">
        <v>26770</v>
      </c>
      <c r="Q203" s="40">
        <f t="shared" si="4"/>
        <v>0</v>
      </c>
      <c r="R203" s="285" t="s">
        <v>3405</v>
      </c>
      <c r="S203" s="14">
        <v>41170</v>
      </c>
      <c r="T203" s="285">
        <v>185</v>
      </c>
    </row>
    <row r="204" spans="1:20" ht="56.25" customHeight="1" x14ac:dyDescent="0.2">
      <c r="A204" s="289">
        <v>203</v>
      </c>
      <c r="B204" s="12" t="s">
        <v>2462</v>
      </c>
      <c r="C204" s="289"/>
      <c r="D204" s="9" t="s">
        <v>3897</v>
      </c>
      <c r="E204" s="285">
        <v>2012</v>
      </c>
      <c r="F204" s="13" t="s">
        <v>6983</v>
      </c>
      <c r="G204" s="285" t="s">
        <v>7982</v>
      </c>
      <c r="H204" s="285" t="s">
        <v>5127</v>
      </c>
      <c r="I204" s="18"/>
      <c r="J204" s="285" t="s">
        <v>9437</v>
      </c>
      <c r="K204" s="15">
        <v>41182</v>
      </c>
      <c r="L204" s="289" t="s">
        <v>1029</v>
      </c>
      <c r="M204" s="15">
        <v>41165</v>
      </c>
      <c r="N204" s="24">
        <v>1</v>
      </c>
      <c r="O204" s="40">
        <v>13750</v>
      </c>
      <c r="P204" s="40">
        <v>13750</v>
      </c>
      <c r="Q204" s="40">
        <f t="shared" si="4"/>
        <v>0</v>
      </c>
      <c r="R204" s="285" t="s">
        <v>3405</v>
      </c>
      <c r="S204" s="14">
        <v>41165</v>
      </c>
      <c r="T204" s="285">
        <v>181</v>
      </c>
    </row>
    <row r="205" spans="1:20" ht="56.25" customHeight="1" x14ac:dyDescent="0.2">
      <c r="A205" s="289">
        <v>204</v>
      </c>
      <c r="B205" s="12" t="s">
        <v>2283</v>
      </c>
      <c r="C205" s="289"/>
      <c r="D205" s="9" t="s">
        <v>26</v>
      </c>
      <c r="E205" s="285">
        <v>2012</v>
      </c>
      <c r="F205" s="13" t="s">
        <v>6750</v>
      </c>
      <c r="G205" s="285" t="s">
        <v>4946</v>
      </c>
      <c r="H205" s="285" t="s">
        <v>5127</v>
      </c>
      <c r="I205" s="18"/>
      <c r="J205" s="285" t="s">
        <v>3136</v>
      </c>
      <c r="K205" s="15">
        <v>42156</v>
      </c>
      <c r="L205" s="22" t="s">
        <v>3413</v>
      </c>
      <c r="M205" s="15">
        <v>41214</v>
      </c>
      <c r="N205" s="24">
        <v>1</v>
      </c>
      <c r="O205" s="40">
        <v>15000</v>
      </c>
      <c r="P205" s="40">
        <v>15000</v>
      </c>
      <c r="Q205" s="40">
        <f t="shared" si="4"/>
        <v>0</v>
      </c>
      <c r="R205" s="285" t="s">
        <v>5071</v>
      </c>
      <c r="S205" s="14">
        <v>41192</v>
      </c>
      <c r="T205" s="285">
        <v>39</v>
      </c>
    </row>
    <row r="206" spans="1:20" ht="56.25" customHeight="1" x14ac:dyDescent="0.2">
      <c r="A206" s="289">
        <v>205</v>
      </c>
      <c r="B206" s="12" t="s">
        <v>2284</v>
      </c>
      <c r="C206" s="289"/>
      <c r="D206" s="9" t="s">
        <v>2181</v>
      </c>
      <c r="E206" s="285">
        <v>2011</v>
      </c>
      <c r="F206" s="13" t="s">
        <v>6519</v>
      </c>
      <c r="G206" s="285" t="s">
        <v>7464</v>
      </c>
      <c r="H206" s="285" t="s">
        <v>5127</v>
      </c>
      <c r="I206" s="18"/>
      <c r="J206" s="285" t="s">
        <v>15</v>
      </c>
      <c r="K206" s="14">
        <v>41087</v>
      </c>
      <c r="L206" s="289">
        <v>83</v>
      </c>
      <c r="M206" s="12" t="s">
        <v>1031</v>
      </c>
      <c r="N206" s="24">
        <v>1</v>
      </c>
      <c r="O206" s="40">
        <v>12100</v>
      </c>
      <c r="P206" s="40">
        <v>12100</v>
      </c>
      <c r="Q206" s="40">
        <f t="shared" si="4"/>
        <v>0</v>
      </c>
      <c r="R206" s="285" t="s">
        <v>15</v>
      </c>
      <c r="S206" s="14">
        <v>41087</v>
      </c>
      <c r="T206" s="285">
        <v>83</v>
      </c>
    </row>
    <row r="207" spans="1:20" ht="56.25" customHeight="1" x14ac:dyDescent="0.2">
      <c r="A207" s="289">
        <v>206</v>
      </c>
      <c r="B207" s="12" t="s">
        <v>2285</v>
      </c>
      <c r="C207" s="289"/>
      <c r="D207" s="9" t="s">
        <v>2181</v>
      </c>
      <c r="E207" s="285">
        <v>2011</v>
      </c>
      <c r="F207" s="13" t="s">
        <v>6520</v>
      </c>
      <c r="G207" s="285" t="s">
        <v>7464</v>
      </c>
      <c r="H207" s="285" t="s">
        <v>5127</v>
      </c>
      <c r="I207" s="18"/>
      <c r="J207" s="285" t="s">
        <v>15</v>
      </c>
      <c r="K207" s="14">
        <v>41087</v>
      </c>
      <c r="L207" s="289">
        <v>83</v>
      </c>
      <c r="M207" s="12" t="s">
        <v>1031</v>
      </c>
      <c r="N207" s="24">
        <v>1</v>
      </c>
      <c r="O207" s="40">
        <v>10900</v>
      </c>
      <c r="P207" s="40">
        <v>10900</v>
      </c>
      <c r="Q207" s="40">
        <f t="shared" si="4"/>
        <v>0</v>
      </c>
      <c r="R207" s="285" t="s">
        <v>15</v>
      </c>
      <c r="S207" s="14">
        <v>41087</v>
      </c>
      <c r="T207" s="285">
        <v>83</v>
      </c>
    </row>
    <row r="208" spans="1:20" ht="56.25" customHeight="1" x14ac:dyDescent="0.2">
      <c r="A208" s="289">
        <v>207</v>
      </c>
      <c r="B208" s="12" t="s">
        <v>4674</v>
      </c>
      <c r="C208" s="289"/>
      <c r="D208" s="9" t="s">
        <v>1685</v>
      </c>
      <c r="E208" s="285">
        <v>2010</v>
      </c>
      <c r="F208" s="13" t="s">
        <v>6622</v>
      </c>
      <c r="G208" s="285" t="s">
        <v>2074</v>
      </c>
      <c r="H208" s="285" t="s">
        <v>5127</v>
      </c>
      <c r="I208" s="18"/>
      <c r="J208" s="285"/>
      <c r="K208" s="289"/>
      <c r="L208" s="22"/>
      <c r="M208" s="15">
        <v>41306</v>
      </c>
      <c r="N208" s="24">
        <v>1</v>
      </c>
      <c r="O208" s="40">
        <v>11270</v>
      </c>
      <c r="P208" s="40">
        <v>11270</v>
      </c>
      <c r="Q208" s="40">
        <f t="shared" si="4"/>
        <v>0</v>
      </c>
      <c r="R208" s="285" t="s">
        <v>2278</v>
      </c>
      <c r="S208" s="14">
        <v>41320</v>
      </c>
      <c r="T208" s="285">
        <v>26</v>
      </c>
    </row>
    <row r="209" spans="1:20" ht="56.25" customHeight="1" x14ac:dyDescent="0.2">
      <c r="A209" s="289">
        <v>208</v>
      </c>
      <c r="B209" s="12" t="s">
        <v>4675</v>
      </c>
      <c r="C209" s="289"/>
      <c r="D209" s="9" t="s">
        <v>5426</v>
      </c>
      <c r="E209" s="285">
        <v>2013</v>
      </c>
      <c r="F209" s="13"/>
      <c r="G209" s="285" t="s">
        <v>7934</v>
      </c>
      <c r="H209" s="285" t="s">
        <v>5127</v>
      </c>
      <c r="I209" s="18"/>
      <c r="J209" s="285" t="s">
        <v>3136</v>
      </c>
      <c r="K209" s="15">
        <v>42489</v>
      </c>
      <c r="L209" s="22" t="s">
        <v>6363</v>
      </c>
      <c r="M209" s="15">
        <v>41365</v>
      </c>
      <c r="N209" s="24">
        <v>1</v>
      </c>
      <c r="O209" s="40">
        <v>16477</v>
      </c>
      <c r="P209" s="40">
        <v>16477</v>
      </c>
      <c r="Q209" s="40">
        <f t="shared" si="4"/>
        <v>0</v>
      </c>
      <c r="R209" s="285" t="s">
        <v>3405</v>
      </c>
      <c r="S209" s="15">
        <v>41194</v>
      </c>
      <c r="T209" s="22" t="s">
        <v>2280</v>
      </c>
    </row>
    <row r="210" spans="1:20" ht="30" customHeight="1" x14ac:dyDescent="0.2">
      <c r="A210" s="289">
        <v>209</v>
      </c>
      <c r="B210" s="12" t="s">
        <v>4676</v>
      </c>
      <c r="C210" s="289"/>
      <c r="D210" s="9" t="s">
        <v>1969</v>
      </c>
      <c r="E210" s="285">
        <v>2013</v>
      </c>
      <c r="F210" s="13" t="s">
        <v>1345</v>
      </c>
      <c r="G210" s="285" t="s">
        <v>7917</v>
      </c>
      <c r="H210" s="285" t="s">
        <v>5127</v>
      </c>
      <c r="I210" s="18"/>
      <c r="J210" s="285"/>
      <c r="K210" s="289"/>
      <c r="L210" s="22"/>
      <c r="M210" s="15">
        <v>41365</v>
      </c>
      <c r="N210" s="24">
        <v>1</v>
      </c>
      <c r="O210" s="40">
        <v>18413</v>
      </c>
      <c r="P210" s="40">
        <v>18413</v>
      </c>
      <c r="Q210" s="40">
        <f t="shared" si="4"/>
        <v>0</v>
      </c>
      <c r="R210" s="285" t="s">
        <v>3405</v>
      </c>
      <c r="S210" s="15">
        <v>41236</v>
      </c>
      <c r="T210" s="22" t="s">
        <v>2279</v>
      </c>
    </row>
    <row r="211" spans="1:20" ht="56.25" customHeight="1" x14ac:dyDescent="0.2">
      <c r="A211" s="289">
        <v>210</v>
      </c>
      <c r="B211" s="12" t="s">
        <v>4136</v>
      </c>
      <c r="C211" s="289"/>
      <c r="D211" s="9" t="s">
        <v>2674</v>
      </c>
      <c r="E211" s="285">
        <v>2013</v>
      </c>
      <c r="F211" s="13" t="s">
        <v>575</v>
      </c>
      <c r="G211" s="285" t="s">
        <v>7934</v>
      </c>
      <c r="H211" s="285" t="s">
        <v>5127</v>
      </c>
      <c r="I211" s="18"/>
      <c r="J211" s="285" t="s">
        <v>3136</v>
      </c>
      <c r="K211" s="15">
        <v>42453</v>
      </c>
      <c r="L211" s="22" t="s">
        <v>590</v>
      </c>
      <c r="M211" s="15">
        <v>41365</v>
      </c>
      <c r="N211" s="24">
        <v>1</v>
      </c>
      <c r="O211" s="40">
        <v>10583</v>
      </c>
      <c r="P211" s="40">
        <v>10583</v>
      </c>
      <c r="Q211" s="40">
        <f t="shared" si="4"/>
        <v>0</v>
      </c>
      <c r="R211" s="285" t="s">
        <v>3405</v>
      </c>
      <c r="S211" s="15">
        <v>41236</v>
      </c>
      <c r="T211" s="22" t="s">
        <v>2279</v>
      </c>
    </row>
    <row r="212" spans="1:20" ht="30" customHeight="1" x14ac:dyDescent="0.2">
      <c r="A212" s="289">
        <v>211</v>
      </c>
      <c r="B212" s="12" t="s">
        <v>4137</v>
      </c>
      <c r="C212" s="289"/>
      <c r="D212" s="9" t="s">
        <v>2261</v>
      </c>
      <c r="E212" s="285">
        <v>2013</v>
      </c>
      <c r="F212" s="13" t="s">
        <v>2511</v>
      </c>
      <c r="G212" s="285" t="s">
        <v>7917</v>
      </c>
      <c r="H212" s="285" t="s">
        <v>5127</v>
      </c>
      <c r="I212" s="18"/>
      <c r="J212" s="285"/>
      <c r="K212" s="289"/>
      <c r="L212" s="22"/>
      <c r="M212" s="15">
        <v>41365</v>
      </c>
      <c r="N212" s="24">
        <v>1</v>
      </c>
      <c r="O212" s="40">
        <v>21375</v>
      </c>
      <c r="P212" s="40">
        <v>21375</v>
      </c>
      <c r="Q212" s="40">
        <f t="shared" si="4"/>
        <v>0</v>
      </c>
      <c r="R212" s="285" t="s">
        <v>3405</v>
      </c>
      <c r="S212" s="15">
        <v>41236</v>
      </c>
      <c r="T212" s="22" t="s">
        <v>2279</v>
      </c>
    </row>
    <row r="213" spans="1:20" ht="31.5" customHeight="1" x14ac:dyDescent="0.2">
      <c r="A213" s="289">
        <v>212</v>
      </c>
      <c r="B213" s="12" t="s">
        <v>4138</v>
      </c>
      <c r="C213" s="289"/>
      <c r="D213" s="114" t="s">
        <v>3249</v>
      </c>
      <c r="E213" s="56">
        <v>2013</v>
      </c>
      <c r="F213" s="166" t="s">
        <v>531</v>
      </c>
      <c r="G213" s="56" t="s">
        <v>101</v>
      </c>
      <c r="H213" s="285" t="s">
        <v>5127</v>
      </c>
      <c r="I213" s="18"/>
      <c r="J213" s="285"/>
      <c r="K213" s="289"/>
      <c r="L213" s="115"/>
      <c r="M213" s="116">
        <v>41456</v>
      </c>
      <c r="N213" s="24">
        <v>1</v>
      </c>
      <c r="O213" s="117">
        <v>45000</v>
      </c>
      <c r="P213" s="40">
        <v>21375</v>
      </c>
      <c r="Q213" s="40">
        <f t="shared" si="4"/>
        <v>23625</v>
      </c>
      <c r="R213" s="115" t="s">
        <v>5592</v>
      </c>
      <c r="S213" s="115" t="s">
        <v>3250</v>
      </c>
      <c r="T213" s="22" t="s">
        <v>1029</v>
      </c>
    </row>
    <row r="214" spans="1:20" ht="56.25" customHeight="1" x14ac:dyDescent="0.2">
      <c r="A214" s="289">
        <v>213</v>
      </c>
      <c r="B214" s="12" t="s">
        <v>4139</v>
      </c>
      <c r="C214" s="289"/>
      <c r="D214" s="114" t="s">
        <v>532</v>
      </c>
      <c r="E214" s="56">
        <v>2013</v>
      </c>
      <c r="F214" s="166" t="s">
        <v>5354</v>
      </c>
      <c r="G214" s="285" t="s">
        <v>4946</v>
      </c>
      <c r="H214" s="285" t="s">
        <v>5127</v>
      </c>
      <c r="I214" s="18"/>
      <c r="J214" s="285"/>
      <c r="K214" s="289"/>
      <c r="L214" s="115"/>
      <c r="M214" s="116">
        <v>41456</v>
      </c>
      <c r="N214" s="167">
        <v>2</v>
      </c>
      <c r="O214" s="117">
        <v>44420</v>
      </c>
      <c r="P214" s="40">
        <v>44420</v>
      </c>
      <c r="Q214" s="40">
        <f t="shared" si="4"/>
        <v>0</v>
      </c>
      <c r="R214" s="22" t="s">
        <v>3405</v>
      </c>
      <c r="S214" s="115" t="s">
        <v>533</v>
      </c>
      <c r="T214" s="22"/>
    </row>
    <row r="215" spans="1:20" ht="56.25" customHeight="1" x14ac:dyDescent="0.2">
      <c r="A215" s="289">
        <v>214</v>
      </c>
      <c r="B215" s="12" t="s">
        <v>4140</v>
      </c>
      <c r="C215" s="289"/>
      <c r="D215" s="46" t="s">
        <v>4441</v>
      </c>
      <c r="E215" s="49">
        <v>2013</v>
      </c>
      <c r="F215" s="158" t="s">
        <v>5353</v>
      </c>
      <c r="G215" s="285" t="s">
        <v>7934</v>
      </c>
      <c r="H215" s="285" t="s">
        <v>5127</v>
      </c>
      <c r="I215" s="18"/>
      <c r="J215" s="285" t="s">
        <v>3136</v>
      </c>
      <c r="K215" s="53">
        <v>41922</v>
      </c>
      <c r="L215" s="119" t="s">
        <v>3416</v>
      </c>
      <c r="M215" s="51">
        <v>41456</v>
      </c>
      <c r="N215" s="120">
        <v>1</v>
      </c>
      <c r="O215" s="100">
        <v>10050</v>
      </c>
      <c r="P215" s="40">
        <v>10050</v>
      </c>
      <c r="Q215" s="40">
        <f t="shared" si="4"/>
        <v>0</v>
      </c>
      <c r="R215" s="285" t="s">
        <v>4017</v>
      </c>
      <c r="S215" s="119" t="s">
        <v>5752</v>
      </c>
      <c r="T215" s="22" t="s">
        <v>1029</v>
      </c>
    </row>
    <row r="216" spans="1:20" ht="56.25" customHeight="1" x14ac:dyDescent="0.2">
      <c r="A216" s="289">
        <v>215</v>
      </c>
      <c r="B216" s="12" t="s">
        <v>3738</v>
      </c>
      <c r="C216" s="289"/>
      <c r="D216" s="9" t="s">
        <v>441</v>
      </c>
      <c r="E216" s="285">
        <v>2013</v>
      </c>
      <c r="F216" s="9"/>
      <c r="G216" s="285" t="s">
        <v>4877</v>
      </c>
      <c r="H216" s="285" t="s">
        <v>3793</v>
      </c>
      <c r="I216" s="18"/>
      <c r="J216" s="37" t="s">
        <v>3136</v>
      </c>
      <c r="K216" s="15">
        <v>41547</v>
      </c>
      <c r="L216" s="12">
        <v>949</v>
      </c>
      <c r="M216" s="15">
        <v>41516</v>
      </c>
      <c r="N216" s="16">
        <v>1</v>
      </c>
      <c r="O216" s="17">
        <v>11690</v>
      </c>
      <c r="P216" s="40">
        <v>11690</v>
      </c>
      <c r="Q216" s="40">
        <f t="shared" si="4"/>
        <v>0</v>
      </c>
      <c r="R216" s="22" t="s">
        <v>3405</v>
      </c>
      <c r="S216" s="22" t="s">
        <v>3913</v>
      </c>
      <c r="T216" s="22" t="s">
        <v>5591</v>
      </c>
    </row>
    <row r="217" spans="1:20" ht="56.25" customHeight="1" x14ac:dyDescent="0.2">
      <c r="A217" s="289">
        <v>216</v>
      </c>
      <c r="B217" s="12" t="s">
        <v>3739</v>
      </c>
      <c r="C217" s="289"/>
      <c r="D217" s="9" t="s">
        <v>4964</v>
      </c>
      <c r="E217" s="285">
        <v>2013</v>
      </c>
      <c r="F217" s="9" t="s">
        <v>4103</v>
      </c>
      <c r="G217" s="285" t="s">
        <v>7982</v>
      </c>
      <c r="H217" s="285" t="s">
        <v>5127</v>
      </c>
      <c r="I217" s="59"/>
      <c r="J217" s="37" t="s">
        <v>3136</v>
      </c>
      <c r="K217" s="57">
        <v>41604</v>
      </c>
      <c r="L217" s="22">
        <v>1138</v>
      </c>
      <c r="M217" s="15">
        <v>41564</v>
      </c>
      <c r="N217" s="24">
        <v>1</v>
      </c>
      <c r="O217" s="17">
        <v>3450</v>
      </c>
      <c r="P217" s="40">
        <v>3450</v>
      </c>
      <c r="Q217" s="40">
        <f t="shared" si="4"/>
        <v>0</v>
      </c>
      <c r="R217" s="285" t="s">
        <v>5590</v>
      </c>
      <c r="S217" s="14">
        <v>41564</v>
      </c>
      <c r="T217" s="22" t="s">
        <v>5589</v>
      </c>
    </row>
    <row r="218" spans="1:20" ht="56.25" customHeight="1" x14ac:dyDescent="0.2">
      <c r="A218" s="289">
        <v>217</v>
      </c>
      <c r="B218" s="12" t="s">
        <v>3740</v>
      </c>
      <c r="C218" s="289"/>
      <c r="D218" s="9" t="s">
        <v>2470</v>
      </c>
      <c r="E218" s="285">
        <v>2013</v>
      </c>
      <c r="F218" s="9"/>
      <c r="G218" s="285" t="s">
        <v>7982</v>
      </c>
      <c r="H218" s="285" t="s">
        <v>5127</v>
      </c>
      <c r="I218" s="18"/>
      <c r="J218" s="37" t="s">
        <v>3136</v>
      </c>
      <c r="K218" s="57">
        <v>41604</v>
      </c>
      <c r="L218" s="22">
        <v>1138</v>
      </c>
      <c r="M218" s="15">
        <v>41564</v>
      </c>
      <c r="N218" s="24">
        <v>2</v>
      </c>
      <c r="O218" s="17">
        <v>1980</v>
      </c>
      <c r="P218" s="40">
        <v>1980</v>
      </c>
      <c r="Q218" s="40">
        <f t="shared" si="4"/>
        <v>0</v>
      </c>
      <c r="R218" s="285" t="s">
        <v>5590</v>
      </c>
      <c r="S218" s="14">
        <v>41564</v>
      </c>
      <c r="T218" s="22" t="s">
        <v>5589</v>
      </c>
    </row>
    <row r="219" spans="1:20" ht="56.25" customHeight="1" x14ac:dyDescent="0.2">
      <c r="A219" s="289">
        <v>218</v>
      </c>
      <c r="B219" s="12" t="s">
        <v>3741</v>
      </c>
      <c r="C219" s="289"/>
      <c r="D219" s="9" t="s">
        <v>2135</v>
      </c>
      <c r="E219" s="285">
        <v>2013</v>
      </c>
      <c r="F219" s="9"/>
      <c r="G219" s="285" t="s">
        <v>7982</v>
      </c>
      <c r="H219" s="285" t="s">
        <v>5127</v>
      </c>
      <c r="I219" s="18"/>
      <c r="J219" s="37" t="s">
        <v>3136</v>
      </c>
      <c r="K219" s="57">
        <v>41604</v>
      </c>
      <c r="L219" s="22">
        <v>1138</v>
      </c>
      <c r="M219" s="15">
        <v>41564</v>
      </c>
      <c r="N219" s="24">
        <v>2</v>
      </c>
      <c r="O219" s="17">
        <v>1980</v>
      </c>
      <c r="P219" s="40">
        <v>1980</v>
      </c>
      <c r="Q219" s="40">
        <f t="shared" si="4"/>
        <v>0</v>
      </c>
      <c r="R219" s="285" t="s">
        <v>5590</v>
      </c>
      <c r="S219" s="14">
        <v>41564</v>
      </c>
      <c r="T219" s="22" t="s">
        <v>5589</v>
      </c>
    </row>
    <row r="220" spans="1:20" ht="56.25" customHeight="1" x14ac:dyDescent="0.2">
      <c r="A220" s="289">
        <v>219</v>
      </c>
      <c r="B220" s="12" t="s">
        <v>3742</v>
      </c>
      <c r="C220" s="289"/>
      <c r="D220" s="9" t="s">
        <v>2136</v>
      </c>
      <c r="E220" s="285">
        <v>2013</v>
      </c>
      <c r="F220" s="9"/>
      <c r="G220" s="285" t="s">
        <v>7982</v>
      </c>
      <c r="H220" s="285" t="s">
        <v>5127</v>
      </c>
      <c r="I220" s="18"/>
      <c r="J220" s="37" t="s">
        <v>3136</v>
      </c>
      <c r="K220" s="57">
        <v>41604</v>
      </c>
      <c r="L220" s="22">
        <v>1138</v>
      </c>
      <c r="M220" s="15">
        <v>41564</v>
      </c>
      <c r="N220" s="24">
        <v>2</v>
      </c>
      <c r="O220" s="17">
        <v>2524.2800000000002</v>
      </c>
      <c r="P220" s="40">
        <v>2524.2800000000002</v>
      </c>
      <c r="Q220" s="40">
        <f t="shared" si="4"/>
        <v>0</v>
      </c>
      <c r="R220" s="285" t="s">
        <v>5590</v>
      </c>
      <c r="S220" s="14">
        <v>41564</v>
      </c>
      <c r="T220" s="22" t="s">
        <v>5589</v>
      </c>
    </row>
    <row r="221" spans="1:20" ht="56.25" customHeight="1" x14ac:dyDescent="0.2">
      <c r="A221" s="289">
        <v>220</v>
      </c>
      <c r="B221" s="12" t="s">
        <v>5203</v>
      </c>
      <c r="C221" s="289"/>
      <c r="D221" s="9" t="s">
        <v>1379</v>
      </c>
      <c r="E221" s="285">
        <v>2013</v>
      </c>
      <c r="F221" s="9" t="s">
        <v>4102</v>
      </c>
      <c r="G221" s="285" t="s">
        <v>7982</v>
      </c>
      <c r="H221" s="285" t="s">
        <v>5127</v>
      </c>
      <c r="I221" s="18"/>
      <c r="J221" s="37" t="s">
        <v>3136</v>
      </c>
      <c r="K221" s="57">
        <v>41604</v>
      </c>
      <c r="L221" s="22">
        <v>1138</v>
      </c>
      <c r="M221" s="15">
        <v>41564</v>
      </c>
      <c r="N221" s="24">
        <v>15</v>
      </c>
      <c r="O221" s="17">
        <v>48645</v>
      </c>
      <c r="P221" s="40">
        <v>48645</v>
      </c>
      <c r="Q221" s="40">
        <f t="shared" si="4"/>
        <v>0</v>
      </c>
      <c r="R221" s="285" t="s">
        <v>5590</v>
      </c>
      <c r="S221" s="14">
        <v>41564</v>
      </c>
      <c r="T221" s="22" t="s">
        <v>5589</v>
      </c>
    </row>
    <row r="222" spans="1:20" ht="56.25" customHeight="1" x14ac:dyDescent="0.2">
      <c r="A222" s="289">
        <v>221</v>
      </c>
      <c r="B222" s="12" t="s">
        <v>5204</v>
      </c>
      <c r="C222" s="289"/>
      <c r="D222" s="9" t="s">
        <v>721</v>
      </c>
      <c r="E222" s="285">
        <v>2013</v>
      </c>
      <c r="F222" s="9" t="s">
        <v>121</v>
      </c>
      <c r="G222" s="285" t="s">
        <v>7982</v>
      </c>
      <c r="H222" s="285" t="s">
        <v>5127</v>
      </c>
      <c r="I222" s="18"/>
      <c r="J222" s="37" t="s">
        <v>3136</v>
      </c>
      <c r="K222" s="57">
        <v>41604</v>
      </c>
      <c r="L222" s="22">
        <v>1138</v>
      </c>
      <c r="M222" s="15">
        <v>41564</v>
      </c>
      <c r="N222" s="24">
        <v>1</v>
      </c>
      <c r="O222" s="17">
        <v>5299</v>
      </c>
      <c r="P222" s="40">
        <v>5299</v>
      </c>
      <c r="Q222" s="40">
        <f t="shared" si="4"/>
        <v>0</v>
      </c>
      <c r="R222" s="285" t="s">
        <v>5590</v>
      </c>
      <c r="S222" s="14">
        <v>41564</v>
      </c>
      <c r="T222" s="22" t="s">
        <v>5589</v>
      </c>
    </row>
    <row r="223" spans="1:20" ht="56.25" customHeight="1" x14ac:dyDescent="0.2">
      <c r="A223" s="289">
        <v>222</v>
      </c>
      <c r="B223" s="12" t="s">
        <v>5205</v>
      </c>
      <c r="C223" s="289"/>
      <c r="D223" s="9" t="s">
        <v>5356</v>
      </c>
      <c r="E223" s="285">
        <v>2013</v>
      </c>
      <c r="F223" s="9" t="s">
        <v>120</v>
      </c>
      <c r="G223" s="285" t="s">
        <v>7982</v>
      </c>
      <c r="H223" s="285" t="s">
        <v>5127</v>
      </c>
      <c r="I223" s="18"/>
      <c r="J223" s="37" t="s">
        <v>3136</v>
      </c>
      <c r="K223" s="57">
        <v>41604</v>
      </c>
      <c r="L223" s="22">
        <v>1138</v>
      </c>
      <c r="M223" s="15">
        <v>41564</v>
      </c>
      <c r="N223" s="24">
        <v>1</v>
      </c>
      <c r="O223" s="17">
        <v>8660</v>
      </c>
      <c r="P223" s="40">
        <v>8660</v>
      </c>
      <c r="Q223" s="40">
        <f t="shared" si="4"/>
        <v>0</v>
      </c>
      <c r="R223" s="285" t="s">
        <v>5590</v>
      </c>
      <c r="S223" s="14">
        <v>41564</v>
      </c>
      <c r="T223" s="22" t="s">
        <v>5589</v>
      </c>
    </row>
    <row r="224" spans="1:20" ht="56.25" customHeight="1" x14ac:dyDescent="0.2">
      <c r="A224" s="289">
        <v>223</v>
      </c>
      <c r="B224" s="12" t="s">
        <v>5206</v>
      </c>
      <c r="C224" s="289"/>
      <c r="D224" s="9" t="s">
        <v>5690</v>
      </c>
      <c r="E224" s="285">
        <v>2013</v>
      </c>
      <c r="F224" s="9" t="s">
        <v>119</v>
      </c>
      <c r="G224" s="285" t="s">
        <v>7982</v>
      </c>
      <c r="H224" s="285" t="s">
        <v>5127</v>
      </c>
      <c r="I224" s="18"/>
      <c r="J224" s="37" t="s">
        <v>3136</v>
      </c>
      <c r="K224" s="57">
        <v>41604</v>
      </c>
      <c r="L224" s="22">
        <v>1138</v>
      </c>
      <c r="M224" s="15">
        <v>41564</v>
      </c>
      <c r="N224" s="24">
        <v>1</v>
      </c>
      <c r="O224" s="17">
        <v>4940</v>
      </c>
      <c r="P224" s="40">
        <v>4940</v>
      </c>
      <c r="Q224" s="40">
        <f t="shared" si="4"/>
        <v>0</v>
      </c>
      <c r="R224" s="285" t="s">
        <v>5590</v>
      </c>
      <c r="S224" s="14">
        <v>41564</v>
      </c>
      <c r="T224" s="22" t="s">
        <v>5589</v>
      </c>
    </row>
    <row r="225" spans="1:20" ht="0.75" customHeight="1" x14ac:dyDescent="0.2">
      <c r="A225" s="289">
        <v>224</v>
      </c>
      <c r="B225" s="12" t="s">
        <v>5207</v>
      </c>
      <c r="C225" s="289"/>
      <c r="D225" s="9" t="s">
        <v>5691</v>
      </c>
      <c r="E225" s="285">
        <v>2013</v>
      </c>
      <c r="F225" s="9"/>
      <c r="G225" s="285" t="s">
        <v>7982</v>
      </c>
      <c r="H225" s="285" t="s">
        <v>5127</v>
      </c>
      <c r="I225" s="18"/>
      <c r="J225" s="37" t="s">
        <v>3136</v>
      </c>
      <c r="K225" s="57">
        <v>41604</v>
      </c>
      <c r="L225" s="22">
        <v>1138</v>
      </c>
      <c r="M225" s="15">
        <v>41564</v>
      </c>
      <c r="N225" s="24">
        <v>1</v>
      </c>
      <c r="O225" s="17">
        <v>2648.98</v>
      </c>
      <c r="P225" s="40">
        <v>2648.98</v>
      </c>
      <c r="Q225" s="40">
        <f t="shared" si="4"/>
        <v>0</v>
      </c>
      <c r="R225" s="285" t="s">
        <v>5590</v>
      </c>
      <c r="S225" s="14">
        <v>41564</v>
      </c>
      <c r="T225" s="22" t="s">
        <v>5589</v>
      </c>
    </row>
    <row r="226" spans="1:20" ht="31.5" customHeight="1" x14ac:dyDescent="0.2">
      <c r="A226" s="289">
        <v>225</v>
      </c>
      <c r="B226" s="12" t="s">
        <v>5208</v>
      </c>
      <c r="C226" s="289"/>
      <c r="D226" s="13" t="s">
        <v>2660</v>
      </c>
      <c r="E226" s="285">
        <v>2013</v>
      </c>
      <c r="F226" s="9" t="s">
        <v>118</v>
      </c>
      <c r="G226" s="56" t="s">
        <v>101</v>
      </c>
      <c r="H226" s="285" t="s">
        <v>5127</v>
      </c>
      <c r="I226" s="18"/>
      <c r="J226" s="285"/>
      <c r="K226" s="289"/>
      <c r="L226" s="12"/>
      <c r="M226" s="15">
        <v>41628</v>
      </c>
      <c r="N226" s="16">
        <v>1</v>
      </c>
      <c r="O226" s="40">
        <v>13790</v>
      </c>
      <c r="P226" s="40">
        <v>13790</v>
      </c>
      <c r="Q226" s="40">
        <f t="shared" si="4"/>
        <v>0</v>
      </c>
      <c r="R226" s="289" t="s">
        <v>2779</v>
      </c>
      <c r="S226" s="15">
        <v>41628</v>
      </c>
      <c r="T226" s="22" t="s">
        <v>5588</v>
      </c>
    </row>
    <row r="227" spans="1:20" ht="30" customHeight="1" x14ac:dyDescent="0.2">
      <c r="A227" s="289">
        <v>226</v>
      </c>
      <c r="B227" s="12" t="s">
        <v>5209</v>
      </c>
      <c r="C227" s="289"/>
      <c r="D227" s="13" t="s">
        <v>5383</v>
      </c>
      <c r="E227" s="285">
        <v>2014</v>
      </c>
      <c r="F227" s="73" t="s">
        <v>117</v>
      </c>
      <c r="G227" s="285" t="s">
        <v>7917</v>
      </c>
      <c r="H227" s="285" t="s">
        <v>5127</v>
      </c>
      <c r="I227" s="18"/>
      <c r="J227" s="285" t="s">
        <v>3136</v>
      </c>
      <c r="K227" s="15">
        <v>41928</v>
      </c>
      <c r="L227" s="12" t="s">
        <v>3207</v>
      </c>
      <c r="M227" s="15">
        <v>41632</v>
      </c>
      <c r="N227" s="16">
        <v>1</v>
      </c>
      <c r="O227" s="40">
        <v>4475</v>
      </c>
      <c r="P227" s="40">
        <v>4475</v>
      </c>
      <c r="Q227" s="40">
        <f t="shared" si="4"/>
        <v>0</v>
      </c>
      <c r="R227" s="285" t="s">
        <v>5345</v>
      </c>
      <c r="S227" s="14">
        <v>41632</v>
      </c>
      <c r="T227" s="14" t="s">
        <v>3917</v>
      </c>
    </row>
    <row r="228" spans="1:20" ht="56.25" customHeight="1" x14ac:dyDescent="0.2">
      <c r="A228" s="289">
        <v>227</v>
      </c>
      <c r="B228" s="12" t="s">
        <v>5831</v>
      </c>
      <c r="C228" s="289"/>
      <c r="D228" s="13" t="s">
        <v>1915</v>
      </c>
      <c r="E228" s="14">
        <v>41593</v>
      </c>
      <c r="F228" s="9" t="s">
        <v>116</v>
      </c>
      <c r="G228" s="285" t="s">
        <v>7981</v>
      </c>
      <c r="H228" s="285" t="s">
        <v>5127</v>
      </c>
      <c r="I228" s="18"/>
      <c r="J228" s="37" t="s">
        <v>3136</v>
      </c>
      <c r="K228" s="15">
        <v>41915</v>
      </c>
      <c r="L228" s="12">
        <v>886</v>
      </c>
      <c r="M228" s="15">
        <v>41593</v>
      </c>
      <c r="N228" s="16">
        <v>1</v>
      </c>
      <c r="O228" s="40">
        <v>6413</v>
      </c>
      <c r="P228" s="40">
        <v>6413</v>
      </c>
      <c r="Q228" s="40">
        <f t="shared" si="4"/>
        <v>0</v>
      </c>
      <c r="R228" s="289" t="s">
        <v>2779</v>
      </c>
      <c r="S228" s="15">
        <v>41593</v>
      </c>
      <c r="T228" s="22" t="s">
        <v>2782</v>
      </c>
    </row>
    <row r="229" spans="1:20" ht="41.25" customHeight="1" x14ac:dyDescent="0.2">
      <c r="A229" s="289">
        <v>228</v>
      </c>
      <c r="B229" s="12" t="s">
        <v>5832</v>
      </c>
      <c r="C229" s="289"/>
      <c r="D229" s="13" t="s">
        <v>5388</v>
      </c>
      <c r="E229" s="14">
        <v>41830</v>
      </c>
      <c r="F229" s="13" t="s">
        <v>1746</v>
      </c>
      <c r="G229" s="285" t="s">
        <v>7917</v>
      </c>
      <c r="H229" s="285" t="s">
        <v>5127</v>
      </c>
      <c r="I229" s="18"/>
      <c r="J229" s="285" t="s">
        <v>3136</v>
      </c>
      <c r="K229" s="15">
        <v>41928</v>
      </c>
      <c r="L229" s="12" t="s">
        <v>3207</v>
      </c>
      <c r="M229" s="15">
        <v>41628</v>
      </c>
      <c r="N229" s="16">
        <v>1</v>
      </c>
      <c r="O229" s="40">
        <v>86776.7</v>
      </c>
      <c r="P229" s="40">
        <v>86776.7</v>
      </c>
      <c r="Q229" s="40">
        <f t="shared" si="4"/>
        <v>0</v>
      </c>
      <c r="R229" s="289" t="s">
        <v>5110</v>
      </c>
      <c r="S229" s="15">
        <v>41628</v>
      </c>
      <c r="T229" s="22" t="s">
        <v>2961</v>
      </c>
    </row>
    <row r="230" spans="1:20" ht="56.25" customHeight="1" x14ac:dyDescent="0.2">
      <c r="A230" s="289">
        <v>229</v>
      </c>
      <c r="B230" s="12" t="s">
        <v>5210</v>
      </c>
      <c r="C230" s="289"/>
      <c r="D230" s="13" t="s">
        <v>5710</v>
      </c>
      <c r="E230" s="14">
        <v>41710</v>
      </c>
      <c r="F230" s="13" t="s">
        <v>6893</v>
      </c>
      <c r="G230" s="285" t="s">
        <v>7978</v>
      </c>
      <c r="H230" s="285" t="s">
        <v>5127</v>
      </c>
      <c r="I230" s="18"/>
      <c r="J230" s="285" t="s">
        <v>3136</v>
      </c>
      <c r="K230" s="15">
        <v>41922</v>
      </c>
      <c r="L230" s="12" t="s">
        <v>4145</v>
      </c>
      <c r="M230" s="15">
        <v>41620</v>
      </c>
      <c r="N230" s="16">
        <v>1</v>
      </c>
      <c r="O230" s="40">
        <v>39002</v>
      </c>
      <c r="P230" s="40">
        <v>39002</v>
      </c>
      <c r="Q230" s="40">
        <f t="shared" si="4"/>
        <v>0</v>
      </c>
      <c r="R230" s="289" t="s">
        <v>5110</v>
      </c>
      <c r="S230" s="15">
        <v>41620</v>
      </c>
      <c r="T230" s="22" t="s">
        <v>5111</v>
      </c>
    </row>
    <row r="231" spans="1:20" ht="56.25" customHeight="1" x14ac:dyDescent="0.2">
      <c r="A231" s="289">
        <v>230</v>
      </c>
      <c r="B231" s="12" t="s">
        <v>2182</v>
      </c>
      <c r="C231" s="289"/>
      <c r="D231" s="13" t="s">
        <v>4011</v>
      </c>
      <c r="E231" s="14">
        <v>41710</v>
      </c>
      <c r="F231" s="13" t="s">
        <v>1952</v>
      </c>
      <c r="G231" s="285" t="s">
        <v>7978</v>
      </c>
      <c r="H231" s="285" t="s">
        <v>5127</v>
      </c>
      <c r="I231" s="18"/>
      <c r="J231" s="285" t="s">
        <v>3136</v>
      </c>
      <c r="K231" s="15">
        <v>41922</v>
      </c>
      <c r="L231" s="12" t="s">
        <v>4145</v>
      </c>
      <c r="M231" s="15">
        <v>41620</v>
      </c>
      <c r="N231" s="16">
        <v>1</v>
      </c>
      <c r="O231" s="40">
        <v>35298</v>
      </c>
      <c r="P231" s="40">
        <v>35298</v>
      </c>
      <c r="Q231" s="40">
        <f t="shared" si="4"/>
        <v>0</v>
      </c>
      <c r="R231" s="289" t="s">
        <v>5110</v>
      </c>
      <c r="S231" s="15">
        <v>41620</v>
      </c>
      <c r="T231" s="22" t="s">
        <v>5111</v>
      </c>
    </row>
    <row r="232" spans="1:20" ht="56.25" customHeight="1" x14ac:dyDescent="0.2">
      <c r="A232" s="289">
        <v>231</v>
      </c>
      <c r="B232" s="12" t="s">
        <v>2183</v>
      </c>
      <c r="C232" s="289"/>
      <c r="D232" s="13" t="s">
        <v>5614</v>
      </c>
      <c r="E232" s="285"/>
      <c r="F232" s="13" t="s">
        <v>1673</v>
      </c>
      <c r="G232" s="285" t="s">
        <v>7979</v>
      </c>
      <c r="H232" s="285" t="s">
        <v>5127</v>
      </c>
      <c r="I232" s="18"/>
      <c r="J232" s="37" t="s">
        <v>3136</v>
      </c>
      <c r="K232" s="15">
        <v>41824</v>
      </c>
      <c r="L232" s="22">
        <v>615</v>
      </c>
      <c r="M232" s="15">
        <v>41670</v>
      </c>
      <c r="N232" s="16">
        <v>1</v>
      </c>
      <c r="O232" s="40">
        <v>10000</v>
      </c>
      <c r="P232" s="40">
        <v>10000</v>
      </c>
      <c r="Q232" s="40">
        <f t="shared" si="4"/>
        <v>0</v>
      </c>
      <c r="R232" s="285" t="s">
        <v>3408</v>
      </c>
      <c r="S232" s="15">
        <v>41670</v>
      </c>
      <c r="T232" s="22"/>
    </row>
    <row r="233" spans="1:20" ht="56.25" customHeight="1" x14ac:dyDescent="0.2">
      <c r="A233" s="289">
        <v>232</v>
      </c>
      <c r="B233" s="12" t="s">
        <v>1850</v>
      </c>
      <c r="C233" s="289"/>
      <c r="D233" s="13" t="s">
        <v>5614</v>
      </c>
      <c r="E233" s="285"/>
      <c r="F233" s="13" t="s">
        <v>1674</v>
      </c>
      <c r="G233" s="285" t="s">
        <v>7979</v>
      </c>
      <c r="H233" s="285" t="s">
        <v>5127</v>
      </c>
      <c r="I233" s="18"/>
      <c r="J233" s="37" t="s">
        <v>3136</v>
      </c>
      <c r="K233" s="15">
        <v>41824</v>
      </c>
      <c r="L233" s="22">
        <v>615</v>
      </c>
      <c r="M233" s="15">
        <v>41670</v>
      </c>
      <c r="N233" s="16">
        <v>1</v>
      </c>
      <c r="O233" s="40">
        <v>8950</v>
      </c>
      <c r="P233" s="40">
        <v>8950</v>
      </c>
      <c r="Q233" s="40">
        <f t="shared" si="4"/>
        <v>0</v>
      </c>
      <c r="R233" s="285" t="s">
        <v>3408</v>
      </c>
      <c r="S233" s="15">
        <v>41670</v>
      </c>
      <c r="T233" s="22"/>
    </row>
    <row r="234" spans="1:20" ht="56.25" customHeight="1" x14ac:dyDescent="0.2">
      <c r="A234" s="289">
        <v>233</v>
      </c>
      <c r="B234" s="12" t="s">
        <v>1851</v>
      </c>
      <c r="C234" s="289"/>
      <c r="D234" s="13" t="s">
        <v>5615</v>
      </c>
      <c r="E234" s="285"/>
      <c r="F234" s="13" t="s">
        <v>1675</v>
      </c>
      <c r="G234" s="285" t="s">
        <v>7979</v>
      </c>
      <c r="H234" s="285" t="s">
        <v>5127</v>
      </c>
      <c r="I234" s="18"/>
      <c r="J234" s="37" t="s">
        <v>3136</v>
      </c>
      <c r="K234" s="15">
        <v>41824</v>
      </c>
      <c r="L234" s="22">
        <v>615</v>
      </c>
      <c r="M234" s="15">
        <v>41670</v>
      </c>
      <c r="N234" s="16">
        <v>1</v>
      </c>
      <c r="O234" s="40">
        <v>7965</v>
      </c>
      <c r="P234" s="40">
        <v>7965</v>
      </c>
      <c r="Q234" s="40">
        <f t="shared" si="4"/>
        <v>0</v>
      </c>
      <c r="R234" s="285" t="s">
        <v>3408</v>
      </c>
      <c r="S234" s="15">
        <v>41670</v>
      </c>
      <c r="T234" s="22"/>
    </row>
    <row r="235" spans="1:20" ht="56.25" customHeight="1" x14ac:dyDescent="0.2">
      <c r="A235" s="289">
        <v>234</v>
      </c>
      <c r="B235" s="12" t="s">
        <v>1852</v>
      </c>
      <c r="C235" s="289"/>
      <c r="D235" s="13" t="s">
        <v>5616</v>
      </c>
      <c r="E235" s="285"/>
      <c r="F235" s="13" t="s">
        <v>1743</v>
      </c>
      <c r="G235" s="285" t="s">
        <v>7979</v>
      </c>
      <c r="H235" s="285" t="s">
        <v>5127</v>
      </c>
      <c r="I235" s="18"/>
      <c r="J235" s="37" t="s">
        <v>3136</v>
      </c>
      <c r="K235" s="15">
        <v>41824</v>
      </c>
      <c r="L235" s="22">
        <v>615</v>
      </c>
      <c r="M235" s="15">
        <v>41696</v>
      </c>
      <c r="N235" s="16">
        <v>1</v>
      </c>
      <c r="O235" s="40">
        <v>7100</v>
      </c>
      <c r="P235" s="40">
        <v>7100</v>
      </c>
      <c r="Q235" s="40">
        <f t="shared" si="4"/>
        <v>0</v>
      </c>
      <c r="R235" s="285" t="s">
        <v>3408</v>
      </c>
      <c r="S235" s="15">
        <v>41696</v>
      </c>
      <c r="T235" s="22"/>
    </row>
    <row r="236" spans="1:20" ht="56.25" customHeight="1" x14ac:dyDescent="0.2">
      <c r="A236" s="289">
        <v>235</v>
      </c>
      <c r="B236" s="12" t="s">
        <v>1853</v>
      </c>
      <c r="C236" s="289"/>
      <c r="D236" s="13" t="s">
        <v>5617</v>
      </c>
      <c r="E236" s="285"/>
      <c r="F236" s="13" t="s">
        <v>1744</v>
      </c>
      <c r="G236" s="285" t="s">
        <v>7979</v>
      </c>
      <c r="H236" s="285" t="s">
        <v>5127</v>
      </c>
      <c r="I236" s="18"/>
      <c r="J236" s="37" t="s">
        <v>3136</v>
      </c>
      <c r="K236" s="15">
        <v>41824</v>
      </c>
      <c r="L236" s="22">
        <v>615</v>
      </c>
      <c r="M236" s="15">
        <v>41670</v>
      </c>
      <c r="N236" s="16">
        <v>1</v>
      </c>
      <c r="O236" s="40">
        <v>7400</v>
      </c>
      <c r="P236" s="40">
        <v>7400</v>
      </c>
      <c r="Q236" s="40">
        <f t="shared" si="4"/>
        <v>0</v>
      </c>
      <c r="R236" s="285" t="s">
        <v>3408</v>
      </c>
      <c r="S236" s="15">
        <v>41670</v>
      </c>
      <c r="T236" s="22"/>
    </row>
    <row r="237" spans="1:20" ht="56.25" customHeight="1" x14ac:dyDescent="0.2">
      <c r="A237" s="289">
        <v>236</v>
      </c>
      <c r="B237" s="12" t="s">
        <v>1854</v>
      </c>
      <c r="C237" s="289"/>
      <c r="D237" s="13" t="s">
        <v>1377</v>
      </c>
      <c r="E237" s="285"/>
      <c r="F237" s="13" t="s">
        <v>1745</v>
      </c>
      <c r="G237" s="285" t="s">
        <v>7979</v>
      </c>
      <c r="H237" s="285" t="s">
        <v>5127</v>
      </c>
      <c r="I237" s="18"/>
      <c r="J237" s="37" t="s">
        <v>3136</v>
      </c>
      <c r="K237" s="15">
        <v>41824</v>
      </c>
      <c r="L237" s="22">
        <v>615</v>
      </c>
      <c r="M237" s="15">
        <v>41670</v>
      </c>
      <c r="N237" s="16">
        <v>1</v>
      </c>
      <c r="O237" s="40">
        <v>4000</v>
      </c>
      <c r="P237" s="40">
        <v>4000</v>
      </c>
      <c r="Q237" s="40">
        <f t="shared" si="4"/>
        <v>0</v>
      </c>
      <c r="R237" s="285" t="s">
        <v>3408</v>
      </c>
      <c r="S237" s="15">
        <v>41670</v>
      </c>
      <c r="T237" s="22"/>
    </row>
    <row r="238" spans="1:20" ht="56.25" customHeight="1" x14ac:dyDescent="0.2">
      <c r="A238" s="289">
        <v>237</v>
      </c>
      <c r="B238" s="12" t="s">
        <v>1855</v>
      </c>
      <c r="C238" s="289"/>
      <c r="D238" s="13" t="s">
        <v>2044</v>
      </c>
      <c r="E238" s="285"/>
      <c r="F238" s="13" t="s">
        <v>842</v>
      </c>
      <c r="G238" s="285" t="s">
        <v>7979</v>
      </c>
      <c r="H238" s="285" t="s">
        <v>5127</v>
      </c>
      <c r="I238" s="18"/>
      <c r="J238" s="37" t="s">
        <v>3136</v>
      </c>
      <c r="K238" s="15">
        <v>41824</v>
      </c>
      <c r="L238" s="22">
        <v>615</v>
      </c>
      <c r="M238" s="15">
        <v>41670</v>
      </c>
      <c r="N238" s="16">
        <v>1</v>
      </c>
      <c r="O238" s="40">
        <v>5700</v>
      </c>
      <c r="P238" s="40">
        <v>5700</v>
      </c>
      <c r="Q238" s="40">
        <f t="shared" si="4"/>
        <v>0</v>
      </c>
      <c r="R238" s="285" t="s">
        <v>3408</v>
      </c>
      <c r="S238" s="15">
        <v>41670</v>
      </c>
      <c r="T238" s="22"/>
    </row>
    <row r="239" spans="1:20" ht="56.25" customHeight="1" x14ac:dyDescent="0.2">
      <c r="A239" s="289">
        <v>238</v>
      </c>
      <c r="B239" s="12" t="s">
        <v>1856</v>
      </c>
      <c r="C239" s="289"/>
      <c r="D239" s="13" t="s">
        <v>5508</v>
      </c>
      <c r="E239" s="285"/>
      <c r="F239" s="13" t="s">
        <v>843</v>
      </c>
      <c r="G239" s="285" t="s">
        <v>7979</v>
      </c>
      <c r="H239" s="285" t="s">
        <v>5127</v>
      </c>
      <c r="I239" s="18"/>
      <c r="J239" s="37" t="s">
        <v>3136</v>
      </c>
      <c r="K239" s="15">
        <v>41824</v>
      </c>
      <c r="L239" s="22">
        <v>615</v>
      </c>
      <c r="M239" s="15">
        <v>41670</v>
      </c>
      <c r="N239" s="16">
        <v>1</v>
      </c>
      <c r="O239" s="40">
        <v>6450</v>
      </c>
      <c r="P239" s="40">
        <v>6450</v>
      </c>
      <c r="Q239" s="40">
        <f t="shared" si="4"/>
        <v>0</v>
      </c>
      <c r="R239" s="285" t="s">
        <v>3408</v>
      </c>
      <c r="S239" s="15">
        <v>41670</v>
      </c>
      <c r="T239" s="22"/>
    </row>
    <row r="240" spans="1:20" ht="56.25" customHeight="1" x14ac:dyDescent="0.2">
      <c r="A240" s="289">
        <v>239</v>
      </c>
      <c r="B240" s="12" t="s">
        <v>1857</v>
      </c>
      <c r="C240" s="289"/>
      <c r="D240" s="13" t="s">
        <v>5509</v>
      </c>
      <c r="E240" s="285"/>
      <c r="F240" s="13" t="s">
        <v>844</v>
      </c>
      <c r="G240" s="285" t="s">
        <v>7979</v>
      </c>
      <c r="H240" s="285" t="s">
        <v>5127</v>
      </c>
      <c r="I240" s="18"/>
      <c r="J240" s="37" t="s">
        <v>3136</v>
      </c>
      <c r="K240" s="15">
        <v>41824</v>
      </c>
      <c r="L240" s="22">
        <v>615</v>
      </c>
      <c r="M240" s="15">
        <v>41670</v>
      </c>
      <c r="N240" s="16">
        <v>1</v>
      </c>
      <c r="O240" s="40">
        <v>9042.33</v>
      </c>
      <c r="P240" s="40">
        <v>9042.33</v>
      </c>
      <c r="Q240" s="40">
        <f t="shared" si="4"/>
        <v>0</v>
      </c>
      <c r="R240" s="285" t="s">
        <v>3408</v>
      </c>
      <c r="S240" s="15">
        <v>41670</v>
      </c>
      <c r="T240" s="22"/>
    </row>
    <row r="241" spans="1:20" ht="56.25" customHeight="1" x14ac:dyDescent="0.2">
      <c r="A241" s="289">
        <v>240</v>
      </c>
      <c r="B241" s="12" t="s">
        <v>1858</v>
      </c>
      <c r="C241" s="289"/>
      <c r="D241" s="13" t="s">
        <v>4080</v>
      </c>
      <c r="E241" s="285"/>
      <c r="F241" s="13" t="s">
        <v>4436</v>
      </c>
      <c r="G241" s="285" t="s">
        <v>7979</v>
      </c>
      <c r="H241" s="285" t="s">
        <v>5127</v>
      </c>
      <c r="I241" s="18"/>
      <c r="J241" s="37" t="s">
        <v>3136</v>
      </c>
      <c r="K241" s="15">
        <v>41824</v>
      </c>
      <c r="L241" s="22">
        <v>615</v>
      </c>
      <c r="M241" s="15">
        <v>41670</v>
      </c>
      <c r="N241" s="16">
        <v>1</v>
      </c>
      <c r="O241" s="40">
        <v>4000</v>
      </c>
      <c r="P241" s="40">
        <v>4000</v>
      </c>
      <c r="Q241" s="40">
        <f t="shared" si="4"/>
        <v>0</v>
      </c>
      <c r="R241" s="285" t="s">
        <v>3408</v>
      </c>
      <c r="S241" s="15">
        <v>41670</v>
      </c>
      <c r="T241" s="22"/>
    </row>
    <row r="242" spans="1:20" ht="56.25" customHeight="1" x14ac:dyDescent="0.2">
      <c r="A242" s="289">
        <v>241</v>
      </c>
      <c r="B242" s="12" t="s">
        <v>1859</v>
      </c>
      <c r="C242" s="289"/>
      <c r="D242" s="47" t="s">
        <v>291</v>
      </c>
      <c r="E242" s="285"/>
      <c r="F242" s="73" t="s">
        <v>1420</v>
      </c>
      <c r="G242" s="285" t="s">
        <v>7979</v>
      </c>
      <c r="H242" s="285" t="s">
        <v>5127</v>
      </c>
      <c r="I242" s="18"/>
      <c r="J242" s="37" t="s">
        <v>3136</v>
      </c>
      <c r="K242" s="15">
        <v>41772</v>
      </c>
      <c r="L242" s="22">
        <v>403</v>
      </c>
      <c r="M242" s="15">
        <v>41676</v>
      </c>
      <c r="N242" s="16">
        <v>2</v>
      </c>
      <c r="O242" s="40">
        <v>1900</v>
      </c>
      <c r="P242" s="40">
        <v>1900</v>
      </c>
      <c r="Q242" s="40">
        <f t="shared" si="4"/>
        <v>0</v>
      </c>
      <c r="R242" s="285" t="s">
        <v>2781</v>
      </c>
      <c r="S242" s="15">
        <v>41638</v>
      </c>
      <c r="T242" s="22" t="s">
        <v>2780</v>
      </c>
    </row>
    <row r="243" spans="1:20" ht="56.25" customHeight="1" x14ac:dyDescent="0.2">
      <c r="A243" s="289">
        <v>242</v>
      </c>
      <c r="B243" s="12" t="s">
        <v>1860</v>
      </c>
      <c r="C243" s="289"/>
      <c r="D243" s="9" t="s">
        <v>1421</v>
      </c>
      <c r="E243" s="285"/>
      <c r="F243" s="152" t="s">
        <v>555</v>
      </c>
      <c r="G243" s="285" t="s">
        <v>7979</v>
      </c>
      <c r="H243" s="285" t="s">
        <v>5127</v>
      </c>
      <c r="I243" s="18"/>
      <c r="J243" s="37" t="s">
        <v>3136</v>
      </c>
      <c r="K243" s="15">
        <v>41772</v>
      </c>
      <c r="L243" s="22">
        <v>403</v>
      </c>
      <c r="M243" s="15">
        <v>41676</v>
      </c>
      <c r="N243" s="16">
        <v>2</v>
      </c>
      <c r="O243" s="40">
        <v>6600</v>
      </c>
      <c r="P243" s="40">
        <v>6600</v>
      </c>
      <c r="Q243" s="40">
        <f t="shared" si="4"/>
        <v>0</v>
      </c>
      <c r="R243" s="285" t="s">
        <v>2781</v>
      </c>
      <c r="S243" s="15">
        <v>41638</v>
      </c>
      <c r="T243" s="22" t="s">
        <v>2780</v>
      </c>
    </row>
    <row r="244" spans="1:20" ht="56.25" customHeight="1" x14ac:dyDescent="0.2">
      <c r="A244" s="289">
        <v>243</v>
      </c>
      <c r="B244" s="12" t="s">
        <v>1861</v>
      </c>
      <c r="C244" s="289"/>
      <c r="D244" s="9" t="s">
        <v>289</v>
      </c>
      <c r="E244" s="285"/>
      <c r="F244" s="152" t="s">
        <v>290</v>
      </c>
      <c r="G244" s="285" t="s">
        <v>7979</v>
      </c>
      <c r="H244" s="285" t="s">
        <v>5127</v>
      </c>
      <c r="I244" s="18"/>
      <c r="J244" s="37" t="s">
        <v>3136</v>
      </c>
      <c r="K244" s="15">
        <v>41772</v>
      </c>
      <c r="L244" s="22">
        <v>403</v>
      </c>
      <c r="M244" s="15">
        <v>41676</v>
      </c>
      <c r="N244" s="16">
        <v>2</v>
      </c>
      <c r="O244" s="40">
        <v>260</v>
      </c>
      <c r="P244" s="40">
        <v>260</v>
      </c>
      <c r="Q244" s="40">
        <f t="shared" si="4"/>
        <v>0</v>
      </c>
      <c r="R244" s="285" t="s">
        <v>2781</v>
      </c>
      <c r="S244" s="15">
        <v>41638</v>
      </c>
      <c r="T244" s="22" t="s">
        <v>2780</v>
      </c>
    </row>
    <row r="245" spans="1:20" ht="56.25" customHeight="1" x14ac:dyDescent="0.2">
      <c r="A245" s="289">
        <v>244</v>
      </c>
      <c r="B245" s="12" t="s">
        <v>1862</v>
      </c>
      <c r="C245" s="289"/>
      <c r="D245" s="9" t="s">
        <v>2587</v>
      </c>
      <c r="E245" s="285"/>
      <c r="F245" s="152" t="s">
        <v>2586</v>
      </c>
      <c r="G245" s="285" t="s">
        <v>7979</v>
      </c>
      <c r="H245" s="285" t="s">
        <v>5127</v>
      </c>
      <c r="I245" s="18"/>
      <c r="J245" s="37" t="s">
        <v>3136</v>
      </c>
      <c r="K245" s="15">
        <v>41772</v>
      </c>
      <c r="L245" s="22">
        <v>403</v>
      </c>
      <c r="M245" s="15">
        <v>41676</v>
      </c>
      <c r="N245" s="16">
        <v>1</v>
      </c>
      <c r="O245" s="40">
        <v>5490</v>
      </c>
      <c r="P245" s="40">
        <v>5490</v>
      </c>
      <c r="Q245" s="40">
        <f t="shared" si="4"/>
        <v>0</v>
      </c>
      <c r="R245" s="285" t="s">
        <v>2781</v>
      </c>
      <c r="S245" s="15">
        <v>41638</v>
      </c>
      <c r="T245" s="22" t="s">
        <v>2780</v>
      </c>
    </row>
    <row r="246" spans="1:20" ht="56.25" customHeight="1" x14ac:dyDescent="0.2">
      <c r="A246" s="289">
        <v>245</v>
      </c>
      <c r="B246" s="12" t="s">
        <v>1863</v>
      </c>
      <c r="C246" s="289"/>
      <c r="D246" s="46" t="s">
        <v>2589</v>
      </c>
      <c r="E246" s="285"/>
      <c r="F246" s="152" t="s">
        <v>2588</v>
      </c>
      <c r="G246" s="285" t="s">
        <v>7979</v>
      </c>
      <c r="H246" s="285" t="s">
        <v>5127</v>
      </c>
      <c r="I246" s="18"/>
      <c r="J246" s="37" t="s">
        <v>3136</v>
      </c>
      <c r="K246" s="15">
        <v>41772</v>
      </c>
      <c r="L246" s="22">
        <v>403</v>
      </c>
      <c r="M246" s="15">
        <v>41676</v>
      </c>
      <c r="N246" s="16">
        <v>1</v>
      </c>
      <c r="O246" s="40">
        <v>5920</v>
      </c>
      <c r="P246" s="40">
        <v>5920</v>
      </c>
      <c r="Q246" s="40">
        <f t="shared" si="4"/>
        <v>0</v>
      </c>
      <c r="R246" s="285" t="s">
        <v>2781</v>
      </c>
      <c r="S246" s="15">
        <v>41638</v>
      </c>
      <c r="T246" s="22" t="s">
        <v>2780</v>
      </c>
    </row>
    <row r="247" spans="1:20" ht="56.25" customHeight="1" x14ac:dyDescent="0.2">
      <c r="A247" s="289">
        <v>246</v>
      </c>
      <c r="B247" s="12" t="s">
        <v>1864</v>
      </c>
      <c r="C247" s="289"/>
      <c r="D247" s="9" t="s">
        <v>287</v>
      </c>
      <c r="E247" s="285"/>
      <c r="F247" s="152" t="s">
        <v>288</v>
      </c>
      <c r="G247" s="285" t="s">
        <v>7979</v>
      </c>
      <c r="H247" s="285" t="s">
        <v>5127</v>
      </c>
      <c r="I247" s="18"/>
      <c r="J247" s="37" t="s">
        <v>3136</v>
      </c>
      <c r="K247" s="15">
        <v>41772</v>
      </c>
      <c r="L247" s="22">
        <v>403</v>
      </c>
      <c r="M247" s="15">
        <v>41676</v>
      </c>
      <c r="N247" s="16">
        <v>1</v>
      </c>
      <c r="O247" s="40">
        <v>2560</v>
      </c>
      <c r="P247" s="40">
        <v>2560</v>
      </c>
      <c r="Q247" s="40">
        <f t="shared" si="4"/>
        <v>0</v>
      </c>
      <c r="R247" s="285" t="s">
        <v>2781</v>
      </c>
      <c r="S247" s="15">
        <v>41638</v>
      </c>
      <c r="T247" s="22" t="s">
        <v>2780</v>
      </c>
    </row>
    <row r="248" spans="1:20" ht="56.25" customHeight="1" x14ac:dyDescent="0.2">
      <c r="A248" s="289">
        <v>247</v>
      </c>
      <c r="B248" s="12" t="s">
        <v>1865</v>
      </c>
      <c r="C248" s="289"/>
      <c r="D248" s="9" t="s">
        <v>5291</v>
      </c>
      <c r="E248" s="65"/>
      <c r="F248" s="73" t="s">
        <v>6515</v>
      </c>
      <c r="G248" s="285" t="s">
        <v>9194</v>
      </c>
      <c r="H248" s="285" t="s">
        <v>5127</v>
      </c>
      <c r="I248" s="18"/>
      <c r="J248" s="285"/>
      <c r="K248" s="289"/>
      <c r="L248" s="12"/>
      <c r="M248" s="15">
        <v>41689</v>
      </c>
      <c r="N248" s="44">
        <v>2</v>
      </c>
      <c r="O248" s="62">
        <v>25400</v>
      </c>
      <c r="P248" s="40">
        <v>25400</v>
      </c>
      <c r="Q248" s="40">
        <f t="shared" si="4"/>
        <v>0</v>
      </c>
      <c r="R248" s="285"/>
      <c r="S248" s="15"/>
      <c r="T248" s="22"/>
    </row>
    <row r="249" spans="1:20" ht="56.25" customHeight="1" x14ac:dyDescent="0.2">
      <c r="A249" s="289">
        <v>248</v>
      </c>
      <c r="B249" s="12" t="s">
        <v>1866</v>
      </c>
      <c r="C249" s="289"/>
      <c r="D249" s="9" t="s">
        <v>1422</v>
      </c>
      <c r="E249" s="65"/>
      <c r="F249" s="73" t="s">
        <v>3604</v>
      </c>
      <c r="G249" s="285" t="s">
        <v>9194</v>
      </c>
      <c r="H249" s="285" t="s">
        <v>5127</v>
      </c>
      <c r="I249" s="18"/>
      <c r="J249" s="285"/>
      <c r="K249" s="289"/>
      <c r="L249" s="12"/>
      <c r="M249" s="15">
        <v>41676</v>
      </c>
      <c r="N249" s="44">
        <v>1</v>
      </c>
      <c r="O249" s="62">
        <v>19800</v>
      </c>
      <c r="P249" s="40">
        <v>19800</v>
      </c>
      <c r="Q249" s="40">
        <f t="shared" si="4"/>
        <v>0</v>
      </c>
      <c r="R249" s="285"/>
      <c r="S249" s="15"/>
      <c r="T249" s="22"/>
    </row>
    <row r="250" spans="1:20" ht="56.25" customHeight="1" x14ac:dyDescent="0.2">
      <c r="A250" s="289">
        <v>249</v>
      </c>
      <c r="B250" s="12" t="s">
        <v>1867</v>
      </c>
      <c r="C250" s="289"/>
      <c r="D250" s="9" t="s">
        <v>5232</v>
      </c>
      <c r="E250" s="285"/>
      <c r="F250" s="13" t="s">
        <v>2864</v>
      </c>
      <c r="G250" s="285" t="s">
        <v>7934</v>
      </c>
      <c r="H250" s="285" t="s">
        <v>5127</v>
      </c>
      <c r="I250" s="18"/>
      <c r="J250" s="37" t="s">
        <v>3136</v>
      </c>
      <c r="K250" s="15">
        <v>42489</v>
      </c>
      <c r="L250" s="12" t="s">
        <v>6363</v>
      </c>
      <c r="M250" s="15">
        <v>41275</v>
      </c>
      <c r="N250" s="16">
        <v>2</v>
      </c>
      <c r="O250" s="40">
        <v>9508</v>
      </c>
      <c r="P250" s="40">
        <v>9508</v>
      </c>
      <c r="Q250" s="40">
        <f t="shared" si="4"/>
        <v>0</v>
      </c>
      <c r="R250" s="285"/>
      <c r="S250" s="15"/>
      <c r="T250" s="22"/>
    </row>
    <row r="251" spans="1:20" ht="56.25" customHeight="1" x14ac:dyDescent="0.2">
      <c r="A251" s="289">
        <v>250</v>
      </c>
      <c r="B251" s="12" t="s">
        <v>1868</v>
      </c>
      <c r="C251" s="289"/>
      <c r="D251" s="9" t="s">
        <v>3802</v>
      </c>
      <c r="E251" s="285"/>
      <c r="F251" s="13" t="s">
        <v>2865</v>
      </c>
      <c r="G251" s="285" t="s">
        <v>7978</v>
      </c>
      <c r="H251" s="285" t="s">
        <v>5127</v>
      </c>
      <c r="I251" s="18"/>
      <c r="J251" s="285" t="s">
        <v>3136</v>
      </c>
      <c r="K251" s="15">
        <v>41922</v>
      </c>
      <c r="L251" s="12" t="s">
        <v>4145</v>
      </c>
      <c r="M251" s="15">
        <v>41632</v>
      </c>
      <c r="N251" s="16">
        <v>1</v>
      </c>
      <c r="O251" s="40">
        <v>5743</v>
      </c>
      <c r="P251" s="40">
        <v>5743</v>
      </c>
      <c r="Q251" s="40">
        <f t="shared" si="4"/>
        <v>0</v>
      </c>
      <c r="R251" s="285" t="s">
        <v>574</v>
      </c>
      <c r="S251" s="15">
        <v>41632</v>
      </c>
      <c r="T251" s="22" t="s">
        <v>5202</v>
      </c>
    </row>
    <row r="252" spans="1:20" ht="56.25" customHeight="1" x14ac:dyDescent="0.2">
      <c r="A252" s="289">
        <v>251</v>
      </c>
      <c r="B252" s="12" t="s">
        <v>1869</v>
      </c>
      <c r="C252" s="289"/>
      <c r="D252" s="9" t="s">
        <v>3884</v>
      </c>
      <c r="E252" s="285"/>
      <c r="F252" s="13" t="s">
        <v>4434</v>
      </c>
      <c r="G252" s="285" t="s">
        <v>7978</v>
      </c>
      <c r="H252" s="285" t="s">
        <v>5127</v>
      </c>
      <c r="I252" s="18"/>
      <c r="J252" s="285" t="s">
        <v>3136</v>
      </c>
      <c r="K252" s="15">
        <v>41922</v>
      </c>
      <c r="L252" s="12" t="s">
        <v>4145</v>
      </c>
      <c r="M252" s="15">
        <v>41513</v>
      </c>
      <c r="N252" s="16">
        <v>1</v>
      </c>
      <c r="O252" s="40">
        <v>3940</v>
      </c>
      <c r="P252" s="40">
        <v>3940</v>
      </c>
      <c r="Q252" s="40">
        <f t="shared" si="4"/>
        <v>0</v>
      </c>
      <c r="R252" s="285" t="s">
        <v>5200</v>
      </c>
      <c r="S252" s="14">
        <v>41513</v>
      </c>
      <c r="T252" s="22" t="s">
        <v>5201</v>
      </c>
    </row>
    <row r="253" spans="1:20" ht="56.25" customHeight="1" x14ac:dyDescent="0.2">
      <c r="A253" s="289">
        <v>252</v>
      </c>
      <c r="B253" s="12" t="s">
        <v>1870</v>
      </c>
      <c r="C253" s="289"/>
      <c r="D253" s="9" t="s">
        <v>388</v>
      </c>
      <c r="E253" s="285"/>
      <c r="F253" s="13" t="s">
        <v>4435</v>
      </c>
      <c r="G253" s="285" t="s">
        <v>7979</v>
      </c>
      <c r="H253" s="285" t="s">
        <v>5127</v>
      </c>
      <c r="I253" s="18"/>
      <c r="J253" s="285" t="s">
        <v>3136</v>
      </c>
      <c r="K253" s="15">
        <v>41922</v>
      </c>
      <c r="L253" s="12" t="s">
        <v>3446</v>
      </c>
      <c r="M253" s="15">
        <v>41620</v>
      </c>
      <c r="N253" s="16">
        <v>1</v>
      </c>
      <c r="O253" s="40">
        <v>4500</v>
      </c>
      <c r="P253" s="40">
        <v>4500</v>
      </c>
      <c r="Q253" s="40">
        <f t="shared" si="4"/>
        <v>0</v>
      </c>
      <c r="R253" s="285" t="s">
        <v>5200</v>
      </c>
      <c r="S253" s="15">
        <v>41620</v>
      </c>
      <c r="T253" s="22" t="s">
        <v>3450</v>
      </c>
    </row>
    <row r="254" spans="1:20" ht="56.25" customHeight="1" x14ac:dyDescent="0.2">
      <c r="A254" s="289">
        <v>253</v>
      </c>
      <c r="B254" s="12" t="s">
        <v>1871</v>
      </c>
      <c r="C254" s="289"/>
      <c r="D254" s="9" t="s">
        <v>1236</v>
      </c>
      <c r="E254" s="37"/>
      <c r="F254" s="13" t="s">
        <v>6778</v>
      </c>
      <c r="G254" s="285" t="s">
        <v>7979</v>
      </c>
      <c r="H254" s="37" t="s">
        <v>5127</v>
      </c>
      <c r="I254" s="18"/>
      <c r="J254" s="285" t="s">
        <v>3136</v>
      </c>
      <c r="K254" s="15">
        <v>41922</v>
      </c>
      <c r="L254" s="12" t="s">
        <v>3446</v>
      </c>
      <c r="M254" s="15">
        <v>41620</v>
      </c>
      <c r="N254" s="44">
        <v>1</v>
      </c>
      <c r="O254" s="62">
        <v>5000</v>
      </c>
      <c r="P254" s="40">
        <v>5000</v>
      </c>
      <c r="Q254" s="40">
        <f t="shared" si="4"/>
        <v>0</v>
      </c>
      <c r="R254" s="285" t="s">
        <v>5200</v>
      </c>
      <c r="S254" s="15">
        <v>41620</v>
      </c>
      <c r="T254" s="22" t="s">
        <v>1059</v>
      </c>
    </row>
    <row r="255" spans="1:20" ht="56.25" customHeight="1" x14ac:dyDescent="0.2">
      <c r="A255" s="289">
        <v>254</v>
      </c>
      <c r="B255" s="12" t="s">
        <v>1872</v>
      </c>
      <c r="C255" s="289"/>
      <c r="D255" s="9" t="s">
        <v>389</v>
      </c>
      <c r="E255" s="37"/>
      <c r="F255" s="73" t="s">
        <v>2863</v>
      </c>
      <c r="G255" s="285" t="s">
        <v>7979</v>
      </c>
      <c r="H255" s="37" t="s">
        <v>5127</v>
      </c>
      <c r="I255" s="18"/>
      <c r="J255" s="285" t="s">
        <v>3136</v>
      </c>
      <c r="K255" s="15">
        <v>41922</v>
      </c>
      <c r="L255" s="12" t="s">
        <v>3446</v>
      </c>
      <c r="M255" s="15">
        <v>41536</v>
      </c>
      <c r="N255" s="44">
        <v>1</v>
      </c>
      <c r="O255" s="62">
        <v>3500</v>
      </c>
      <c r="P255" s="40">
        <v>3500</v>
      </c>
      <c r="Q255" s="40">
        <f t="shared" si="4"/>
        <v>0</v>
      </c>
      <c r="R255" s="285" t="s">
        <v>5345</v>
      </c>
      <c r="S255" s="15">
        <v>41536</v>
      </c>
      <c r="T255" s="22" t="s">
        <v>819</v>
      </c>
    </row>
    <row r="256" spans="1:20" ht="59.25" customHeight="1" x14ac:dyDescent="0.2">
      <c r="A256" s="289">
        <v>255</v>
      </c>
      <c r="B256" s="12" t="s">
        <v>4647</v>
      </c>
      <c r="C256" s="289"/>
      <c r="D256" s="9" t="s">
        <v>1237</v>
      </c>
      <c r="E256" s="285"/>
      <c r="F256" s="13" t="s">
        <v>269</v>
      </c>
      <c r="G256" s="285" t="s">
        <v>7979</v>
      </c>
      <c r="H256" s="37" t="s">
        <v>5127</v>
      </c>
      <c r="I256" s="18"/>
      <c r="J256" s="285" t="s">
        <v>3136</v>
      </c>
      <c r="K256" s="15">
        <v>41922</v>
      </c>
      <c r="L256" s="12" t="s">
        <v>3446</v>
      </c>
      <c r="M256" s="15">
        <v>41625</v>
      </c>
      <c r="N256" s="16">
        <v>1</v>
      </c>
      <c r="O256" s="40">
        <v>13500</v>
      </c>
      <c r="P256" s="40">
        <v>13500</v>
      </c>
      <c r="Q256" s="40">
        <f t="shared" si="4"/>
        <v>0</v>
      </c>
      <c r="R256" s="285" t="s">
        <v>5200</v>
      </c>
      <c r="S256" s="15">
        <v>41620</v>
      </c>
      <c r="T256" s="22" t="s">
        <v>818</v>
      </c>
    </row>
    <row r="257" spans="1:20" ht="59.25" customHeight="1" x14ac:dyDescent="0.2">
      <c r="A257" s="289">
        <v>256</v>
      </c>
      <c r="B257" s="12" t="s">
        <v>4648</v>
      </c>
      <c r="C257" s="289"/>
      <c r="D257" s="9" t="s">
        <v>925</v>
      </c>
      <c r="E257" s="285"/>
      <c r="F257" s="13" t="s">
        <v>270</v>
      </c>
      <c r="G257" s="285" t="s">
        <v>7979</v>
      </c>
      <c r="H257" s="37" t="s">
        <v>5127</v>
      </c>
      <c r="I257" s="18"/>
      <c r="J257" s="285" t="s">
        <v>3136</v>
      </c>
      <c r="K257" s="15">
        <v>41922</v>
      </c>
      <c r="L257" s="12" t="s">
        <v>3446</v>
      </c>
      <c r="M257" s="15">
        <v>41625</v>
      </c>
      <c r="N257" s="16">
        <v>1</v>
      </c>
      <c r="O257" s="62">
        <v>8800</v>
      </c>
      <c r="P257" s="40">
        <v>8800</v>
      </c>
      <c r="Q257" s="40">
        <f t="shared" si="4"/>
        <v>0</v>
      </c>
      <c r="R257" s="285" t="s">
        <v>5200</v>
      </c>
      <c r="S257" s="15">
        <v>41620</v>
      </c>
      <c r="T257" s="22" t="s">
        <v>818</v>
      </c>
    </row>
    <row r="258" spans="1:20" ht="59.25" customHeight="1" x14ac:dyDescent="0.2">
      <c r="A258" s="289">
        <v>257</v>
      </c>
      <c r="B258" s="12" t="s">
        <v>4649</v>
      </c>
      <c r="C258" s="289"/>
      <c r="D258" s="9" t="s">
        <v>3802</v>
      </c>
      <c r="E258" s="285">
        <v>2013</v>
      </c>
      <c r="F258" s="13" t="s">
        <v>2862</v>
      </c>
      <c r="G258" s="285" t="s">
        <v>7979</v>
      </c>
      <c r="H258" s="37" t="s">
        <v>5127</v>
      </c>
      <c r="I258" s="18"/>
      <c r="J258" s="285" t="s">
        <v>3136</v>
      </c>
      <c r="K258" s="15">
        <v>41922</v>
      </c>
      <c r="L258" s="12" t="s">
        <v>3446</v>
      </c>
      <c r="M258" s="15">
        <v>41628</v>
      </c>
      <c r="N258" s="16">
        <v>1</v>
      </c>
      <c r="O258" s="62">
        <v>4700</v>
      </c>
      <c r="P258" s="40">
        <v>4700</v>
      </c>
      <c r="Q258" s="40">
        <f t="shared" si="4"/>
        <v>0</v>
      </c>
      <c r="R258" s="285" t="s">
        <v>5200</v>
      </c>
      <c r="S258" s="15">
        <v>41628</v>
      </c>
      <c r="T258" s="22" t="s">
        <v>3449</v>
      </c>
    </row>
    <row r="259" spans="1:20" ht="59.25" customHeight="1" x14ac:dyDescent="0.2">
      <c r="A259" s="289">
        <v>259</v>
      </c>
      <c r="B259" s="12" t="s">
        <v>4650</v>
      </c>
      <c r="C259" s="289"/>
      <c r="D259" s="9" t="s">
        <v>1835</v>
      </c>
      <c r="E259" s="49">
        <v>2013</v>
      </c>
      <c r="F259" s="73" t="s">
        <v>268</v>
      </c>
      <c r="G259" s="285" t="s">
        <v>7934</v>
      </c>
      <c r="H259" s="37" t="s">
        <v>5127</v>
      </c>
      <c r="I259" s="18"/>
      <c r="J259" s="285" t="s">
        <v>3136</v>
      </c>
      <c r="K259" s="53">
        <v>41922</v>
      </c>
      <c r="L259" s="119" t="s">
        <v>3416</v>
      </c>
      <c r="M259" s="15">
        <v>41568</v>
      </c>
      <c r="N259" s="16">
        <v>1</v>
      </c>
      <c r="O259" s="40">
        <v>9000</v>
      </c>
      <c r="P259" s="40">
        <v>9000</v>
      </c>
      <c r="Q259" s="40">
        <f t="shared" ref="Q259:Q289" si="5">O259-P259</f>
        <v>0</v>
      </c>
      <c r="R259" s="285" t="s">
        <v>3418</v>
      </c>
      <c r="S259" s="15">
        <v>41568</v>
      </c>
      <c r="T259" s="22" t="s">
        <v>3445</v>
      </c>
    </row>
    <row r="260" spans="1:20" ht="59.25" customHeight="1" x14ac:dyDescent="0.2">
      <c r="A260" s="289">
        <v>260</v>
      </c>
      <c r="B260" s="12" t="s">
        <v>4651</v>
      </c>
      <c r="C260" s="289"/>
      <c r="D260" s="9" t="s">
        <v>6067</v>
      </c>
      <c r="E260" s="49">
        <v>2013</v>
      </c>
      <c r="F260" s="73" t="s">
        <v>267</v>
      </c>
      <c r="G260" s="285" t="s">
        <v>7934</v>
      </c>
      <c r="H260" s="37" t="s">
        <v>5127</v>
      </c>
      <c r="I260" s="18"/>
      <c r="J260" s="285" t="s">
        <v>3136</v>
      </c>
      <c r="K260" s="53">
        <v>41922</v>
      </c>
      <c r="L260" s="119" t="s">
        <v>3416</v>
      </c>
      <c r="M260" s="15">
        <v>41506</v>
      </c>
      <c r="N260" s="16">
        <v>1</v>
      </c>
      <c r="O260" s="40">
        <v>9600</v>
      </c>
      <c r="P260" s="40">
        <v>9600</v>
      </c>
      <c r="Q260" s="40">
        <f t="shared" si="5"/>
        <v>0</v>
      </c>
      <c r="R260" s="285" t="s">
        <v>4017</v>
      </c>
      <c r="S260" s="15">
        <v>41493</v>
      </c>
      <c r="T260" s="22" t="s">
        <v>1029</v>
      </c>
    </row>
    <row r="261" spans="1:20" ht="59.25" customHeight="1" x14ac:dyDescent="0.2">
      <c r="A261" s="289">
        <v>261</v>
      </c>
      <c r="B261" s="12" t="s">
        <v>4652</v>
      </c>
      <c r="C261" s="289"/>
      <c r="D261" s="9" t="s">
        <v>2891</v>
      </c>
      <c r="E261" s="285">
        <v>2014</v>
      </c>
      <c r="F261" s="73" t="s">
        <v>6779</v>
      </c>
      <c r="G261" s="285" t="s">
        <v>7979</v>
      </c>
      <c r="H261" s="37" t="s">
        <v>5127</v>
      </c>
      <c r="I261" s="18"/>
      <c r="J261" s="37" t="s">
        <v>3136</v>
      </c>
      <c r="K261" s="15">
        <v>41824</v>
      </c>
      <c r="L261" s="22" t="s">
        <v>3448</v>
      </c>
      <c r="M261" s="15">
        <v>41736</v>
      </c>
      <c r="N261" s="16">
        <v>1</v>
      </c>
      <c r="O261" s="40">
        <v>15350</v>
      </c>
      <c r="P261" s="40">
        <v>15350</v>
      </c>
      <c r="Q261" s="40">
        <f t="shared" si="5"/>
        <v>0</v>
      </c>
      <c r="R261" s="285" t="s">
        <v>4017</v>
      </c>
      <c r="S261" s="15">
        <v>41736</v>
      </c>
      <c r="T261" s="22" t="s">
        <v>1029</v>
      </c>
    </row>
    <row r="262" spans="1:20" ht="59.25" customHeight="1" x14ac:dyDescent="0.2">
      <c r="A262" s="289">
        <v>262</v>
      </c>
      <c r="B262" s="12" t="s">
        <v>4653</v>
      </c>
      <c r="C262" s="289"/>
      <c r="D262" s="9" t="s">
        <v>6751</v>
      </c>
      <c r="E262" s="285">
        <v>2014</v>
      </c>
      <c r="F262" s="73" t="s">
        <v>266</v>
      </c>
      <c r="G262" s="285" t="s">
        <v>4946</v>
      </c>
      <c r="H262" s="37" t="s">
        <v>5127</v>
      </c>
      <c r="I262" s="18"/>
      <c r="J262" s="37" t="s">
        <v>3136</v>
      </c>
      <c r="K262" s="289"/>
      <c r="L262" s="22" t="s">
        <v>3438</v>
      </c>
      <c r="M262" s="15">
        <v>41774</v>
      </c>
      <c r="N262" s="16">
        <v>1</v>
      </c>
      <c r="O262" s="40">
        <v>3120</v>
      </c>
      <c r="P262" s="40">
        <v>3120</v>
      </c>
      <c r="Q262" s="40">
        <f t="shared" si="5"/>
        <v>0</v>
      </c>
      <c r="R262" s="285" t="s">
        <v>2779</v>
      </c>
      <c r="S262" s="15">
        <v>41774</v>
      </c>
      <c r="T262" s="22" t="s">
        <v>2778</v>
      </c>
    </row>
    <row r="263" spans="1:20" ht="36" customHeight="1" x14ac:dyDescent="0.2">
      <c r="A263" s="289">
        <v>263</v>
      </c>
      <c r="B263" s="12" t="s">
        <v>3252</v>
      </c>
      <c r="C263" s="289"/>
      <c r="D263" s="9" t="s">
        <v>3512</v>
      </c>
      <c r="E263" s="285">
        <v>2014</v>
      </c>
      <c r="F263" s="73" t="s">
        <v>265</v>
      </c>
      <c r="G263" s="56" t="s">
        <v>101</v>
      </c>
      <c r="H263" s="37" t="s">
        <v>5127</v>
      </c>
      <c r="I263" s="18"/>
      <c r="J263" s="37" t="s">
        <v>3136</v>
      </c>
      <c r="K263" s="289"/>
      <c r="L263" s="22" t="s">
        <v>556</v>
      </c>
      <c r="M263" s="15">
        <v>41829</v>
      </c>
      <c r="N263" s="16">
        <v>1</v>
      </c>
      <c r="O263" s="40">
        <v>5390</v>
      </c>
      <c r="P263" s="40">
        <v>5390</v>
      </c>
      <c r="Q263" s="40">
        <f t="shared" si="5"/>
        <v>0</v>
      </c>
      <c r="R263" s="285" t="s">
        <v>5071</v>
      </c>
      <c r="S263" s="15">
        <v>41747</v>
      </c>
      <c r="T263" s="22" t="s">
        <v>2777</v>
      </c>
    </row>
    <row r="264" spans="1:20" ht="33.75" customHeight="1" x14ac:dyDescent="0.2">
      <c r="A264" s="289">
        <v>264</v>
      </c>
      <c r="B264" s="12" t="s">
        <v>4878</v>
      </c>
      <c r="C264" s="289"/>
      <c r="D264" s="9" t="s">
        <v>6194</v>
      </c>
      <c r="E264" s="285">
        <v>2014</v>
      </c>
      <c r="F264" s="73" t="s">
        <v>2948</v>
      </c>
      <c r="G264" s="56" t="s">
        <v>101</v>
      </c>
      <c r="H264" s="37" t="s">
        <v>5127</v>
      </c>
      <c r="I264" s="18"/>
      <c r="J264" s="37" t="s">
        <v>3136</v>
      </c>
      <c r="K264" s="289"/>
      <c r="L264" s="22" t="s">
        <v>556</v>
      </c>
      <c r="M264" s="15">
        <v>41751</v>
      </c>
      <c r="N264" s="16">
        <v>1</v>
      </c>
      <c r="O264" s="40">
        <v>3630</v>
      </c>
      <c r="P264" s="40">
        <v>3630</v>
      </c>
      <c r="Q264" s="40">
        <f t="shared" si="5"/>
        <v>0</v>
      </c>
      <c r="R264" s="285" t="s">
        <v>5071</v>
      </c>
      <c r="S264" s="15">
        <v>41751</v>
      </c>
      <c r="T264" s="285">
        <v>1757</v>
      </c>
    </row>
    <row r="265" spans="1:20" ht="33.75" customHeight="1" x14ac:dyDescent="0.2">
      <c r="A265" s="289">
        <v>265</v>
      </c>
      <c r="B265" s="12" t="s">
        <v>4879</v>
      </c>
      <c r="C265" s="289"/>
      <c r="D265" s="9" t="s">
        <v>6194</v>
      </c>
      <c r="E265" s="285">
        <v>2014</v>
      </c>
      <c r="F265" s="73" t="s">
        <v>2947</v>
      </c>
      <c r="G265" s="56" t="s">
        <v>101</v>
      </c>
      <c r="H265" s="37" t="s">
        <v>5127</v>
      </c>
      <c r="I265" s="18"/>
      <c r="J265" s="37" t="s">
        <v>3136</v>
      </c>
      <c r="K265" s="289"/>
      <c r="L265" s="22" t="s">
        <v>556</v>
      </c>
      <c r="M265" s="15">
        <v>41751</v>
      </c>
      <c r="N265" s="16">
        <v>1</v>
      </c>
      <c r="O265" s="40">
        <v>3630</v>
      </c>
      <c r="P265" s="40">
        <v>3630</v>
      </c>
      <c r="Q265" s="40">
        <f t="shared" si="5"/>
        <v>0</v>
      </c>
      <c r="R265" s="285" t="s">
        <v>5071</v>
      </c>
      <c r="S265" s="15">
        <v>41751</v>
      </c>
      <c r="T265" s="285">
        <v>1757</v>
      </c>
    </row>
    <row r="266" spans="1:20" ht="59.25" customHeight="1" x14ac:dyDescent="0.2">
      <c r="A266" s="289">
        <v>266</v>
      </c>
      <c r="B266" s="12" t="s">
        <v>4880</v>
      </c>
      <c r="C266" s="289"/>
      <c r="D266" s="9" t="s">
        <v>5614</v>
      </c>
      <c r="E266" s="285">
        <v>2014</v>
      </c>
      <c r="F266" s="73" t="s">
        <v>7103</v>
      </c>
      <c r="G266" s="285" t="s">
        <v>7934</v>
      </c>
      <c r="H266" s="37" t="s">
        <v>5127</v>
      </c>
      <c r="I266" s="18"/>
      <c r="J266" s="37" t="s">
        <v>3136</v>
      </c>
      <c r="K266" s="15">
        <v>41842</v>
      </c>
      <c r="L266" s="22" t="s">
        <v>3417</v>
      </c>
      <c r="M266" s="15">
        <v>41730</v>
      </c>
      <c r="N266" s="16">
        <v>1</v>
      </c>
      <c r="O266" s="40">
        <v>30000</v>
      </c>
      <c r="P266" s="40">
        <v>30000</v>
      </c>
      <c r="Q266" s="40">
        <f t="shared" si="5"/>
        <v>0</v>
      </c>
      <c r="R266" s="285" t="s">
        <v>4017</v>
      </c>
      <c r="S266" s="15">
        <v>41750</v>
      </c>
      <c r="T266" s="285" t="s">
        <v>1029</v>
      </c>
    </row>
    <row r="267" spans="1:20" ht="59.25" customHeight="1" x14ac:dyDescent="0.2">
      <c r="A267" s="289">
        <v>267</v>
      </c>
      <c r="B267" s="12" t="s">
        <v>4881</v>
      </c>
      <c r="C267" s="289"/>
      <c r="D267" s="9" t="s">
        <v>5614</v>
      </c>
      <c r="E267" s="285">
        <v>2014</v>
      </c>
      <c r="F267" s="73" t="s">
        <v>7104</v>
      </c>
      <c r="G267" s="285" t="s">
        <v>7934</v>
      </c>
      <c r="H267" s="37" t="s">
        <v>5127</v>
      </c>
      <c r="I267" s="18"/>
      <c r="J267" s="37" t="s">
        <v>3136</v>
      </c>
      <c r="K267" s="15">
        <v>41842</v>
      </c>
      <c r="L267" s="22" t="s">
        <v>3417</v>
      </c>
      <c r="M267" s="15">
        <v>41813</v>
      </c>
      <c r="N267" s="16">
        <v>1</v>
      </c>
      <c r="O267" s="40">
        <v>9100</v>
      </c>
      <c r="P267" s="40">
        <v>9100</v>
      </c>
      <c r="Q267" s="40">
        <f t="shared" si="5"/>
        <v>0</v>
      </c>
      <c r="R267" s="285" t="s">
        <v>4017</v>
      </c>
      <c r="S267" s="15">
        <v>41744</v>
      </c>
      <c r="T267" s="285" t="s">
        <v>1029</v>
      </c>
    </row>
    <row r="268" spans="1:20" ht="59.25" customHeight="1" x14ac:dyDescent="0.2">
      <c r="A268" s="289">
        <v>268</v>
      </c>
      <c r="B268" s="12" t="s">
        <v>4882</v>
      </c>
      <c r="C268" s="289"/>
      <c r="D268" s="9" t="s">
        <v>4974</v>
      </c>
      <c r="E268" s="22"/>
      <c r="F268" s="73" t="s">
        <v>4530</v>
      </c>
      <c r="G268" s="56" t="s">
        <v>8661</v>
      </c>
      <c r="H268" s="37" t="s">
        <v>5127</v>
      </c>
      <c r="I268" s="18"/>
      <c r="J268" s="37" t="s">
        <v>3136</v>
      </c>
      <c r="K268" s="289"/>
      <c r="L268" s="22" t="s">
        <v>3909</v>
      </c>
      <c r="M268" s="15">
        <v>41831</v>
      </c>
      <c r="N268" s="16">
        <v>1</v>
      </c>
      <c r="O268" s="40">
        <v>3800</v>
      </c>
      <c r="P268" s="40">
        <v>3800</v>
      </c>
      <c r="Q268" s="40">
        <f t="shared" si="5"/>
        <v>0</v>
      </c>
      <c r="R268" s="285" t="s">
        <v>5071</v>
      </c>
      <c r="S268" s="15">
        <v>41788</v>
      </c>
      <c r="T268" s="285">
        <v>208</v>
      </c>
    </row>
    <row r="269" spans="1:20" ht="99" customHeight="1" x14ac:dyDescent="0.2">
      <c r="A269" s="289">
        <v>269</v>
      </c>
      <c r="B269" s="12" t="s">
        <v>4883</v>
      </c>
      <c r="C269" s="289"/>
      <c r="D269" s="9" t="s">
        <v>4756</v>
      </c>
      <c r="E269" s="14">
        <v>41830</v>
      </c>
      <c r="F269" s="9" t="s">
        <v>7077</v>
      </c>
      <c r="G269" s="285" t="s">
        <v>7981</v>
      </c>
      <c r="H269" s="37" t="s">
        <v>5127</v>
      </c>
      <c r="I269" s="18"/>
      <c r="J269" s="37" t="s">
        <v>3136</v>
      </c>
      <c r="K269" s="15">
        <v>41915</v>
      </c>
      <c r="L269" s="12">
        <v>886</v>
      </c>
      <c r="M269" s="15">
        <v>41830</v>
      </c>
      <c r="N269" s="16">
        <v>22</v>
      </c>
      <c r="O269" s="40">
        <v>94160</v>
      </c>
      <c r="P269" s="40">
        <v>94160</v>
      </c>
      <c r="Q269" s="40">
        <f t="shared" si="5"/>
        <v>0</v>
      </c>
      <c r="R269" s="285" t="s">
        <v>3405</v>
      </c>
      <c r="S269" s="15">
        <v>41625</v>
      </c>
      <c r="T269" s="22" t="s">
        <v>2282</v>
      </c>
    </row>
    <row r="270" spans="1:20" ht="59.25" customHeight="1" x14ac:dyDescent="0.2">
      <c r="A270" s="289">
        <v>270</v>
      </c>
      <c r="B270" s="12" t="s">
        <v>4884</v>
      </c>
      <c r="C270" s="289"/>
      <c r="D270" s="9" t="s">
        <v>2853</v>
      </c>
      <c r="E270" s="14">
        <v>41710</v>
      </c>
      <c r="F270" s="9" t="s">
        <v>3938</v>
      </c>
      <c r="G270" s="285" t="s">
        <v>7981</v>
      </c>
      <c r="H270" s="37" t="s">
        <v>5127</v>
      </c>
      <c r="I270" s="18"/>
      <c r="J270" s="37" t="s">
        <v>3136</v>
      </c>
      <c r="K270" s="15">
        <v>41851</v>
      </c>
      <c r="L270" s="22">
        <v>669</v>
      </c>
      <c r="M270" s="15">
        <v>41710</v>
      </c>
      <c r="N270" s="44">
        <v>1</v>
      </c>
      <c r="O270" s="62">
        <v>5500</v>
      </c>
      <c r="P270" s="40">
        <v>5500</v>
      </c>
      <c r="Q270" s="40">
        <f t="shared" si="5"/>
        <v>0</v>
      </c>
      <c r="R270" s="285" t="s">
        <v>4017</v>
      </c>
      <c r="S270" s="15">
        <v>41710</v>
      </c>
      <c r="T270" s="22"/>
    </row>
    <row r="271" spans="1:20" ht="59.25" customHeight="1" x14ac:dyDescent="0.2">
      <c r="A271" s="289">
        <v>271</v>
      </c>
      <c r="B271" s="12" t="s">
        <v>4885</v>
      </c>
      <c r="C271" s="289"/>
      <c r="D271" s="9" t="s">
        <v>2853</v>
      </c>
      <c r="E271" s="14">
        <v>41710</v>
      </c>
      <c r="F271" s="9" t="s">
        <v>5878</v>
      </c>
      <c r="G271" s="285" t="s">
        <v>7981</v>
      </c>
      <c r="H271" s="37" t="s">
        <v>5127</v>
      </c>
      <c r="I271" s="18"/>
      <c r="J271" s="37" t="s">
        <v>3136</v>
      </c>
      <c r="K271" s="15">
        <v>41851</v>
      </c>
      <c r="L271" s="22">
        <v>669</v>
      </c>
      <c r="M271" s="15">
        <v>41710</v>
      </c>
      <c r="N271" s="44">
        <v>1</v>
      </c>
      <c r="O271" s="62">
        <v>6000</v>
      </c>
      <c r="P271" s="40">
        <v>6000</v>
      </c>
      <c r="Q271" s="40">
        <f t="shared" si="5"/>
        <v>0</v>
      </c>
      <c r="R271" s="285" t="s">
        <v>4017</v>
      </c>
      <c r="S271" s="15">
        <v>41710</v>
      </c>
      <c r="T271" s="22"/>
    </row>
    <row r="272" spans="1:20" ht="59.25" customHeight="1" x14ac:dyDescent="0.2">
      <c r="A272" s="289">
        <v>272</v>
      </c>
      <c r="B272" s="12" t="s">
        <v>4886</v>
      </c>
      <c r="C272" s="289"/>
      <c r="D272" s="9" t="s">
        <v>2048</v>
      </c>
      <c r="E272" s="285">
        <v>2014</v>
      </c>
      <c r="F272" s="73" t="s">
        <v>6780</v>
      </c>
      <c r="G272" s="285" t="s">
        <v>7979</v>
      </c>
      <c r="H272" s="37" t="s">
        <v>5127</v>
      </c>
      <c r="I272" s="18"/>
      <c r="J272" s="37" t="s">
        <v>3136</v>
      </c>
      <c r="K272" s="15">
        <v>41869</v>
      </c>
      <c r="L272" s="22">
        <v>714</v>
      </c>
      <c r="M272" s="15">
        <v>41811</v>
      </c>
      <c r="N272" s="16">
        <v>1</v>
      </c>
      <c r="O272" s="40">
        <v>21700</v>
      </c>
      <c r="P272" s="40">
        <v>21700</v>
      </c>
      <c r="Q272" s="40">
        <f t="shared" si="5"/>
        <v>0</v>
      </c>
      <c r="R272" s="285" t="s">
        <v>5071</v>
      </c>
      <c r="S272" s="15">
        <v>41814</v>
      </c>
      <c r="T272" s="22" t="s">
        <v>2281</v>
      </c>
    </row>
    <row r="273" spans="1:21" ht="59.25" customHeight="1" x14ac:dyDescent="0.2">
      <c r="A273" s="289">
        <v>273</v>
      </c>
      <c r="B273" s="12" t="s">
        <v>4508</v>
      </c>
      <c r="C273" s="289"/>
      <c r="D273" s="9" t="s">
        <v>5143</v>
      </c>
      <c r="E273" s="285"/>
      <c r="F273" s="73"/>
      <c r="G273" s="285" t="s">
        <v>4877</v>
      </c>
      <c r="H273" s="37" t="s">
        <v>2207</v>
      </c>
      <c r="I273" s="285"/>
      <c r="J273" s="285" t="s">
        <v>10729</v>
      </c>
      <c r="K273" s="14" t="s">
        <v>10730</v>
      </c>
      <c r="L273" s="22" t="s">
        <v>10731</v>
      </c>
      <c r="M273" s="15">
        <v>41873</v>
      </c>
      <c r="N273" s="16">
        <v>1</v>
      </c>
      <c r="O273" s="40">
        <v>80398</v>
      </c>
      <c r="P273" s="40">
        <v>4454.2</v>
      </c>
      <c r="Q273" s="40">
        <f t="shared" si="5"/>
        <v>75943.8</v>
      </c>
      <c r="R273" s="285" t="s">
        <v>4506</v>
      </c>
      <c r="S273" s="15">
        <v>41222</v>
      </c>
      <c r="T273" s="22" t="s">
        <v>4507</v>
      </c>
    </row>
    <row r="274" spans="1:21" ht="174.75" customHeight="1" x14ac:dyDescent="0.2">
      <c r="A274" s="289">
        <v>274</v>
      </c>
      <c r="B274" s="12" t="s">
        <v>10589</v>
      </c>
      <c r="C274" s="289"/>
      <c r="D274" s="9" t="s">
        <v>2661</v>
      </c>
      <c r="E274" s="285"/>
      <c r="F274" s="9" t="s">
        <v>7255</v>
      </c>
      <c r="G274" s="285" t="s">
        <v>10465</v>
      </c>
      <c r="H274" s="285" t="s">
        <v>2207</v>
      </c>
      <c r="I274" s="285"/>
      <c r="J274" s="37" t="s">
        <v>3136</v>
      </c>
      <c r="K274" s="14" t="s">
        <v>10585</v>
      </c>
      <c r="L274" s="22" t="s">
        <v>10586</v>
      </c>
      <c r="M274" s="15">
        <v>41821</v>
      </c>
      <c r="N274" s="16">
        <v>2</v>
      </c>
      <c r="O274" s="40">
        <v>30918.84</v>
      </c>
      <c r="P274" s="40">
        <v>30918.84</v>
      </c>
      <c r="Q274" s="40">
        <f t="shared" si="5"/>
        <v>0</v>
      </c>
      <c r="R274" s="285" t="s">
        <v>3132</v>
      </c>
      <c r="S274" s="15">
        <v>41737</v>
      </c>
      <c r="T274" s="285">
        <v>691</v>
      </c>
    </row>
    <row r="275" spans="1:21" ht="65.25" customHeight="1" x14ac:dyDescent="0.2">
      <c r="A275" s="289">
        <v>275</v>
      </c>
      <c r="B275" s="42" t="s">
        <v>5721</v>
      </c>
      <c r="C275" s="289"/>
      <c r="D275" s="46" t="s">
        <v>5614</v>
      </c>
      <c r="E275" s="49">
        <v>2014</v>
      </c>
      <c r="F275" s="73" t="s">
        <v>7105</v>
      </c>
      <c r="G275" s="285" t="s">
        <v>7934</v>
      </c>
      <c r="H275" s="49" t="s">
        <v>5127</v>
      </c>
      <c r="I275" s="285"/>
      <c r="J275" s="71" t="s">
        <v>3136</v>
      </c>
      <c r="K275" s="15">
        <v>41900</v>
      </c>
      <c r="L275" s="289">
        <v>831</v>
      </c>
      <c r="M275" s="51">
        <v>41843</v>
      </c>
      <c r="N275" s="120">
        <v>1</v>
      </c>
      <c r="O275" s="100">
        <v>5160</v>
      </c>
      <c r="P275" s="100">
        <v>5160</v>
      </c>
      <c r="Q275" s="40">
        <f t="shared" si="5"/>
        <v>0</v>
      </c>
      <c r="R275" s="285" t="s">
        <v>3648</v>
      </c>
      <c r="S275" s="51">
        <v>41731</v>
      </c>
      <c r="T275" s="49" t="s">
        <v>1029</v>
      </c>
    </row>
    <row r="276" spans="1:21" ht="171.75" customHeight="1" x14ac:dyDescent="0.2">
      <c r="A276" s="289">
        <v>276</v>
      </c>
      <c r="B276" s="42" t="s">
        <v>33</v>
      </c>
      <c r="C276" s="289" t="s">
        <v>6389</v>
      </c>
      <c r="D276" s="9" t="s">
        <v>2294</v>
      </c>
      <c r="E276" s="285"/>
      <c r="F276" s="9"/>
      <c r="G276" s="285" t="s">
        <v>3090</v>
      </c>
      <c r="H276" s="49" t="s">
        <v>5127</v>
      </c>
      <c r="I276" s="285"/>
      <c r="J276" s="285" t="s">
        <v>3686</v>
      </c>
      <c r="K276" s="182" t="s">
        <v>12382</v>
      </c>
      <c r="L276" s="183" t="s">
        <v>12383</v>
      </c>
      <c r="M276" s="289"/>
      <c r="N276" s="16"/>
      <c r="O276" s="40">
        <f>1005375.85+956.92+800+1079.75+672+2070.85+4155.2+290+2760+191.72+342.3+162+1296.18+76840.78+16799.04+594+300+2792.73+274.56+12479.1+1714.3+2153.63+86.92+30000+616.25+1240.23+350+4100+506.55+89.49+2262.55+816.5+2489.8+320+75.88+226.11+400.21+30000+816.5+871.2+55064.54-816.5+76.02+1853+2198.85+246.4+320+18600.21-2198.85-246.4+300+72.19+876.98+109.25+770+236.99+1261.55+325.87+1181.92+1000+30000+651.08+2384.08+4048.82+9300+109.21+70.41+89.7+36.98+906.5+724.5+660+325+1848.38+30000+50+266.66+250+1946+544.05+900-36.98-906.5-724.5-660-325+249.52+474.25+158.19+7035.41+617.5+161.84+151.62+85.56-1831.96-6433.13+151.62+83.83+1096.13+2305.16+612.3+253.52+30000+408+242+594.38+550.36+300+1000+151.62+86.29+86.29+75.81+408+297.19+550.36+242+333.33+5087.05+296-7722.04+1500.53+151.6+83.6+7480.63+285.7+888.89+90+143.72+85.71+4000+36000+344.77+425-5449.24+143.72+85.16+313.5+359.24+350.9+443+358+683+310.31+1340+572.28+321.35-30431.66-4631.66+143.72+85.16+1000+1000+1000+1000+2278+173.66+376+36000+376+311.05+768+268.75+268.75+268.75+468.98+293.36+143.74+85.19+888.89+360.56+324-35236.27+309.57+416.4+700+144.4+81.85+300+500+300+1576.92+500-27235.95+660+397.36+433.17+18.25+18.25+24.5+18.25+318.66+318.65+318.65+375.48+269.67+318.7+319.84+1000+144.42+81.86-15636.23+10526+5616.99+7740+251.51+233.91+534.83+83.75+49652+9118+4000-44463.71+60000+7436.46+342.49+422.78+1035.49+367.97+385.33+15131.56+87.74+58.62+482.69+1031.09+905.49+900+5129.51+15682</f>
        <v>1559797.0200000005</v>
      </c>
      <c r="P276" s="40">
        <f>O276</f>
        <v>1559797.0200000005</v>
      </c>
      <c r="Q276" s="40">
        <f t="shared" si="5"/>
        <v>0</v>
      </c>
      <c r="R276" s="161" t="s">
        <v>10682</v>
      </c>
      <c r="S276" s="181" t="s">
        <v>12307</v>
      </c>
      <c r="T276" s="184" t="s">
        <v>12308</v>
      </c>
      <c r="U276" s="157"/>
    </row>
    <row r="277" spans="1:21" ht="67.5" customHeight="1" x14ac:dyDescent="0.2">
      <c r="A277" s="289">
        <v>277</v>
      </c>
      <c r="B277" s="42" t="s">
        <v>34</v>
      </c>
      <c r="C277" s="289"/>
      <c r="D277" s="9" t="s">
        <v>7106</v>
      </c>
      <c r="E277" s="49">
        <v>2013</v>
      </c>
      <c r="F277" s="9" t="s">
        <v>7107</v>
      </c>
      <c r="G277" s="285" t="s">
        <v>7934</v>
      </c>
      <c r="H277" s="49" t="s">
        <v>5127</v>
      </c>
      <c r="I277" s="289"/>
      <c r="J277" s="285" t="s">
        <v>3136</v>
      </c>
      <c r="K277" s="53">
        <v>41922</v>
      </c>
      <c r="L277" s="119" t="s">
        <v>3416</v>
      </c>
      <c r="M277" s="15">
        <v>41493</v>
      </c>
      <c r="N277" s="16">
        <v>1</v>
      </c>
      <c r="O277" s="40">
        <v>4520</v>
      </c>
      <c r="P277" s="40">
        <v>4520</v>
      </c>
      <c r="Q277" s="40">
        <f t="shared" si="5"/>
        <v>0</v>
      </c>
      <c r="R277" s="14" t="s">
        <v>5377</v>
      </c>
      <c r="S277" s="15">
        <v>41493</v>
      </c>
      <c r="T277" s="285" t="s">
        <v>1029</v>
      </c>
    </row>
    <row r="278" spans="1:21" ht="67.5" customHeight="1" x14ac:dyDescent="0.2">
      <c r="A278" s="289">
        <v>278</v>
      </c>
      <c r="B278" s="42" t="s">
        <v>35</v>
      </c>
      <c r="C278" s="289"/>
      <c r="D278" s="9" t="s">
        <v>7108</v>
      </c>
      <c r="E278" s="49">
        <v>2013</v>
      </c>
      <c r="F278" s="9" t="s">
        <v>2650</v>
      </c>
      <c r="G278" s="285" t="s">
        <v>7934</v>
      </c>
      <c r="H278" s="49" t="s">
        <v>5127</v>
      </c>
      <c r="I278" s="289"/>
      <c r="J278" s="285" t="s">
        <v>3136</v>
      </c>
      <c r="K278" s="53">
        <v>41922</v>
      </c>
      <c r="L278" s="119" t="s">
        <v>3416</v>
      </c>
      <c r="M278" s="15">
        <v>41554</v>
      </c>
      <c r="N278" s="16">
        <v>1</v>
      </c>
      <c r="O278" s="40">
        <v>14460</v>
      </c>
      <c r="P278" s="40">
        <v>14460</v>
      </c>
      <c r="Q278" s="40">
        <f t="shared" si="5"/>
        <v>0</v>
      </c>
      <c r="R278" s="14" t="s">
        <v>5377</v>
      </c>
      <c r="S278" s="15">
        <v>41554</v>
      </c>
      <c r="T278" s="285" t="s">
        <v>1029</v>
      </c>
    </row>
    <row r="279" spans="1:21" ht="67.5" customHeight="1" x14ac:dyDescent="0.2">
      <c r="A279" s="289">
        <v>279</v>
      </c>
      <c r="B279" s="12" t="s">
        <v>2421</v>
      </c>
      <c r="C279" s="289"/>
      <c r="D279" s="9" t="s">
        <v>5142</v>
      </c>
      <c r="E279" s="49">
        <v>2013</v>
      </c>
      <c r="F279" s="9" t="s">
        <v>5141</v>
      </c>
      <c r="G279" s="285" t="s">
        <v>7934</v>
      </c>
      <c r="H279" s="285" t="s">
        <v>5127</v>
      </c>
      <c r="I279" s="289"/>
      <c r="J279" s="285" t="s">
        <v>3136</v>
      </c>
      <c r="K279" s="14">
        <v>41922</v>
      </c>
      <c r="L279" s="22" t="s">
        <v>3416</v>
      </c>
      <c r="M279" s="15">
        <v>41333</v>
      </c>
      <c r="N279" s="16">
        <v>1</v>
      </c>
      <c r="O279" s="40">
        <v>10000</v>
      </c>
      <c r="P279" s="40">
        <v>10000</v>
      </c>
      <c r="Q279" s="40">
        <f t="shared" si="5"/>
        <v>0</v>
      </c>
      <c r="R279" s="14" t="s">
        <v>5377</v>
      </c>
      <c r="S279" s="15">
        <v>41355</v>
      </c>
      <c r="T279" s="285" t="s">
        <v>1029</v>
      </c>
    </row>
    <row r="280" spans="1:21" ht="67.5" customHeight="1" x14ac:dyDescent="0.2">
      <c r="A280" s="289">
        <v>280</v>
      </c>
      <c r="B280" s="42" t="s">
        <v>5767</v>
      </c>
      <c r="C280" s="289"/>
      <c r="D280" s="9" t="s">
        <v>5751</v>
      </c>
      <c r="E280" s="285">
        <v>2014</v>
      </c>
      <c r="F280" s="9" t="s">
        <v>6781</v>
      </c>
      <c r="G280" s="285" t="s">
        <v>7979</v>
      </c>
      <c r="H280" s="49" t="s">
        <v>5127</v>
      </c>
      <c r="I280" s="18"/>
      <c r="J280" s="285" t="s">
        <v>3136</v>
      </c>
      <c r="K280" s="15">
        <v>41922</v>
      </c>
      <c r="L280" s="12" t="s">
        <v>3446</v>
      </c>
      <c r="M280" s="15">
        <v>41439</v>
      </c>
      <c r="N280" s="16">
        <v>1</v>
      </c>
      <c r="O280" s="40">
        <v>6000</v>
      </c>
      <c r="P280" s="40">
        <v>6000</v>
      </c>
      <c r="Q280" s="40">
        <f t="shared" si="5"/>
        <v>0</v>
      </c>
      <c r="R280" s="285" t="s">
        <v>574</v>
      </c>
      <c r="S280" s="15">
        <v>41439</v>
      </c>
      <c r="T280" s="285" t="s">
        <v>3447</v>
      </c>
    </row>
    <row r="281" spans="1:21" ht="67.5" customHeight="1" x14ac:dyDescent="0.2">
      <c r="A281" s="289">
        <v>281</v>
      </c>
      <c r="B281" s="12" t="s">
        <v>5768</v>
      </c>
      <c r="C281" s="289"/>
      <c r="D281" s="9" t="s">
        <v>4869</v>
      </c>
      <c r="E281" s="285">
        <v>2014</v>
      </c>
      <c r="F281" s="9" t="s">
        <v>6782</v>
      </c>
      <c r="G281" s="285" t="s">
        <v>7979</v>
      </c>
      <c r="H281" s="285" t="s">
        <v>5127</v>
      </c>
      <c r="I281" s="18"/>
      <c r="J281" s="285" t="s">
        <v>3136</v>
      </c>
      <c r="K281" s="15">
        <v>41922</v>
      </c>
      <c r="L281" s="12" t="s">
        <v>3446</v>
      </c>
      <c r="M281" s="15">
        <v>41506</v>
      </c>
      <c r="N281" s="16">
        <v>1</v>
      </c>
      <c r="O281" s="40">
        <v>9000</v>
      </c>
      <c r="P281" s="40">
        <v>9000</v>
      </c>
      <c r="Q281" s="40">
        <f t="shared" si="5"/>
        <v>0</v>
      </c>
      <c r="R281" s="285" t="s">
        <v>5200</v>
      </c>
      <c r="S281" s="15">
        <v>41506</v>
      </c>
      <c r="T281" s="285">
        <v>2820130139</v>
      </c>
    </row>
    <row r="282" spans="1:21" ht="67.5" customHeight="1" x14ac:dyDescent="0.2">
      <c r="A282" s="289">
        <v>282</v>
      </c>
      <c r="B282" s="42" t="s">
        <v>5769</v>
      </c>
      <c r="C282" s="289"/>
      <c r="D282" s="9" t="s">
        <v>2970</v>
      </c>
      <c r="E282" s="285">
        <v>2013</v>
      </c>
      <c r="F282" s="9" t="s">
        <v>4582</v>
      </c>
      <c r="G282" s="285" t="s">
        <v>792</v>
      </c>
      <c r="H282" s="49" t="s">
        <v>5127</v>
      </c>
      <c r="I282" s="18"/>
      <c r="J282" s="285" t="s">
        <v>3136</v>
      </c>
      <c r="K282" s="15">
        <v>41922</v>
      </c>
      <c r="L282" s="12" t="s">
        <v>214</v>
      </c>
      <c r="M282" s="15">
        <v>41631</v>
      </c>
      <c r="N282" s="16">
        <v>1</v>
      </c>
      <c r="O282" s="40">
        <v>5723</v>
      </c>
      <c r="P282" s="40">
        <v>5723</v>
      </c>
      <c r="Q282" s="40">
        <f t="shared" si="5"/>
        <v>0</v>
      </c>
      <c r="R282" s="285" t="s">
        <v>4689</v>
      </c>
      <c r="S282" s="15">
        <v>41631</v>
      </c>
      <c r="T282" s="285" t="s">
        <v>4690</v>
      </c>
    </row>
    <row r="283" spans="1:21" ht="67.5" customHeight="1" x14ac:dyDescent="0.2">
      <c r="A283" s="289">
        <v>285</v>
      </c>
      <c r="B283" s="42" t="s">
        <v>1405</v>
      </c>
      <c r="C283" s="289"/>
      <c r="D283" s="9" t="s">
        <v>5833</v>
      </c>
      <c r="E283" s="285">
        <v>2013</v>
      </c>
      <c r="F283" s="9" t="s">
        <v>5834</v>
      </c>
      <c r="G283" s="285" t="s">
        <v>792</v>
      </c>
      <c r="H283" s="49" t="s">
        <v>5127</v>
      </c>
      <c r="I283" s="18"/>
      <c r="J283" s="285" t="s">
        <v>3136</v>
      </c>
      <c r="K283" s="15">
        <v>41922</v>
      </c>
      <c r="L283" s="12" t="s">
        <v>214</v>
      </c>
      <c r="M283" s="15">
        <v>41631</v>
      </c>
      <c r="N283" s="16">
        <v>1</v>
      </c>
      <c r="O283" s="40">
        <v>11588</v>
      </c>
      <c r="P283" s="40">
        <v>11588</v>
      </c>
      <c r="Q283" s="40">
        <f t="shared" si="5"/>
        <v>0</v>
      </c>
      <c r="R283" s="285" t="s">
        <v>4689</v>
      </c>
      <c r="S283" s="15">
        <v>41631</v>
      </c>
      <c r="T283" s="285" t="s">
        <v>6025</v>
      </c>
    </row>
    <row r="284" spans="1:21" ht="67.5" customHeight="1" x14ac:dyDescent="0.2">
      <c r="A284" s="289">
        <v>287</v>
      </c>
      <c r="B284" s="42" t="s">
        <v>5985</v>
      </c>
      <c r="C284" s="289"/>
      <c r="D284" s="9" t="s">
        <v>5835</v>
      </c>
      <c r="E284" s="285">
        <v>2013</v>
      </c>
      <c r="F284" s="9" t="s">
        <v>5836</v>
      </c>
      <c r="G284" s="285" t="s">
        <v>792</v>
      </c>
      <c r="H284" s="49" t="s">
        <v>5127</v>
      </c>
      <c r="I284" s="18"/>
      <c r="J284" s="285" t="s">
        <v>3136</v>
      </c>
      <c r="K284" s="15">
        <v>41922</v>
      </c>
      <c r="L284" s="12" t="s">
        <v>214</v>
      </c>
      <c r="M284" s="15">
        <v>41631</v>
      </c>
      <c r="N284" s="16">
        <v>1</v>
      </c>
      <c r="O284" s="40">
        <v>4718</v>
      </c>
      <c r="P284" s="40">
        <v>4718</v>
      </c>
      <c r="Q284" s="40">
        <f t="shared" si="5"/>
        <v>0</v>
      </c>
      <c r="R284" s="285" t="s">
        <v>4689</v>
      </c>
      <c r="S284" s="15">
        <v>41631</v>
      </c>
      <c r="T284" s="285" t="s">
        <v>4690</v>
      </c>
    </row>
    <row r="285" spans="1:21" ht="67.5" customHeight="1" x14ac:dyDescent="0.2">
      <c r="A285" s="289">
        <v>288</v>
      </c>
      <c r="B285" s="42" t="s">
        <v>2710</v>
      </c>
      <c r="C285" s="289"/>
      <c r="D285" s="9" t="s">
        <v>2117</v>
      </c>
      <c r="E285" s="285">
        <v>2013</v>
      </c>
      <c r="F285" s="9" t="s">
        <v>3521</v>
      </c>
      <c r="G285" s="285" t="s">
        <v>792</v>
      </c>
      <c r="H285" s="49" t="s">
        <v>5127</v>
      </c>
      <c r="I285" s="18"/>
      <c r="J285" s="285" t="s">
        <v>3136</v>
      </c>
      <c r="K285" s="15">
        <v>41922</v>
      </c>
      <c r="L285" s="12" t="s">
        <v>214</v>
      </c>
      <c r="M285" s="15">
        <v>41631</v>
      </c>
      <c r="N285" s="16">
        <v>1</v>
      </c>
      <c r="O285" s="40">
        <v>6633</v>
      </c>
      <c r="P285" s="40">
        <v>6633</v>
      </c>
      <c r="Q285" s="40">
        <f t="shared" si="5"/>
        <v>0</v>
      </c>
      <c r="R285" s="285" t="s">
        <v>4689</v>
      </c>
      <c r="S285" s="15">
        <v>41631</v>
      </c>
      <c r="T285" s="285" t="s">
        <v>4690</v>
      </c>
    </row>
    <row r="286" spans="1:21" ht="67.5" customHeight="1" x14ac:dyDescent="0.2">
      <c r="A286" s="289">
        <v>289</v>
      </c>
      <c r="B286" s="42" t="s">
        <v>299</v>
      </c>
      <c r="C286" s="289"/>
      <c r="D286" s="9" t="s">
        <v>3522</v>
      </c>
      <c r="E286" s="285">
        <v>2013</v>
      </c>
      <c r="F286" s="9" t="s">
        <v>3523</v>
      </c>
      <c r="G286" s="285" t="s">
        <v>792</v>
      </c>
      <c r="H286" s="49" t="s">
        <v>5127</v>
      </c>
      <c r="I286" s="18"/>
      <c r="J286" s="285" t="s">
        <v>3136</v>
      </c>
      <c r="K286" s="15">
        <v>41922</v>
      </c>
      <c r="L286" s="12" t="s">
        <v>214</v>
      </c>
      <c r="M286" s="15">
        <v>41631</v>
      </c>
      <c r="N286" s="16">
        <v>1</v>
      </c>
      <c r="O286" s="40">
        <v>6048</v>
      </c>
      <c r="P286" s="40">
        <v>6048</v>
      </c>
      <c r="Q286" s="40">
        <f t="shared" si="5"/>
        <v>0</v>
      </c>
      <c r="R286" s="285" t="s">
        <v>4689</v>
      </c>
      <c r="S286" s="15">
        <v>41631</v>
      </c>
      <c r="T286" s="285" t="s">
        <v>4690</v>
      </c>
    </row>
    <row r="287" spans="1:21" ht="67.5" customHeight="1" x14ac:dyDescent="0.2">
      <c r="A287" s="289">
        <v>290</v>
      </c>
      <c r="B287" s="42" t="s">
        <v>300</v>
      </c>
      <c r="C287" s="289"/>
      <c r="D287" s="46" t="s">
        <v>1509</v>
      </c>
      <c r="E287" s="285">
        <v>2013</v>
      </c>
      <c r="F287" s="9" t="s">
        <v>1510</v>
      </c>
      <c r="G287" s="285" t="s">
        <v>792</v>
      </c>
      <c r="H287" s="49" t="s">
        <v>5127</v>
      </c>
      <c r="I287" s="18"/>
      <c r="J287" s="285" t="s">
        <v>3136</v>
      </c>
      <c r="K287" s="15">
        <v>41922</v>
      </c>
      <c r="L287" s="12" t="s">
        <v>214</v>
      </c>
      <c r="M287" s="15">
        <v>41631</v>
      </c>
      <c r="N287" s="16">
        <v>1</v>
      </c>
      <c r="O287" s="40">
        <v>11123</v>
      </c>
      <c r="P287" s="40">
        <v>11123</v>
      </c>
      <c r="Q287" s="40">
        <f t="shared" si="5"/>
        <v>0</v>
      </c>
      <c r="R287" s="285" t="s">
        <v>4689</v>
      </c>
      <c r="S287" s="15">
        <v>41631</v>
      </c>
      <c r="T287" s="285" t="s">
        <v>4690</v>
      </c>
    </row>
    <row r="288" spans="1:21" s="39" customFormat="1" ht="67.5" customHeight="1" x14ac:dyDescent="0.2">
      <c r="A288" s="289">
        <v>291</v>
      </c>
      <c r="B288" s="12" t="s">
        <v>301</v>
      </c>
      <c r="C288" s="289"/>
      <c r="D288" s="13" t="s">
        <v>1511</v>
      </c>
      <c r="E288" s="285">
        <v>2013</v>
      </c>
      <c r="F288" s="13" t="s">
        <v>4123</v>
      </c>
      <c r="G288" s="285" t="s">
        <v>792</v>
      </c>
      <c r="H288" s="285" t="s">
        <v>5127</v>
      </c>
      <c r="I288" s="289"/>
      <c r="J288" s="285" t="s">
        <v>3136</v>
      </c>
      <c r="K288" s="15">
        <v>41922</v>
      </c>
      <c r="L288" s="12" t="s">
        <v>214</v>
      </c>
      <c r="M288" s="15">
        <v>41631</v>
      </c>
      <c r="N288" s="16">
        <v>1</v>
      </c>
      <c r="O288" s="40">
        <v>4392</v>
      </c>
      <c r="P288" s="40">
        <v>4392</v>
      </c>
      <c r="Q288" s="40">
        <f t="shared" si="5"/>
        <v>0</v>
      </c>
      <c r="R288" s="285" t="s">
        <v>4689</v>
      </c>
      <c r="S288" s="15">
        <v>41631</v>
      </c>
      <c r="T288" s="285" t="s">
        <v>6025</v>
      </c>
    </row>
    <row r="289" spans="1:20" s="39" customFormat="1" ht="67.5" customHeight="1" x14ac:dyDescent="0.2">
      <c r="A289" s="289">
        <v>292</v>
      </c>
      <c r="B289" s="289" t="s">
        <v>77</v>
      </c>
      <c r="C289" s="289"/>
      <c r="D289" s="9" t="s">
        <v>2495</v>
      </c>
      <c r="E289" s="285">
        <v>2013</v>
      </c>
      <c r="F289" s="13" t="s">
        <v>2496</v>
      </c>
      <c r="G289" s="285" t="s">
        <v>792</v>
      </c>
      <c r="H289" s="285" t="s">
        <v>5127</v>
      </c>
      <c r="I289" s="289"/>
      <c r="J289" s="285" t="s">
        <v>3136</v>
      </c>
      <c r="K289" s="15">
        <v>41922</v>
      </c>
      <c r="L289" s="12" t="s">
        <v>214</v>
      </c>
      <c r="M289" s="15">
        <v>41631</v>
      </c>
      <c r="N289" s="16">
        <v>1</v>
      </c>
      <c r="O289" s="40">
        <v>3765</v>
      </c>
      <c r="P289" s="40">
        <v>3765</v>
      </c>
      <c r="Q289" s="40">
        <f t="shared" si="5"/>
        <v>0</v>
      </c>
      <c r="R289" s="285" t="s">
        <v>4689</v>
      </c>
      <c r="S289" s="15">
        <v>41631</v>
      </c>
      <c r="T289" s="285" t="s">
        <v>4690</v>
      </c>
    </row>
    <row r="290" spans="1:20" s="39" customFormat="1" ht="67.5" customHeight="1" x14ac:dyDescent="0.2">
      <c r="A290" s="289">
        <v>293</v>
      </c>
      <c r="B290" s="289" t="s">
        <v>6202</v>
      </c>
      <c r="C290" s="289"/>
      <c r="D290" s="9" t="s">
        <v>2497</v>
      </c>
      <c r="E290" s="285">
        <v>2013</v>
      </c>
      <c r="F290" s="13" t="s">
        <v>2498</v>
      </c>
      <c r="G290" s="285" t="s">
        <v>792</v>
      </c>
      <c r="H290" s="285" t="s">
        <v>5127</v>
      </c>
      <c r="I290" s="289"/>
      <c r="J290" s="285" t="s">
        <v>3136</v>
      </c>
      <c r="K290" s="15">
        <v>41922</v>
      </c>
      <c r="L290" s="12" t="s">
        <v>214</v>
      </c>
      <c r="M290" s="15">
        <v>41631</v>
      </c>
      <c r="N290" s="16">
        <v>1</v>
      </c>
      <c r="O290" s="40">
        <v>5922</v>
      </c>
      <c r="P290" s="40">
        <v>5922</v>
      </c>
      <c r="Q290" s="40">
        <f t="shared" ref="Q290:Q318" si="6">O290-P290</f>
        <v>0</v>
      </c>
      <c r="R290" s="285" t="s">
        <v>4689</v>
      </c>
      <c r="S290" s="15">
        <v>41631</v>
      </c>
      <c r="T290" s="285" t="s">
        <v>4690</v>
      </c>
    </row>
    <row r="291" spans="1:20" s="39" customFormat="1" ht="67.5" customHeight="1" x14ac:dyDescent="0.2">
      <c r="A291" s="289">
        <v>294</v>
      </c>
      <c r="B291" s="289" t="s">
        <v>6203</v>
      </c>
      <c r="C291" s="289"/>
      <c r="D291" s="13" t="s">
        <v>709</v>
      </c>
      <c r="E291" s="285">
        <v>2013</v>
      </c>
      <c r="F291" s="9" t="s">
        <v>710</v>
      </c>
      <c r="G291" s="285" t="s">
        <v>792</v>
      </c>
      <c r="H291" s="285" t="s">
        <v>5127</v>
      </c>
      <c r="I291" s="289"/>
      <c r="J291" s="285" t="s">
        <v>3136</v>
      </c>
      <c r="K291" s="15">
        <v>41922</v>
      </c>
      <c r="L291" s="12" t="s">
        <v>214</v>
      </c>
      <c r="M291" s="15">
        <v>41631</v>
      </c>
      <c r="N291" s="16">
        <v>1</v>
      </c>
      <c r="O291" s="40">
        <v>18258</v>
      </c>
      <c r="P291" s="40">
        <v>18258</v>
      </c>
      <c r="Q291" s="40">
        <f t="shared" si="6"/>
        <v>0</v>
      </c>
      <c r="R291" s="285" t="s">
        <v>4689</v>
      </c>
      <c r="S291" s="15">
        <v>41631</v>
      </c>
      <c r="T291" s="285" t="s">
        <v>4690</v>
      </c>
    </row>
    <row r="292" spans="1:20" s="39" customFormat="1" ht="67.5" customHeight="1" x14ac:dyDescent="0.2">
      <c r="A292" s="289">
        <v>295</v>
      </c>
      <c r="B292" s="30" t="s">
        <v>6204</v>
      </c>
      <c r="C292" s="289"/>
      <c r="D292" s="46" t="s">
        <v>4887</v>
      </c>
      <c r="E292" s="49">
        <v>2013</v>
      </c>
      <c r="F292" s="46" t="s">
        <v>4888</v>
      </c>
      <c r="G292" s="49" t="s">
        <v>792</v>
      </c>
      <c r="H292" s="49" t="s">
        <v>5127</v>
      </c>
      <c r="I292" s="30"/>
      <c r="J292" s="49" t="s">
        <v>3136</v>
      </c>
      <c r="K292" s="15">
        <v>41922</v>
      </c>
      <c r="L292" s="12" t="s">
        <v>214</v>
      </c>
      <c r="M292" s="51">
        <v>41631</v>
      </c>
      <c r="N292" s="120">
        <v>1</v>
      </c>
      <c r="O292" s="100">
        <v>6771</v>
      </c>
      <c r="P292" s="100">
        <v>6771</v>
      </c>
      <c r="Q292" s="40">
        <f t="shared" si="6"/>
        <v>0</v>
      </c>
      <c r="R292" s="49" t="s">
        <v>4689</v>
      </c>
      <c r="S292" s="51">
        <v>41631</v>
      </c>
      <c r="T292" s="49" t="s">
        <v>4690</v>
      </c>
    </row>
    <row r="293" spans="1:20" ht="67.5" customHeight="1" x14ac:dyDescent="0.2">
      <c r="A293" s="289">
        <v>296</v>
      </c>
      <c r="B293" s="289" t="s">
        <v>4760</v>
      </c>
      <c r="C293" s="289"/>
      <c r="D293" s="9" t="s">
        <v>2724</v>
      </c>
      <c r="E293" s="285">
        <v>2013</v>
      </c>
      <c r="F293" s="9" t="s">
        <v>6665</v>
      </c>
      <c r="G293" s="285" t="s">
        <v>6266</v>
      </c>
      <c r="H293" s="285" t="s">
        <v>5127</v>
      </c>
      <c r="I293" s="289"/>
      <c r="J293" s="285" t="s">
        <v>3136</v>
      </c>
      <c r="K293" s="15">
        <v>41928</v>
      </c>
      <c r="L293" s="12" t="s">
        <v>3206</v>
      </c>
      <c r="M293" s="12" t="s">
        <v>375</v>
      </c>
      <c r="N293" s="16">
        <v>1</v>
      </c>
      <c r="O293" s="40">
        <v>16550</v>
      </c>
      <c r="P293" s="40">
        <v>16550</v>
      </c>
      <c r="Q293" s="40">
        <f t="shared" si="6"/>
        <v>0</v>
      </c>
      <c r="R293" s="285" t="s">
        <v>5345</v>
      </c>
      <c r="S293" s="15">
        <v>41470</v>
      </c>
      <c r="T293" s="285" t="s">
        <v>2725</v>
      </c>
    </row>
    <row r="294" spans="1:20" ht="67.5" customHeight="1" x14ac:dyDescent="0.2">
      <c r="A294" s="289">
        <v>297</v>
      </c>
      <c r="B294" s="20" t="s">
        <v>2726</v>
      </c>
      <c r="C294" s="289"/>
      <c r="D294" s="54" t="s">
        <v>3441</v>
      </c>
      <c r="E294" s="37">
        <v>2013</v>
      </c>
      <c r="F294" s="54" t="s">
        <v>3440</v>
      </c>
      <c r="G294" s="285" t="s">
        <v>6266</v>
      </c>
      <c r="H294" s="37" t="s">
        <v>5127</v>
      </c>
      <c r="I294" s="20"/>
      <c r="J294" s="37" t="s">
        <v>3136</v>
      </c>
      <c r="K294" s="15">
        <v>41928</v>
      </c>
      <c r="L294" s="12" t="s">
        <v>3206</v>
      </c>
      <c r="M294" s="60" t="s">
        <v>376</v>
      </c>
      <c r="N294" s="44">
        <v>1</v>
      </c>
      <c r="O294" s="62">
        <v>3600</v>
      </c>
      <c r="P294" s="62">
        <v>3600</v>
      </c>
      <c r="Q294" s="40">
        <f t="shared" si="6"/>
        <v>0</v>
      </c>
      <c r="R294" s="37" t="s">
        <v>5200</v>
      </c>
      <c r="S294" s="57">
        <v>41306</v>
      </c>
      <c r="T294" s="65" t="s">
        <v>377</v>
      </c>
    </row>
    <row r="295" spans="1:20" ht="67.5" customHeight="1" x14ac:dyDescent="0.2">
      <c r="A295" s="289">
        <v>298</v>
      </c>
      <c r="B295" s="20" t="s">
        <v>520</v>
      </c>
      <c r="C295" s="289"/>
      <c r="D295" s="9" t="s">
        <v>1237</v>
      </c>
      <c r="E295" s="285">
        <v>2014</v>
      </c>
      <c r="F295" s="9" t="s">
        <v>6783</v>
      </c>
      <c r="G295" s="285" t="s">
        <v>7979</v>
      </c>
      <c r="H295" s="37" t="s">
        <v>5127</v>
      </c>
      <c r="I295" s="18"/>
      <c r="J295" s="285" t="s">
        <v>3136</v>
      </c>
      <c r="K295" s="15">
        <v>41928</v>
      </c>
      <c r="L295" s="12" t="s">
        <v>91</v>
      </c>
      <c r="M295" s="12" t="s">
        <v>2410</v>
      </c>
      <c r="N295" s="16">
        <v>1</v>
      </c>
      <c r="O295" s="40">
        <v>11900</v>
      </c>
      <c r="P295" s="40">
        <v>11900</v>
      </c>
      <c r="Q295" s="40">
        <f t="shared" si="6"/>
        <v>0</v>
      </c>
      <c r="R295" s="285" t="s">
        <v>5200</v>
      </c>
      <c r="S295" s="15">
        <v>41635</v>
      </c>
      <c r="T295" s="285">
        <v>2820130266</v>
      </c>
    </row>
    <row r="296" spans="1:20" s="67" customFormat="1" ht="67.5" customHeight="1" x14ac:dyDescent="0.2">
      <c r="A296" s="289">
        <v>299</v>
      </c>
      <c r="B296" s="60" t="s">
        <v>2409</v>
      </c>
      <c r="C296" s="289"/>
      <c r="D296" s="27" t="s">
        <v>2591</v>
      </c>
      <c r="E296" s="22">
        <v>2014</v>
      </c>
      <c r="F296" s="27" t="s">
        <v>6894</v>
      </c>
      <c r="G296" s="285" t="s">
        <v>515</v>
      </c>
      <c r="H296" s="65" t="s">
        <v>5127</v>
      </c>
      <c r="I296" s="64"/>
      <c r="J296" s="22" t="s">
        <v>3136</v>
      </c>
      <c r="K296" s="12" t="s">
        <v>3208</v>
      </c>
      <c r="L296" s="12" t="s">
        <v>3209</v>
      </c>
      <c r="M296" s="12" t="s">
        <v>2592</v>
      </c>
      <c r="N296" s="40">
        <v>1</v>
      </c>
      <c r="O296" s="40">
        <v>8915</v>
      </c>
      <c r="P296" s="40">
        <v>8915</v>
      </c>
      <c r="Q296" s="40">
        <f t="shared" si="6"/>
        <v>0</v>
      </c>
      <c r="R296" s="22" t="s">
        <v>2616</v>
      </c>
      <c r="S296" s="12" t="s">
        <v>2617</v>
      </c>
      <c r="T296" s="22" t="s">
        <v>2618</v>
      </c>
    </row>
    <row r="297" spans="1:20" ht="71.25" customHeight="1" x14ac:dyDescent="0.2">
      <c r="A297" s="289">
        <v>300</v>
      </c>
      <c r="B297" s="60" t="s">
        <v>2619</v>
      </c>
      <c r="C297" s="289"/>
      <c r="D297" s="9" t="s">
        <v>2227</v>
      </c>
      <c r="E297" s="285">
        <v>2014</v>
      </c>
      <c r="F297" s="9" t="s">
        <v>7109</v>
      </c>
      <c r="G297" s="285" t="s">
        <v>7934</v>
      </c>
      <c r="H297" s="65" t="s">
        <v>5127</v>
      </c>
      <c r="I297" s="64"/>
      <c r="J297" s="22" t="s">
        <v>3136</v>
      </c>
      <c r="K297" s="12" t="s">
        <v>3208</v>
      </c>
      <c r="L297" s="12" t="s">
        <v>1849</v>
      </c>
      <c r="M297" s="15">
        <v>41915</v>
      </c>
      <c r="N297" s="40">
        <v>1</v>
      </c>
      <c r="O297" s="40">
        <v>3500</v>
      </c>
      <c r="P297" s="40">
        <v>3500</v>
      </c>
      <c r="Q297" s="40">
        <f t="shared" si="6"/>
        <v>0</v>
      </c>
      <c r="R297" s="285" t="s">
        <v>5377</v>
      </c>
      <c r="S297" s="15">
        <v>41858</v>
      </c>
      <c r="T297" s="285" t="s">
        <v>1029</v>
      </c>
    </row>
    <row r="298" spans="1:20" ht="71.25" customHeight="1" x14ac:dyDescent="0.2">
      <c r="A298" s="289">
        <v>301</v>
      </c>
      <c r="B298" s="60" t="s">
        <v>2620</v>
      </c>
      <c r="C298" s="289"/>
      <c r="D298" s="9" t="s">
        <v>2227</v>
      </c>
      <c r="E298" s="285">
        <v>2014</v>
      </c>
      <c r="F298" s="9" t="s">
        <v>7110</v>
      </c>
      <c r="G298" s="285" t="s">
        <v>7934</v>
      </c>
      <c r="H298" s="65" t="s">
        <v>5127</v>
      </c>
      <c r="I298" s="64"/>
      <c r="J298" s="22" t="s">
        <v>3136</v>
      </c>
      <c r="K298" s="12" t="s">
        <v>3208</v>
      </c>
      <c r="L298" s="12" t="s">
        <v>1849</v>
      </c>
      <c r="M298" s="15">
        <v>41915</v>
      </c>
      <c r="N298" s="40">
        <v>1</v>
      </c>
      <c r="O298" s="40">
        <v>3500</v>
      </c>
      <c r="P298" s="40">
        <v>3500</v>
      </c>
      <c r="Q298" s="40">
        <f t="shared" si="6"/>
        <v>0</v>
      </c>
      <c r="R298" s="285" t="s">
        <v>5377</v>
      </c>
      <c r="S298" s="15">
        <v>41858</v>
      </c>
      <c r="T298" s="285" t="s">
        <v>1029</v>
      </c>
    </row>
    <row r="299" spans="1:20" ht="71.25" customHeight="1" x14ac:dyDescent="0.2">
      <c r="A299" s="289">
        <v>302</v>
      </c>
      <c r="B299" s="60" t="s">
        <v>2621</v>
      </c>
      <c r="C299" s="289"/>
      <c r="D299" s="9" t="s">
        <v>2227</v>
      </c>
      <c r="E299" s="285">
        <v>2014</v>
      </c>
      <c r="F299" s="9" t="s">
        <v>7111</v>
      </c>
      <c r="G299" s="285" t="s">
        <v>7934</v>
      </c>
      <c r="H299" s="65" t="s">
        <v>5127</v>
      </c>
      <c r="I299" s="64"/>
      <c r="J299" s="22" t="s">
        <v>3136</v>
      </c>
      <c r="K299" s="12" t="s">
        <v>3208</v>
      </c>
      <c r="L299" s="12" t="s">
        <v>1849</v>
      </c>
      <c r="M299" s="15">
        <v>41915</v>
      </c>
      <c r="N299" s="40">
        <v>1</v>
      </c>
      <c r="O299" s="40">
        <v>3500</v>
      </c>
      <c r="P299" s="40">
        <v>3500</v>
      </c>
      <c r="Q299" s="40">
        <f t="shared" si="6"/>
        <v>0</v>
      </c>
      <c r="R299" s="285" t="s">
        <v>5377</v>
      </c>
      <c r="S299" s="15">
        <v>41858</v>
      </c>
      <c r="T299" s="285" t="s">
        <v>1029</v>
      </c>
    </row>
    <row r="300" spans="1:20" ht="71.25" customHeight="1" x14ac:dyDescent="0.2">
      <c r="A300" s="289">
        <v>303</v>
      </c>
      <c r="B300" s="60" t="s">
        <v>2226</v>
      </c>
      <c r="C300" s="289"/>
      <c r="D300" s="9" t="s">
        <v>2228</v>
      </c>
      <c r="E300" s="285">
        <v>2014</v>
      </c>
      <c r="F300" s="9" t="s">
        <v>7112</v>
      </c>
      <c r="G300" s="285" t="s">
        <v>7934</v>
      </c>
      <c r="H300" s="65" t="s">
        <v>5127</v>
      </c>
      <c r="I300" s="64"/>
      <c r="J300" s="22" t="s">
        <v>3136</v>
      </c>
      <c r="K300" s="12" t="s">
        <v>3208</v>
      </c>
      <c r="L300" s="12" t="s">
        <v>1849</v>
      </c>
      <c r="M300" s="15">
        <v>41915</v>
      </c>
      <c r="N300" s="40">
        <v>1</v>
      </c>
      <c r="O300" s="40">
        <v>3100</v>
      </c>
      <c r="P300" s="40">
        <v>3100</v>
      </c>
      <c r="Q300" s="40">
        <f t="shared" si="6"/>
        <v>0</v>
      </c>
      <c r="R300" s="285" t="s">
        <v>5377</v>
      </c>
      <c r="S300" s="15">
        <v>41858</v>
      </c>
      <c r="T300" s="285" t="s">
        <v>1029</v>
      </c>
    </row>
    <row r="301" spans="1:20" s="39" customFormat="1" ht="71.25" customHeight="1" x14ac:dyDescent="0.2">
      <c r="A301" s="289">
        <v>304</v>
      </c>
      <c r="B301" s="289" t="s">
        <v>2229</v>
      </c>
      <c r="C301" s="289"/>
      <c r="D301" s="13" t="s">
        <v>2230</v>
      </c>
      <c r="E301" s="285">
        <v>2014</v>
      </c>
      <c r="F301" s="13" t="s">
        <v>7078</v>
      </c>
      <c r="G301" s="285" t="s">
        <v>7981</v>
      </c>
      <c r="H301" s="65" t="s">
        <v>5127</v>
      </c>
      <c r="I301" s="64"/>
      <c r="J301" s="22" t="s">
        <v>3136</v>
      </c>
      <c r="K301" s="12" t="s">
        <v>3208</v>
      </c>
      <c r="L301" s="289">
        <v>939</v>
      </c>
      <c r="M301" s="12" t="s">
        <v>1968</v>
      </c>
      <c r="N301" s="16">
        <v>1</v>
      </c>
      <c r="O301" s="40">
        <v>5000</v>
      </c>
      <c r="P301" s="40">
        <v>5000</v>
      </c>
      <c r="Q301" s="40">
        <f t="shared" si="6"/>
        <v>0</v>
      </c>
      <c r="R301" s="22" t="s">
        <v>2231</v>
      </c>
      <c r="S301" s="15">
        <v>41635</v>
      </c>
      <c r="T301" s="285">
        <v>2320130256</v>
      </c>
    </row>
    <row r="302" spans="1:20" s="39" customFormat="1" ht="71.25" customHeight="1" x14ac:dyDescent="0.2">
      <c r="A302" s="289">
        <v>305</v>
      </c>
      <c r="B302" s="289" t="s">
        <v>90</v>
      </c>
      <c r="C302" s="289"/>
      <c r="D302" s="13" t="s">
        <v>542</v>
      </c>
      <c r="E302" s="9"/>
      <c r="F302" s="285" t="s">
        <v>11748</v>
      </c>
      <c r="G302" s="285" t="s">
        <v>4877</v>
      </c>
      <c r="H302" s="65" t="s">
        <v>3793</v>
      </c>
      <c r="I302" s="64"/>
      <c r="J302" s="22" t="s">
        <v>3136</v>
      </c>
      <c r="K302" s="15">
        <v>39274</v>
      </c>
      <c r="L302" s="12" t="s">
        <v>3633</v>
      </c>
      <c r="M302" s="12" t="s">
        <v>543</v>
      </c>
      <c r="N302" s="16">
        <v>1</v>
      </c>
      <c r="O302" s="40">
        <v>37236.75</v>
      </c>
      <c r="P302" s="40">
        <v>15489.09</v>
      </c>
      <c r="Q302" s="40">
        <f t="shared" si="6"/>
        <v>21747.66</v>
      </c>
      <c r="R302" s="22"/>
      <c r="S302" s="15"/>
      <c r="T302" s="285"/>
    </row>
    <row r="303" spans="1:20" s="39" customFormat="1" ht="71.25" customHeight="1" x14ac:dyDescent="0.2">
      <c r="A303" s="289">
        <v>306</v>
      </c>
      <c r="B303" s="289" t="s">
        <v>1848</v>
      </c>
      <c r="C303" s="289"/>
      <c r="D303" s="13" t="s">
        <v>542</v>
      </c>
      <c r="E303" s="14">
        <v>37194</v>
      </c>
      <c r="F303" s="285"/>
      <c r="G303" s="285" t="s">
        <v>7982</v>
      </c>
      <c r="H303" s="65" t="s">
        <v>5127</v>
      </c>
      <c r="I303" s="64"/>
      <c r="J303" s="22" t="s">
        <v>9411</v>
      </c>
      <c r="K303" s="15">
        <v>40544</v>
      </c>
      <c r="L303" s="289" t="s">
        <v>1029</v>
      </c>
      <c r="M303" s="15">
        <v>37194</v>
      </c>
      <c r="N303" s="16"/>
      <c r="O303" s="40">
        <v>617.87</v>
      </c>
      <c r="P303" s="40">
        <v>617.87</v>
      </c>
      <c r="Q303" s="40">
        <f t="shared" si="6"/>
        <v>0</v>
      </c>
      <c r="R303" s="22"/>
      <c r="S303" s="15"/>
      <c r="T303" s="285"/>
    </row>
    <row r="304" spans="1:20" s="39" customFormat="1" ht="155.25" customHeight="1" x14ac:dyDescent="0.2">
      <c r="A304" s="289">
        <v>307</v>
      </c>
      <c r="B304" s="289" t="s">
        <v>1353</v>
      </c>
      <c r="C304" s="289"/>
      <c r="D304" s="13" t="s">
        <v>542</v>
      </c>
      <c r="E304" s="14">
        <v>41149</v>
      </c>
      <c r="F304" s="285" t="s">
        <v>10879</v>
      </c>
      <c r="G304" s="285" t="s">
        <v>10465</v>
      </c>
      <c r="H304" s="285" t="s">
        <v>2207</v>
      </c>
      <c r="I304" s="285"/>
      <c r="J304" s="22" t="s">
        <v>3136</v>
      </c>
      <c r="K304" s="14" t="s">
        <v>10877</v>
      </c>
      <c r="L304" s="289" t="s">
        <v>10878</v>
      </c>
      <c r="M304" s="12" t="s">
        <v>2347</v>
      </c>
      <c r="N304" s="16">
        <v>709</v>
      </c>
      <c r="O304" s="40">
        <f>735-1-25</f>
        <v>709</v>
      </c>
      <c r="P304" s="40">
        <v>0</v>
      </c>
      <c r="Q304" s="40">
        <f t="shared" si="6"/>
        <v>709</v>
      </c>
      <c r="R304" s="22" t="s">
        <v>3328</v>
      </c>
      <c r="S304" s="15">
        <v>41792</v>
      </c>
      <c r="T304" s="285"/>
    </row>
    <row r="305" spans="1:20" s="39" customFormat="1" ht="71.25" customHeight="1" x14ac:dyDescent="0.2">
      <c r="A305" s="289">
        <v>308</v>
      </c>
      <c r="B305" s="289" t="s">
        <v>3111</v>
      </c>
      <c r="C305" s="289"/>
      <c r="D305" s="9" t="s">
        <v>676</v>
      </c>
      <c r="E305" s="14">
        <v>33419</v>
      </c>
      <c r="F305" s="285"/>
      <c r="G305" s="285" t="s">
        <v>10465</v>
      </c>
      <c r="H305" s="285" t="s">
        <v>2207</v>
      </c>
      <c r="I305" s="285"/>
      <c r="J305" s="22" t="s">
        <v>3136</v>
      </c>
      <c r="K305" s="15">
        <v>41873</v>
      </c>
      <c r="L305" s="12" t="s">
        <v>3329</v>
      </c>
      <c r="M305" s="12"/>
      <c r="N305" s="16">
        <v>1</v>
      </c>
      <c r="O305" s="40">
        <v>9000</v>
      </c>
      <c r="P305" s="40">
        <v>9000</v>
      </c>
      <c r="Q305" s="40">
        <f t="shared" si="6"/>
        <v>0</v>
      </c>
      <c r="R305" s="22" t="s">
        <v>3686</v>
      </c>
      <c r="S305" s="15">
        <v>40403</v>
      </c>
      <c r="T305" s="285" t="s">
        <v>2320</v>
      </c>
    </row>
    <row r="306" spans="1:20" s="39" customFormat="1" ht="71.25" customHeight="1" x14ac:dyDescent="0.2">
      <c r="A306" s="289">
        <v>309</v>
      </c>
      <c r="B306" s="289" t="s">
        <v>3112</v>
      </c>
      <c r="C306" s="289"/>
      <c r="D306" s="9" t="s">
        <v>3330</v>
      </c>
      <c r="E306" s="14">
        <v>33358</v>
      </c>
      <c r="F306" s="285"/>
      <c r="G306" s="285" t="s">
        <v>10465</v>
      </c>
      <c r="H306" s="285" t="s">
        <v>2207</v>
      </c>
      <c r="I306" s="285"/>
      <c r="J306" s="22" t="s">
        <v>3136</v>
      </c>
      <c r="K306" s="15">
        <v>41873</v>
      </c>
      <c r="L306" s="12" t="s">
        <v>3329</v>
      </c>
      <c r="M306" s="12"/>
      <c r="N306" s="16">
        <v>1</v>
      </c>
      <c r="O306" s="40">
        <v>4500</v>
      </c>
      <c r="P306" s="40">
        <v>4500</v>
      </c>
      <c r="Q306" s="40">
        <f t="shared" si="6"/>
        <v>0</v>
      </c>
      <c r="R306" s="22" t="s">
        <v>3686</v>
      </c>
      <c r="S306" s="15">
        <v>40403</v>
      </c>
      <c r="T306" s="285" t="s">
        <v>2320</v>
      </c>
    </row>
    <row r="307" spans="1:20" s="39" customFormat="1" ht="71.25" customHeight="1" x14ac:dyDescent="0.2">
      <c r="A307" s="289">
        <v>310</v>
      </c>
      <c r="B307" s="289" t="s">
        <v>4098</v>
      </c>
      <c r="C307" s="289"/>
      <c r="D307" s="9" t="s">
        <v>2330</v>
      </c>
      <c r="E307" s="14">
        <v>38686</v>
      </c>
      <c r="F307" s="13" t="s">
        <v>7456</v>
      </c>
      <c r="G307" s="285" t="s">
        <v>4296</v>
      </c>
      <c r="H307" s="22" t="s">
        <v>3793</v>
      </c>
      <c r="I307" s="22"/>
      <c r="J307" s="22" t="s">
        <v>209</v>
      </c>
      <c r="K307" s="14" t="s">
        <v>6236</v>
      </c>
      <c r="L307" s="12" t="s">
        <v>6237</v>
      </c>
      <c r="M307" s="22" t="s">
        <v>6235</v>
      </c>
      <c r="N307" s="16">
        <f>1+2+1-1+1+1</f>
        <v>5</v>
      </c>
      <c r="O307" s="40">
        <f>2502.54+8645.76+3911.02+5033.9-2502.54+6480+8699</f>
        <v>32769.68</v>
      </c>
      <c r="P307" s="40">
        <f>20093.22-2502.54+6480+8699</f>
        <v>32769.68</v>
      </c>
      <c r="Q307" s="40">
        <f t="shared" si="6"/>
        <v>0</v>
      </c>
      <c r="R307" s="22" t="s">
        <v>5071</v>
      </c>
      <c r="S307" s="14" t="s">
        <v>6238</v>
      </c>
      <c r="T307" s="285" t="s">
        <v>6239</v>
      </c>
    </row>
    <row r="308" spans="1:20" s="39" customFormat="1" ht="97.5" customHeight="1" x14ac:dyDescent="0.2">
      <c r="A308" s="289">
        <v>311</v>
      </c>
      <c r="B308" s="289" t="s">
        <v>2771</v>
      </c>
      <c r="C308" s="289"/>
      <c r="D308" s="9" t="s">
        <v>2891</v>
      </c>
      <c r="E308" s="14">
        <v>33511</v>
      </c>
      <c r="F308" s="9" t="s">
        <v>1419</v>
      </c>
      <c r="G308" s="285" t="s">
        <v>4296</v>
      </c>
      <c r="H308" s="22" t="s">
        <v>3793</v>
      </c>
      <c r="I308" s="22"/>
      <c r="J308" s="22" t="s">
        <v>209</v>
      </c>
      <c r="K308" s="14" t="s">
        <v>5420</v>
      </c>
      <c r="L308" s="22" t="s">
        <v>5421</v>
      </c>
      <c r="M308" s="12" t="s">
        <v>2617</v>
      </c>
      <c r="N308" s="16">
        <f>2+136+8+1-2-1-1-1-5</f>
        <v>137</v>
      </c>
      <c r="O308" s="40">
        <f>14300+115483.13+60000+3950-14300-100-14923.04-100-531.25-200</f>
        <v>163578.84</v>
      </c>
      <c r="P308" s="40">
        <f>193733.13-14300-100-14923.04-100-200-531.25</f>
        <v>163578.84</v>
      </c>
      <c r="Q308" s="40">
        <f t="shared" si="6"/>
        <v>0</v>
      </c>
      <c r="R308" s="22" t="s">
        <v>4984</v>
      </c>
      <c r="S308" s="14" t="s">
        <v>4985</v>
      </c>
      <c r="T308" s="22" t="s">
        <v>4986</v>
      </c>
    </row>
    <row r="309" spans="1:20" s="39" customFormat="1" ht="113.25" customHeight="1" x14ac:dyDescent="0.2">
      <c r="A309" s="289">
        <v>312</v>
      </c>
      <c r="B309" s="289" t="s">
        <v>6134</v>
      </c>
      <c r="C309" s="289"/>
      <c r="D309" s="122" t="s">
        <v>1569</v>
      </c>
      <c r="E309" s="14">
        <v>41272</v>
      </c>
      <c r="F309" s="13" t="s">
        <v>3086</v>
      </c>
      <c r="G309" s="285" t="s">
        <v>7934</v>
      </c>
      <c r="H309" s="22" t="s">
        <v>5127</v>
      </c>
      <c r="I309" s="22"/>
      <c r="J309" s="285" t="s">
        <v>3136</v>
      </c>
      <c r="K309" s="15">
        <v>42031</v>
      </c>
      <c r="L309" s="289">
        <v>108</v>
      </c>
      <c r="M309" s="12" t="s">
        <v>3385</v>
      </c>
      <c r="N309" s="40">
        <v>1</v>
      </c>
      <c r="O309" s="40">
        <v>4061</v>
      </c>
      <c r="P309" s="40">
        <v>4061</v>
      </c>
      <c r="Q309" s="40">
        <f t="shared" si="6"/>
        <v>0</v>
      </c>
      <c r="R309" s="285" t="s">
        <v>5662</v>
      </c>
      <c r="S309" s="15">
        <v>41989</v>
      </c>
      <c r="T309" s="285">
        <v>2920140040</v>
      </c>
    </row>
    <row r="310" spans="1:20" s="39" customFormat="1" ht="113.25" customHeight="1" x14ac:dyDescent="0.2">
      <c r="A310" s="289">
        <v>313</v>
      </c>
      <c r="B310" s="30" t="s">
        <v>6135</v>
      </c>
      <c r="C310" s="289"/>
      <c r="D310" s="46" t="s">
        <v>2340</v>
      </c>
      <c r="E310" s="14">
        <v>40057</v>
      </c>
      <c r="F310" s="46" t="s">
        <v>3349</v>
      </c>
      <c r="G310" s="285" t="s">
        <v>7934</v>
      </c>
      <c r="H310" s="119" t="s">
        <v>5127</v>
      </c>
      <c r="I310" s="119"/>
      <c r="J310" s="49" t="s">
        <v>3136</v>
      </c>
      <c r="K310" s="51">
        <v>42031</v>
      </c>
      <c r="L310" s="30">
        <v>108</v>
      </c>
      <c r="M310" s="42" t="s">
        <v>3385</v>
      </c>
      <c r="N310" s="100">
        <v>1</v>
      </c>
      <c r="O310" s="100">
        <v>3131</v>
      </c>
      <c r="P310" s="100">
        <v>3131</v>
      </c>
      <c r="Q310" s="100">
        <f t="shared" si="6"/>
        <v>0</v>
      </c>
      <c r="R310" s="49" t="s">
        <v>5662</v>
      </c>
      <c r="S310" s="51">
        <v>41989</v>
      </c>
      <c r="T310" s="49">
        <v>2920140040</v>
      </c>
    </row>
    <row r="311" spans="1:20" s="289" customFormat="1" ht="113.25" customHeight="1" x14ac:dyDescent="0.2">
      <c r="A311" s="289">
        <v>314</v>
      </c>
      <c r="B311" s="289" t="s">
        <v>6136</v>
      </c>
      <c r="D311" s="9" t="s">
        <v>4472</v>
      </c>
      <c r="E311" s="14">
        <v>39813</v>
      </c>
      <c r="F311" s="9" t="s">
        <v>390</v>
      </c>
      <c r="G311" s="285" t="s">
        <v>4296</v>
      </c>
      <c r="H311" s="22" t="s">
        <v>3793</v>
      </c>
      <c r="I311" s="22"/>
      <c r="J311" s="22" t="s">
        <v>1574</v>
      </c>
      <c r="K311" s="14" t="s">
        <v>1830</v>
      </c>
      <c r="L311" s="12" t="s">
        <v>1831</v>
      </c>
      <c r="M311" s="12"/>
      <c r="N311" s="16">
        <f>23+2-1-1-1-1-1-2</f>
        <v>18</v>
      </c>
      <c r="O311" s="40">
        <f>54267.38+35110-3400-2199-2400-16590-2950-2570</f>
        <v>59268.380000000005</v>
      </c>
      <c r="P311" s="40">
        <f>54267.38+35110-3400-2199-2400-16590-2950-2570</f>
        <v>59268.380000000005</v>
      </c>
      <c r="Q311" s="40">
        <f t="shared" si="6"/>
        <v>0</v>
      </c>
      <c r="R311" s="22" t="s">
        <v>913</v>
      </c>
      <c r="S311" s="15"/>
      <c r="T311" s="22"/>
    </row>
    <row r="312" spans="1:20" s="39" customFormat="1" ht="113.25" customHeight="1" x14ac:dyDescent="0.2">
      <c r="A312" s="289">
        <v>315</v>
      </c>
      <c r="B312" s="20" t="s">
        <v>911</v>
      </c>
      <c r="C312" s="289"/>
      <c r="D312" s="54" t="s">
        <v>4889</v>
      </c>
      <c r="E312" s="14">
        <v>40827</v>
      </c>
      <c r="F312" s="54" t="s">
        <v>4890</v>
      </c>
      <c r="G312" s="285" t="s">
        <v>7977</v>
      </c>
      <c r="H312" s="65" t="s">
        <v>5127</v>
      </c>
      <c r="I312" s="65"/>
      <c r="J312" s="65" t="s">
        <v>3136</v>
      </c>
      <c r="K312" s="57">
        <v>41941</v>
      </c>
      <c r="L312" s="60" t="s">
        <v>4473</v>
      </c>
      <c r="M312" s="57">
        <v>41849</v>
      </c>
      <c r="N312" s="44">
        <v>2</v>
      </c>
      <c r="O312" s="62">
        <v>8400</v>
      </c>
      <c r="P312" s="62">
        <v>8400</v>
      </c>
      <c r="Q312" s="62">
        <f t="shared" si="6"/>
        <v>0</v>
      </c>
      <c r="R312" s="65" t="s">
        <v>3459</v>
      </c>
      <c r="S312" s="57">
        <v>41849</v>
      </c>
      <c r="T312" s="37">
        <v>2720141009</v>
      </c>
    </row>
    <row r="313" spans="1:20" s="39" customFormat="1" ht="113.25" customHeight="1" x14ac:dyDescent="0.2">
      <c r="A313" s="289">
        <v>316</v>
      </c>
      <c r="B313" s="289" t="s">
        <v>914</v>
      </c>
      <c r="C313" s="289"/>
      <c r="D313" s="9" t="s">
        <v>4891</v>
      </c>
      <c r="E313" s="285">
        <v>2014</v>
      </c>
      <c r="F313" s="9" t="s">
        <v>3467</v>
      </c>
      <c r="G313" s="285" t="s">
        <v>7977</v>
      </c>
      <c r="H313" s="22" t="s">
        <v>5127</v>
      </c>
      <c r="I313" s="22"/>
      <c r="J313" s="22" t="s">
        <v>3136</v>
      </c>
      <c r="K313" s="15">
        <v>41941</v>
      </c>
      <c r="L313" s="12" t="s">
        <v>4473</v>
      </c>
      <c r="M313" s="15">
        <v>41849</v>
      </c>
      <c r="N313" s="16">
        <v>1</v>
      </c>
      <c r="O313" s="40">
        <v>4300</v>
      </c>
      <c r="P313" s="40">
        <v>4300</v>
      </c>
      <c r="Q313" s="40">
        <f t="shared" si="6"/>
        <v>0</v>
      </c>
      <c r="R313" s="22" t="s">
        <v>3459</v>
      </c>
      <c r="S313" s="15">
        <v>41849</v>
      </c>
      <c r="T313" s="22" t="s">
        <v>5157</v>
      </c>
    </row>
    <row r="314" spans="1:20" s="39" customFormat="1" ht="113.25" customHeight="1" x14ac:dyDescent="0.2">
      <c r="A314" s="289">
        <v>317</v>
      </c>
      <c r="B314" s="289" t="s">
        <v>5158</v>
      </c>
      <c r="C314" s="289"/>
      <c r="D314" s="9" t="s">
        <v>3457</v>
      </c>
      <c r="E314" s="285">
        <v>2014</v>
      </c>
      <c r="F314" s="9" t="s">
        <v>2276</v>
      </c>
      <c r="G314" s="285" t="s">
        <v>7977</v>
      </c>
      <c r="H314" s="22" t="s">
        <v>5127</v>
      </c>
      <c r="I314" s="22"/>
      <c r="J314" s="22" t="s">
        <v>3136</v>
      </c>
      <c r="K314" s="15">
        <v>41941</v>
      </c>
      <c r="L314" s="12" t="s">
        <v>4473</v>
      </c>
      <c r="M314" s="15">
        <v>41849</v>
      </c>
      <c r="N314" s="16">
        <v>1</v>
      </c>
      <c r="O314" s="40">
        <v>10300</v>
      </c>
      <c r="P314" s="40">
        <v>10300</v>
      </c>
      <c r="Q314" s="40">
        <f t="shared" si="6"/>
        <v>0</v>
      </c>
      <c r="R314" s="22" t="s">
        <v>3459</v>
      </c>
      <c r="S314" s="15">
        <v>41849</v>
      </c>
      <c r="T314" s="22" t="s">
        <v>5157</v>
      </c>
    </row>
    <row r="315" spans="1:20" s="39" customFormat="1" ht="113.25" customHeight="1" x14ac:dyDescent="0.2">
      <c r="A315" s="289">
        <v>318</v>
      </c>
      <c r="B315" s="289" t="s">
        <v>5159</v>
      </c>
      <c r="C315" s="289"/>
      <c r="D315" s="9" t="s">
        <v>1367</v>
      </c>
      <c r="E315" s="285">
        <v>2014</v>
      </c>
      <c r="F315" s="9" t="s">
        <v>5145</v>
      </c>
      <c r="G315" s="285" t="s">
        <v>7977</v>
      </c>
      <c r="H315" s="22" t="s">
        <v>5127</v>
      </c>
      <c r="I315" s="22"/>
      <c r="J315" s="22" t="s">
        <v>3136</v>
      </c>
      <c r="K315" s="15">
        <v>41941</v>
      </c>
      <c r="L315" s="12" t="s">
        <v>4473</v>
      </c>
      <c r="M315" s="15">
        <v>41849</v>
      </c>
      <c r="N315" s="16">
        <v>1</v>
      </c>
      <c r="O315" s="40">
        <v>4500</v>
      </c>
      <c r="P315" s="40">
        <v>4500</v>
      </c>
      <c r="Q315" s="40">
        <f t="shared" si="6"/>
        <v>0</v>
      </c>
      <c r="R315" s="22" t="s">
        <v>3459</v>
      </c>
      <c r="S315" s="15">
        <v>41849</v>
      </c>
      <c r="T315" s="22" t="s">
        <v>5157</v>
      </c>
    </row>
    <row r="316" spans="1:20" s="39" customFormat="1" ht="113.25" customHeight="1" x14ac:dyDescent="0.2">
      <c r="A316" s="289">
        <v>319</v>
      </c>
      <c r="B316" s="289" t="s">
        <v>4607</v>
      </c>
      <c r="C316" s="289"/>
      <c r="D316" s="9" t="s">
        <v>5146</v>
      </c>
      <c r="E316" s="285">
        <v>2014</v>
      </c>
      <c r="F316" s="9" t="s">
        <v>5147</v>
      </c>
      <c r="G316" s="285" t="s">
        <v>7977</v>
      </c>
      <c r="H316" s="22" t="s">
        <v>5127</v>
      </c>
      <c r="I316" s="22"/>
      <c r="J316" s="22" t="s">
        <v>3136</v>
      </c>
      <c r="K316" s="15">
        <v>41941</v>
      </c>
      <c r="L316" s="12" t="s">
        <v>4473</v>
      </c>
      <c r="M316" s="15">
        <v>41849</v>
      </c>
      <c r="N316" s="16">
        <v>1</v>
      </c>
      <c r="O316" s="40">
        <v>5100</v>
      </c>
      <c r="P316" s="40">
        <v>5100</v>
      </c>
      <c r="Q316" s="40">
        <f t="shared" si="6"/>
        <v>0</v>
      </c>
      <c r="R316" s="22" t="s">
        <v>3459</v>
      </c>
      <c r="S316" s="15">
        <v>41849</v>
      </c>
      <c r="T316" s="22" t="s">
        <v>5157</v>
      </c>
    </row>
    <row r="317" spans="1:20" s="39" customFormat="1" ht="113.25" customHeight="1" x14ac:dyDescent="0.2">
      <c r="A317" s="289">
        <v>320</v>
      </c>
      <c r="B317" s="289" t="s">
        <v>4608</v>
      </c>
      <c r="C317" s="289"/>
      <c r="D317" s="9" t="s">
        <v>2277</v>
      </c>
      <c r="E317" s="285">
        <v>2014</v>
      </c>
      <c r="F317" s="9" t="s">
        <v>951</v>
      </c>
      <c r="G317" s="285" t="s">
        <v>7977</v>
      </c>
      <c r="H317" s="22" t="s">
        <v>5127</v>
      </c>
      <c r="I317" s="22"/>
      <c r="J317" s="22" t="s">
        <v>3136</v>
      </c>
      <c r="K317" s="15">
        <v>41941</v>
      </c>
      <c r="L317" s="12" t="s">
        <v>4473</v>
      </c>
      <c r="M317" s="15">
        <v>41849</v>
      </c>
      <c r="N317" s="16">
        <v>1</v>
      </c>
      <c r="O317" s="40">
        <v>19140.150000000001</v>
      </c>
      <c r="P317" s="40">
        <v>19140.150000000001</v>
      </c>
      <c r="Q317" s="40">
        <f t="shared" si="6"/>
        <v>0</v>
      </c>
      <c r="R317" s="22" t="s">
        <v>3459</v>
      </c>
      <c r="S317" s="15">
        <v>41849</v>
      </c>
      <c r="T317" s="22" t="s">
        <v>5157</v>
      </c>
    </row>
    <row r="318" spans="1:20" s="39" customFormat="1" ht="113.25" customHeight="1" x14ac:dyDescent="0.2">
      <c r="A318" s="289">
        <v>321</v>
      </c>
      <c r="B318" s="30" t="s">
        <v>4609</v>
      </c>
      <c r="C318" s="289"/>
      <c r="D318" s="46" t="s">
        <v>2307</v>
      </c>
      <c r="E318" s="49">
        <v>2014</v>
      </c>
      <c r="F318" s="46" t="s">
        <v>2308</v>
      </c>
      <c r="G318" s="285" t="s">
        <v>7977</v>
      </c>
      <c r="H318" s="119" t="s">
        <v>5127</v>
      </c>
      <c r="I318" s="119"/>
      <c r="J318" s="119" t="s">
        <v>3136</v>
      </c>
      <c r="K318" s="15">
        <v>41941</v>
      </c>
      <c r="L318" s="12" t="s">
        <v>4473</v>
      </c>
      <c r="M318" s="51">
        <v>41849</v>
      </c>
      <c r="N318" s="120">
        <v>1</v>
      </c>
      <c r="O318" s="100">
        <v>11300</v>
      </c>
      <c r="P318" s="100">
        <v>11300</v>
      </c>
      <c r="Q318" s="40">
        <f t="shared" si="6"/>
        <v>0</v>
      </c>
      <c r="R318" s="22" t="s">
        <v>3459</v>
      </c>
      <c r="S318" s="51">
        <v>41849</v>
      </c>
      <c r="T318" s="119" t="s">
        <v>5157</v>
      </c>
    </row>
    <row r="319" spans="1:20" s="39" customFormat="1" ht="113.25" customHeight="1" x14ac:dyDescent="0.2">
      <c r="A319" s="289">
        <v>322</v>
      </c>
      <c r="B319" s="30" t="s">
        <v>2195</v>
      </c>
      <c r="C319" s="289"/>
      <c r="D319" s="9" t="s">
        <v>2309</v>
      </c>
      <c r="E319" s="49">
        <v>2014</v>
      </c>
      <c r="F319" s="9" t="s">
        <v>1633</v>
      </c>
      <c r="G319" s="285" t="s">
        <v>7977</v>
      </c>
      <c r="H319" s="119" t="s">
        <v>5127</v>
      </c>
      <c r="I319" s="119"/>
      <c r="J319" s="119" t="s">
        <v>3136</v>
      </c>
      <c r="K319" s="15">
        <v>41941</v>
      </c>
      <c r="L319" s="12" t="s">
        <v>4473</v>
      </c>
      <c r="M319" s="51">
        <v>41849</v>
      </c>
      <c r="N319" s="120">
        <v>1</v>
      </c>
      <c r="O319" s="100">
        <v>23700</v>
      </c>
      <c r="P319" s="100">
        <v>23700</v>
      </c>
      <c r="Q319" s="40">
        <f t="shared" ref="Q319:Q350" si="7">O319-P319</f>
        <v>0</v>
      </c>
      <c r="R319" s="22" t="s">
        <v>3459</v>
      </c>
      <c r="S319" s="51">
        <v>41849</v>
      </c>
      <c r="T319" s="119" t="s">
        <v>5157</v>
      </c>
    </row>
    <row r="320" spans="1:20" s="39" customFormat="1" ht="159" customHeight="1" x14ac:dyDescent="0.2">
      <c r="A320" s="289">
        <v>323</v>
      </c>
      <c r="B320" s="30" t="s">
        <v>2196</v>
      </c>
      <c r="C320" s="289"/>
      <c r="D320" s="9" t="s">
        <v>1634</v>
      </c>
      <c r="E320" s="285">
        <v>2014</v>
      </c>
      <c r="F320" s="9" t="s">
        <v>1635</v>
      </c>
      <c r="G320" s="285" t="s">
        <v>7977</v>
      </c>
      <c r="H320" s="119" t="s">
        <v>5127</v>
      </c>
      <c r="I320" s="119"/>
      <c r="J320" s="119" t="s">
        <v>3136</v>
      </c>
      <c r="K320" s="15">
        <v>41941</v>
      </c>
      <c r="L320" s="12" t="s">
        <v>4473</v>
      </c>
      <c r="M320" s="51">
        <v>41849</v>
      </c>
      <c r="N320" s="120">
        <v>1</v>
      </c>
      <c r="O320" s="100">
        <v>6037</v>
      </c>
      <c r="P320" s="100">
        <v>6037</v>
      </c>
      <c r="Q320" s="40">
        <f t="shared" si="7"/>
        <v>0</v>
      </c>
      <c r="R320" s="22" t="s">
        <v>3459</v>
      </c>
      <c r="S320" s="51">
        <v>41849</v>
      </c>
      <c r="T320" s="119" t="s">
        <v>5157</v>
      </c>
    </row>
    <row r="321" spans="1:20" s="39" customFormat="1" ht="68.25" customHeight="1" x14ac:dyDescent="0.2">
      <c r="A321" s="289">
        <v>324</v>
      </c>
      <c r="B321" s="30" t="s">
        <v>3643</v>
      </c>
      <c r="C321" s="289"/>
      <c r="D321" s="9" t="s">
        <v>2267</v>
      </c>
      <c r="E321" s="285">
        <v>2014</v>
      </c>
      <c r="F321" s="9" t="s">
        <v>7113</v>
      </c>
      <c r="G321" s="285" t="s">
        <v>7934</v>
      </c>
      <c r="H321" s="119" t="s">
        <v>5127</v>
      </c>
      <c r="I321" s="119"/>
      <c r="J321" s="119" t="s">
        <v>3136</v>
      </c>
      <c r="K321" s="15">
        <v>41942</v>
      </c>
      <c r="L321" s="12" t="s">
        <v>1134</v>
      </c>
      <c r="M321" s="12" t="s">
        <v>829</v>
      </c>
      <c r="N321" s="16">
        <v>1</v>
      </c>
      <c r="O321" s="40">
        <v>18860</v>
      </c>
      <c r="P321" s="40">
        <v>18860</v>
      </c>
      <c r="Q321" s="40">
        <f t="shared" si="7"/>
        <v>0</v>
      </c>
      <c r="R321" s="22" t="s">
        <v>5377</v>
      </c>
      <c r="S321" s="15">
        <v>41926</v>
      </c>
      <c r="T321" s="22" t="s">
        <v>1029</v>
      </c>
    </row>
    <row r="322" spans="1:20" s="39" customFormat="1" ht="67.5" customHeight="1" x14ac:dyDescent="0.2">
      <c r="A322" s="289">
        <v>325</v>
      </c>
      <c r="B322" s="30" t="s">
        <v>3644</v>
      </c>
      <c r="C322" s="289"/>
      <c r="D322" s="9" t="s">
        <v>2267</v>
      </c>
      <c r="E322" s="285">
        <v>2014</v>
      </c>
      <c r="F322" s="9" t="s">
        <v>7114</v>
      </c>
      <c r="G322" s="285" t="s">
        <v>7934</v>
      </c>
      <c r="H322" s="119" t="s">
        <v>5127</v>
      </c>
      <c r="I322" s="119"/>
      <c r="J322" s="119" t="s">
        <v>3136</v>
      </c>
      <c r="K322" s="15">
        <v>41942</v>
      </c>
      <c r="L322" s="12" t="s">
        <v>1134</v>
      </c>
      <c r="M322" s="12" t="s">
        <v>829</v>
      </c>
      <c r="N322" s="16">
        <v>1</v>
      </c>
      <c r="O322" s="40">
        <v>5900</v>
      </c>
      <c r="P322" s="40">
        <v>5900</v>
      </c>
      <c r="Q322" s="40">
        <f t="shared" si="7"/>
        <v>0</v>
      </c>
      <c r="R322" s="22" t="s">
        <v>5377</v>
      </c>
      <c r="S322" s="15">
        <v>41926</v>
      </c>
      <c r="T322" s="22" t="s">
        <v>1029</v>
      </c>
    </row>
    <row r="323" spans="1:20" s="39" customFormat="1" ht="84" customHeight="1" x14ac:dyDescent="0.2">
      <c r="A323" s="289">
        <v>327</v>
      </c>
      <c r="B323" s="289" t="s">
        <v>6198</v>
      </c>
      <c r="C323" s="289"/>
      <c r="D323" s="9" t="s">
        <v>1960</v>
      </c>
      <c r="E323" s="285">
        <v>2014</v>
      </c>
      <c r="F323" s="9" t="s">
        <v>1961</v>
      </c>
      <c r="G323" s="285" t="s">
        <v>7979</v>
      </c>
      <c r="H323" s="22" t="s">
        <v>5127</v>
      </c>
      <c r="I323" s="22"/>
      <c r="J323" s="22" t="s">
        <v>3136</v>
      </c>
      <c r="K323" s="15">
        <v>41956</v>
      </c>
      <c r="L323" s="12" t="s">
        <v>2194</v>
      </c>
      <c r="M323" s="12" t="s">
        <v>2670</v>
      </c>
      <c r="N323" s="16">
        <v>1</v>
      </c>
      <c r="O323" s="40">
        <v>13125</v>
      </c>
      <c r="P323" s="40">
        <v>13125</v>
      </c>
      <c r="Q323" s="40">
        <f t="shared" si="7"/>
        <v>0</v>
      </c>
      <c r="R323" s="22" t="s">
        <v>5377</v>
      </c>
      <c r="S323" s="15"/>
      <c r="T323" s="22" t="s">
        <v>1029</v>
      </c>
    </row>
    <row r="324" spans="1:20" s="39" customFormat="1" ht="84.75" customHeight="1" x14ac:dyDescent="0.2">
      <c r="A324" s="289">
        <v>328</v>
      </c>
      <c r="B324" s="289" t="s">
        <v>6199</v>
      </c>
      <c r="C324" s="289"/>
      <c r="D324" s="9" t="s">
        <v>1962</v>
      </c>
      <c r="E324" s="285">
        <v>2014</v>
      </c>
      <c r="F324" s="9" t="s">
        <v>1751</v>
      </c>
      <c r="G324" s="285" t="s">
        <v>7979</v>
      </c>
      <c r="H324" s="22" t="s">
        <v>5127</v>
      </c>
      <c r="I324" s="22"/>
      <c r="J324" s="22" t="s">
        <v>3136</v>
      </c>
      <c r="K324" s="15">
        <v>41956</v>
      </c>
      <c r="L324" s="12" t="s">
        <v>2194</v>
      </c>
      <c r="M324" s="12" t="s">
        <v>3208</v>
      </c>
      <c r="N324" s="16">
        <v>1</v>
      </c>
      <c r="O324" s="40">
        <v>3400</v>
      </c>
      <c r="P324" s="40">
        <v>3400</v>
      </c>
      <c r="Q324" s="40">
        <f t="shared" si="7"/>
        <v>0</v>
      </c>
      <c r="R324" s="22" t="s">
        <v>2925</v>
      </c>
      <c r="S324" s="15">
        <v>41928</v>
      </c>
      <c r="T324" s="22" t="s">
        <v>2926</v>
      </c>
    </row>
    <row r="325" spans="1:20" s="39" customFormat="1" ht="91.5" customHeight="1" x14ac:dyDescent="0.2">
      <c r="A325" s="289">
        <v>329</v>
      </c>
      <c r="B325" s="289" t="s">
        <v>6200</v>
      </c>
      <c r="C325" s="289"/>
      <c r="D325" s="9" t="s">
        <v>1752</v>
      </c>
      <c r="E325" s="285">
        <v>2014</v>
      </c>
      <c r="F325" s="9" t="s">
        <v>5397</v>
      </c>
      <c r="G325" s="285" t="s">
        <v>7979</v>
      </c>
      <c r="H325" s="22" t="s">
        <v>5127</v>
      </c>
      <c r="I325" s="22"/>
      <c r="J325" s="22" t="s">
        <v>3136</v>
      </c>
      <c r="K325" s="15">
        <v>41956</v>
      </c>
      <c r="L325" s="12" t="s">
        <v>2194</v>
      </c>
      <c r="M325" s="12" t="s">
        <v>3208</v>
      </c>
      <c r="N325" s="16">
        <v>1</v>
      </c>
      <c r="O325" s="40">
        <v>3400</v>
      </c>
      <c r="P325" s="40">
        <v>3400</v>
      </c>
      <c r="Q325" s="40">
        <f t="shared" si="7"/>
        <v>0</v>
      </c>
      <c r="R325" s="22" t="s">
        <v>2925</v>
      </c>
      <c r="S325" s="15">
        <v>41928</v>
      </c>
      <c r="T325" s="22" t="s">
        <v>2926</v>
      </c>
    </row>
    <row r="326" spans="1:20" s="39" customFormat="1" ht="73.5" customHeight="1" x14ac:dyDescent="0.2">
      <c r="A326" s="289">
        <v>330</v>
      </c>
      <c r="B326" s="289" t="s">
        <v>4343</v>
      </c>
      <c r="C326" s="289"/>
      <c r="D326" s="9" t="s">
        <v>4344</v>
      </c>
      <c r="E326" s="285">
        <v>2014</v>
      </c>
      <c r="F326" s="9" t="s">
        <v>6871</v>
      </c>
      <c r="G326" s="285" t="s">
        <v>7917</v>
      </c>
      <c r="H326" s="22" t="s">
        <v>5127</v>
      </c>
      <c r="I326" s="22"/>
      <c r="J326" s="22" t="s">
        <v>3136</v>
      </c>
      <c r="K326" s="15">
        <v>41995</v>
      </c>
      <c r="L326" s="12" t="s">
        <v>5573</v>
      </c>
      <c r="M326" s="12" t="s">
        <v>2773</v>
      </c>
      <c r="N326" s="16">
        <v>1</v>
      </c>
      <c r="O326" s="40">
        <v>16800</v>
      </c>
      <c r="P326" s="40">
        <v>16800</v>
      </c>
      <c r="Q326" s="40">
        <f t="shared" si="7"/>
        <v>0</v>
      </c>
      <c r="R326" s="22" t="s">
        <v>3678</v>
      </c>
      <c r="S326" s="15">
        <v>41953</v>
      </c>
      <c r="T326" s="22" t="s">
        <v>3679</v>
      </c>
    </row>
    <row r="327" spans="1:20" s="39" customFormat="1" ht="144.75" customHeight="1" x14ac:dyDescent="0.2">
      <c r="A327" s="289">
        <v>331</v>
      </c>
      <c r="B327" s="289" t="s">
        <v>1819</v>
      </c>
      <c r="C327" s="289"/>
      <c r="D327" s="9" t="s">
        <v>5487</v>
      </c>
      <c r="E327" s="285">
        <v>2014</v>
      </c>
      <c r="F327" s="9" t="s">
        <v>7079</v>
      </c>
      <c r="G327" s="285" t="s">
        <v>7981</v>
      </c>
      <c r="H327" s="22" t="s">
        <v>5127</v>
      </c>
      <c r="I327" s="22"/>
      <c r="J327" s="22" t="s">
        <v>3136</v>
      </c>
      <c r="K327" s="15">
        <v>41996</v>
      </c>
      <c r="L327" s="12" t="s">
        <v>1157</v>
      </c>
      <c r="M327" s="12" t="s">
        <v>2774</v>
      </c>
      <c r="N327" s="16">
        <v>1</v>
      </c>
      <c r="O327" s="40">
        <v>11195</v>
      </c>
      <c r="P327" s="40">
        <v>11195</v>
      </c>
      <c r="Q327" s="40">
        <f t="shared" si="7"/>
        <v>0</v>
      </c>
      <c r="R327" s="22" t="s">
        <v>5377</v>
      </c>
      <c r="S327" s="15">
        <v>41957</v>
      </c>
      <c r="T327" s="22" t="s">
        <v>1029</v>
      </c>
    </row>
    <row r="328" spans="1:20" s="39" customFormat="1" ht="113.25" customHeight="1" x14ac:dyDescent="0.2">
      <c r="A328" s="289">
        <v>332</v>
      </c>
      <c r="B328" s="289" t="s">
        <v>1820</v>
      </c>
      <c r="C328" s="289"/>
      <c r="D328" s="9" t="s">
        <v>5503</v>
      </c>
      <c r="E328" s="285">
        <v>2014</v>
      </c>
      <c r="F328" s="9" t="s">
        <v>4248</v>
      </c>
      <c r="G328" s="285" t="s">
        <v>7981</v>
      </c>
      <c r="H328" s="22" t="s">
        <v>5127</v>
      </c>
      <c r="I328" s="22"/>
      <c r="J328" s="22" t="s">
        <v>3136</v>
      </c>
      <c r="K328" s="15">
        <v>41996</v>
      </c>
      <c r="L328" s="12" t="s">
        <v>1157</v>
      </c>
      <c r="M328" s="12" t="s">
        <v>2774</v>
      </c>
      <c r="N328" s="16">
        <v>1</v>
      </c>
      <c r="O328" s="40">
        <v>13050</v>
      </c>
      <c r="P328" s="40">
        <v>13050</v>
      </c>
      <c r="Q328" s="40">
        <f t="shared" si="7"/>
        <v>0</v>
      </c>
      <c r="R328" s="22" t="s">
        <v>5377</v>
      </c>
      <c r="S328" s="15">
        <v>41948</v>
      </c>
      <c r="T328" s="22" t="s">
        <v>1029</v>
      </c>
    </row>
    <row r="329" spans="1:20" s="39" customFormat="1" ht="74.25" customHeight="1" x14ac:dyDescent="0.2">
      <c r="A329" s="289">
        <v>333</v>
      </c>
      <c r="B329" s="289" t="s">
        <v>4391</v>
      </c>
      <c r="C329" s="289"/>
      <c r="D329" s="9" t="s">
        <v>3657</v>
      </c>
      <c r="E329" s="285">
        <v>2014</v>
      </c>
      <c r="F329" s="9" t="s">
        <v>7433</v>
      </c>
      <c r="G329" s="285" t="s">
        <v>7979</v>
      </c>
      <c r="H329" s="22" t="s">
        <v>5127</v>
      </c>
      <c r="I329" s="22"/>
      <c r="J329" s="22" t="s">
        <v>3136</v>
      </c>
      <c r="K329" s="15">
        <v>42003</v>
      </c>
      <c r="L329" s="12" t="s">
        <v>3918</v>
      </c>
      <c r="M329" s="12" t="s">
        <v>1649</v>
      </c>
      <c r="N329" s="16">
        <v>1</v>
      </c>
      <c r="O329" s="40">
        <v>15000</v>
      </c>
      <c r="P329" s="40">
        <v>15000</v>
      </c>
      <c r="Q329" s="40">
        <f t="shared" si="7"/>
        <v>0</v>
      </c>
      <c r="R329" s="22" t="s">
        <v>3919</v>
      </c>
      <c r="S329" s="15">
        <v>41635</v>
      </c>
      <c r="T329" s="22" t="s">
        <v>3920</v>
      </c>
    </row>
    <row r="330" spans="1:20" s="39" customFormat="1" ht="81.75" customHeight="1" x14ac:dyDescent="0.2">
      <c r="A330" s="289">
        <v>334</v>
      </c>
      <c r="B330" s="289" t="s">
        <v>4392</v>
      </c>
      <c r="C330" s="289"/>
      <c r="D330" s="9" t="s">
        <v>5616</v>
      </c>
      <c r="E330" s="285">
        <v>2014</v>
      </c>
      <c r="F330" s="9" t="s">
        <v>3973</v>
      </c>
      <c r="G330" s="285" t="s">
        <v>7979</v>
      </c>
      <c r="H330" s="22" t="s">
        <v>5127</v>
      </c>
      <c r="I330" s="22"/>
      <c r="J330" s="22" t="s">
        <v>3136</v>
      </c>
      <c r="K330" s="15"/>
      <c r="L330" s="12"/>
      <c r="M330" s="12" t="s">
        <v>1649</v>
      </c>
      <c r="N330" s="16">
        <v>1</v>
      </c>
      <c r="O330" s="40">
        <v>5400</v>
      </c>
      <c r="P330" s="40">
        <v>5400</v>
      </c>
      <c r="Q330" s="40">
        <f t="shared" si="7"/>
        <v>0</v>
      </c>
      <c r="R330" s="22" t="s">
        <v>3919</v>
      </c>
      <c r="S330" s="15">
        <v>41635</v>
      </c>
      <c r="T330" s="22" t="s">
        <v>3920</v>
      </c>
    </row>
    <row r="331" spans="1:20" s="39" customFormat="1" ht="113.25" customHeight="1" x14ac:dyDescent="0.2">
      <c r="A331" s="289">
        <v>335</v>
      </c>
      <c r="B331" s="289" t="s">
        <v>7</v>
      </c>
      <c r="C331" s="289"/>
      <c r="D331" s="9" t="s">
        <v>8</v>
      </c>
      <c r="E331" s="14">
        <v>41926</v>
      </c>
      <c r="F331" s="9" t="s">
        <v>2951</v>
      </c>
      <c r="G331" s="285" t="s">
        <v>792</v>
      </c>
      <c r="H331" s="22" t="s">
        <v>5127</v>
      </c>
      <c r="I331" s="22"/>
      <c r="J331" s="22" t="s">
        <v>3136</v>
      </c>
      <c r="K331" s="15">
        <v>42003</v>
      </c>
      <c r="L331" s="12" t="s">
        <v>2950</v>
      </c>
      <c r="M331" s="12" t="s">
        <v>9</v>
      </c>
      <c r="N331" s="16">
        <v>1</v>
      </c>
      <c r="O331" s="40">
        <v>4490</v>
      </c>
      <c r="P331" s="40">
        <v>4490</v>
      </c>
      <c r="Q331" s="40">
        <f t="shared" si="7"/>
        <v>0</v>
      </c>
      <c r="R331" s="22" t="s">
        <v>2627</v>
      </c>
      <c r="S331" s="15">
        <v>41926</v>
      </c>
      <c r="T331" s="22" t="s">
        <v>4062</v>
      </c>
    </row>
    <row r="332" spans="1:20" s="39" customFormat="1" ht="68.25" customHeight="1" x14ac:dyDescent="0.2">
      <c r="A332" s="289">
        <v>336</v>
      </c>
      <c r="B332" s="289" t="s">
        <v>3383</v>
      </c>
      <c r="C332" s="289"/>
      <c r="D332" s="9" t="s">
        <v>1835</v>
      </c>
      <c r="E332" s="22">
        <v>2014</v>
      </c>
      <c r="F332" s="9" t="s">
        <v>3384</v>
      </c>
      <c r="G332" s="285" t="s">
        <v>7934</v>
      </c>
      <c r="H332" s="22" t="s">
        <v>5127</v>
      </c>
      <c r="I332" s="22"/>
      <c r="J332" s="22" t="s">
        <v>3136</v>
      </c>
      <c r="K332" s="15">
        <v>42018</v>
      </c>
      <c r="L332" s="12" t="s">
        <v>2382</v>
      </c>
      <c r="M332" s="12" t="s">
        <v>3385</v>
      </c>
      <c r="N332" s="16">
        <v>1</v>
      </c>
      <c r="O332" s="40">
        <v>5000</v>
      </c>
      <c r="P332" s="40">
        <v>5000</v>
      </c>
      <c r="Q332" s="40">
        <f t="shared" si="7"/>
        <v>0</v>
      </c>
      <c r="R332" s="22" t="s">
        <v>5377</v>
      </c>
      <c r="S332" s="15">
        <v>41989</v>
      </c>
      <c r="T332" s="22" t="s">
        <v>1029</v>
      </c>
    </row>
    <row r="333" spans="1:20" s="39" customFormat="1" ht="92.25" customHeight="1" x14ac:dyDescent="0.2">
      <c r="A333" s="289">
        <v>337</v>
      </c>
      <c r="B333" s="289" t="s">
        <v>5880</v>
      </c>
      <c r="C333" s="289"/>
      <c r="D333" s="9" t="s">
        <v>925</v>
      </c>
      <c r="E333" s="22">
        <v>2014</v>
      </c>
      <c r="F333" s="9" t="s">
        <v>5137</v>
      </c>
      <c r="G333" s="285" t="s">
        <v>7979</v>
      </c>
      <c r="H333" s="22" t="s">
        <v>5127</v>
      </c>
      <c r="I333" s="22"/>
      <c r="J333" s="22" t="s">
        <v>3136</v>
      </c>
      <c r="K333" s="15">
        <v>42018</v>
      </c>
      <c r="L333" s="12" t="s">
        <v>2387</v>
      </c>
      <c r="M333" s="12" t="s">
        <v>4161</v>
      </c>
      <c r="N333" s="16">
        <v>1</v>
      </c>
      <c r="O333" s="40">
        <v>8900</v>
      </c>
      <c r="P333" s="40">
        <v>8900</v>
      </c>
      <c r="Q333" s="40">
        <f t="shared" si="7"/>
        <v>0</v>
      </c>
      <c r="R333" s="22" t="s">
        <v>4162</v>
      </c>
      <c r="S333" s="15">
        <v>41961</v>
      </c>
      <c r="T333" s="22" t="s">
        <v>4163</v>
      </c>
    </row>
    <row r="334" spans="1:20" s="39" customFormat="1" ht="161.25" customHeight="1" x14ac:dyDescent="0.2">
      <c r="A334" s="289">
        <v>338</v>
      </c>
      <c r="B334" s="289" t="s">
        <v>5881</v>
      </c>
      <c r="C334" s="289"/>
      <c r="D334" s="9" t="s">
        <v>319</v>
      </c>
      <c r="E334" s="285">
        <v>2014</v>
      </c>
      <c r="F334" s="9" t="s">
        <v>218</v>
      </c>
      <c r="G334" s="285" t="s">
        <v>7979</v>
      </c>
      <c r="H334" s="22" t="s">
        <v>5127</v>
      </c>
      <c r="I334" s="22"/>
      <c r="J334" s="22" t="s">
        <v>3136</v>
      </c>
      <c r="K334" s="15">
        <v>42018</v>
      </c>
      <c r="L334" s="12" t="s">
        <v>2387</v>
      </c>
      <c r="M334" s="12" t="s">
        <v>4161</v>
      </c>
      <c r="N334" s="16">
        <v>1</v>
      </c>
      <c r="O334" s="40">
        <v>4800</v>
      </c>
      <c r="P334" s="40">
        <v>4800</v>
      </c>
      <c r="Q334" s="40">
        <f t="shared" si="7"/>
        <v>0</v>
      </c>
      <c r="R334" s="22" t="s">
        <v>4162</v>
      </c>
      <c r="S334" s="15">
        <v>41961</v>
      </c>
      <c r="T334" s="22" t="s">
        <v>4163</v>
      </c>
    </row>
    <row r="335" spans="1:20" s="39" customFormat="1" ht="90" customHeight="1" x14ac:dyDescent="0.2">
      <c r="A335" s="289">
        <v>339</v>
      </c>
      <c r="B335" s="289" t="s">
        <v>5882</v>
      </c>
      <c r="C335" s="289"/>
      <c r="D335" s="9" t="s">
        <v>320</v>
      </c>
      <c r="E335" s="285">
        <v>2014</v>
      </c>
      <c r="F335" s="9" t="s">
        <v>1822</v>
      </c>
      <c r="G335" s="285" t="s">
        <v>7979</v>
      </c>
      <c r="H335" s="22" t="s">
        <v>5127</v>
      </c>
      <c r="I335" s="22"/>
      <c r="J335" s="22" t="s">
        <v>3136</v>
      </c>
      <c r="K335" s="15">
        <v>42018</v>
      </c>
      <c r="L335" s="12" t="s">
        <v>2387</v>
      </c>
      <c r="M335" s="12" t="s">
        <v>1643</v>
      </c>
      <c r="N335" s="16">
        <v>1</v>
      </c>
      <c r="O335" s="40">
        <v>6200</v>
      </c>
      <c r="P335" s="40">
        <v>6200</v>
      </c>
      <c r="Q335" s="40">
        <f t="shared" si="7"/>
        <v>0</v>
      </c>
      <c r="R335" s="22" t="s">
        <v>5377</v>
      </c>
      <c r="S335" s="15">
        <v>41940</v>
      </c>
      <c r="T335" s="22" t="s">
        <v>1029</v>
      </c>
    </row>
    <row r="336" spans="1:20" s="39" customFormat="1" ht="61.5" customHeight="1" x14ac:dyDescent="0.2">
      <c r="A336" s="289">
        <v>340</v>
      </c>
      <c r="B336" s="289" t="s">
        <v>5883</v>
      </c>
      <c r="C336" s="289"/>
      <c r="D336" s="9" t="s">
        <v>321</v>
      </c>
      <c r="E336" s="285">
        <v>2014</v>
      </c>
      <c r="F336" s="9" t="s">
        <v>3421</v>
      </c>
      <c r="G336" s="285" t="s">
        <v>7979</v>
      </c>
      <c r="H336" s="22" t="s">
        <v>5127</v>
      </c>
      <c r="I336" s="22"/>
      <c r="J336" s="22" t="s">
        <v>3136</v>
      </c>
      <c r="K336" s="15">
        <v>42018</v>
      </c>
      <c r="L336" s="12" t="s">
        <v>2387</v>
      </c>
      <c r="M336" s="12" t="s">
        <v>1642</v>
      </c>
      <c r="N336" s="16">
        <v>1</v>
      </c>
      <c r="O336" s="40">
        <v>3100</v>
      </c>
      <c r="P336" s="40">
        <v>3100</v>
      </c>
      <c r="Q336" s="40">
        <f t="shared" si="7"/>
        <v>0</v>
      </c>
      <c r="R336" s="22" t="s">
        <v>5377</v>
      </c>
      <c r="S336" s="15">
        <v>41949</v>
      </c>
      <c r="T336" s="22" t="s">
        <v>1029</v>
      </c>
    </row>
    <row r="337" spans="1:20" s="39" customFormat="1" ht="127.5" customHeight="1" x14ac:dyDescent="0.2">
      <c r="A337" s="289">
        <v>341</v>
      </c>
      <c r="B337" s="289" t="s">
        <v>719</v>
      </c>
      <c r="C337" s="289"/>
      <c r="D337" s="9" t="s">
        <v>3422</v>
      </c>
      <c r="E337" s="285">
        <v>2014</v>
      </c>
      <c r="F337" s="9" t="s">
        <v>3423</v>
      </c>
      <c r="G337" s="285" t="s">
        <v>7979</v>
      </c>
      <c r="H337" s="22" t="s">
        <v>5127</v>
      </c>
      <c r="I337" s="22"/>
      <c r="J337" s="22" t="s">
        <v>3136</v>
      </c>
      <c r="K337" s="15">
        <v>42018</v>
      </c>
      <c r="L337" s="12" t="s">
        <v>2387</v>
      </c>
      <c r="M337" s="12" t="s">
        <v>3424</v>
      </c>
      <c r="N337" s="16">
        <v>1</v>
      </c>
      <c r="O337" s="40">
        <v>3500</v>
      </c>
      <c r="P337" s="40">
        <v>3500</v>
      </c>
      <c r="Q337" s="40">
        <f t="shared" si="7"/>
        <v>0</v>
      </c>
      <c r="R337" s="22" t="s">
        <v>5377</v>
      </c>
      <c r="S337" s="15">
        <v>41956</v>
      </c>
      <c r="T337" s="22" t="s">
        <v>1029</v>
      </c>
    </row>
    <row r="338" spans="1:20" s="39" customFormat="1" ht="69.75" customHeight="1" x14ac:dyDescent="0.2">
      <c r="A338" s="289">
        <v>342</v>
      </c>
      <c r="B338" s="289" t="s">
        <v>5408</v>
      </c>
      <c r="C338" s="289"/>
      <c r="D338" s="9" t="s">
        <v>3419</v>
      </c>
      <c r="E338" s="14">
        <v>41814</v>
      </c>
      <c r="F338" s="9" t="s">
        <v>5406</v>
      </c>
      <c r="G338" s="285" t="s">
        <v>4877</v>
      </c>
      <c r="H338" s="22" t="s">
        <v>3793</v>
      </c>
      <c r="I338" s="22"/>
      <c r="J338" s="22" t="s">
        <v>3136</v>
      </c>
      <c r="K338" s="15">
        <v>42019</v>
      </c>
      <c r="L338" s="12" t="s">
        <v>909</v>
      </c>
      <c r="M338" s="12" t="s">
        <v>5946</v>
      </c>
      <c r="N338" s="16">
        <v>1</v>
      </c>
      <c r="O338" s="40">
        <v>15900</v>
      </c>
      <c r="P338" s="40">
        <v>15900</v>
      </c>
      <c r="Q338" s="40">
        <f t="shared" si="7"/>
        <v>0</v>
      </c>
      <c r="R338" s="285" t="s">
        <v>3418</v>
      </c>
      <c r="S338" s="15">
        <v>41814</v>
      </c>
      <c r="T338" s="22" t="s">
        <v>5947</v>
      </c>
    </row>
    <row r="339" spans="1:20" s="39" customFormat="1" ht="108.75" customHeight="1" x14ac:dyDescent="0.2">
      <c r="A339" s="289">
        <v>343</v>
      </c>
      <c r="B339" s="289" t="s">
        <v>5494</v>
      </c>
      <c r="C339" s="289"/>
      <c r="D339" s="9" t="s">
        <v>5495</v>
      </c>
      <c r="E339" s="22">
        <v>2014</v>
      </c>
      <c r="F339" s="9" t="s">
        <v>5496</v>
      </c>
      <c r="G339" s="285" t="s">
        <v>7983</v>
      </c>
      <c r="H339" s="22" t="s">
        <v>5127</v>
      </c>
      <c r="I339" s="22"/>
      <c r="J339" s="22" t="s">
        <v>3136</v>
      </c>
      <c r="K339" s="15">
        <v>42025</v>
      </c>
      <c r="L339" s="12" t="s">
        <v>5623</v>
      </c>
      <c r="M339" s="12" t="s">
        <v>5497</v>
      </c>
      <c r="N339" s="16">
        <v>1</v>
      </c>
      <c r="O339" s="40">
        <v>30000</v>
      </c>
      <c r="P339" s="40">
        <v>30000</v>
      </c>
      <c r="Q339" s="40">
        <f t="shared" si="7"/>
        <v>0</v>
      </c>
      <c r="R339" s="285" t="s">
        <v>5498</v>
      </c>
      <c r="S339" s="15">
        <v>41988</v>
      </c>
      <c r="T339" s="22" t="s">
        <v>5499</v>
      </c>
    </row>
    <row r="340" spans="1:20" s="39" customFormat="1" ht="114.75" customHeight="1" x14ac:dyDescent="0.2">
      <c r="A340" s="289">
        <v>344</v>
      </c>
      <c r="B340" s="289" t="s">
        <v>3627</v>
      </c>
      <c r="C340" s="289"/>
      <c r="D340" s="9" t="s">
        <v>3629</v>
      </c>
      <c r="E340" s="22" t="s">
        <v>1374</v>
      </c>
      <c r="F340" s="9" t="s">
        <v>7010</v>
      </c>
      <c r="G340" s="285" t="s">
        <v>7977</v>
      </c>
      <c r="H340" s="22" t="s">
        <v>5127</v>
      </c>
      <c r="I340" s="22"/>
      <c r="J340" s="22" t="s">
        <v>3136</v>
      </c>
      <c r="K340" s="15">
        <v>42030</v>
      </c>
      <c r="L340" s="12" t="s">
        <v>752</v>
      </c>
      <c r="M340" s="12" t="s">
        <v>3630</v>
      </c>
      <c r="N340" s="16">
        <v>1</v>
      </c>
      <c r="O340" s="40">
        <v>15602</v>
      </c>
      <c r="P340" s="40">
        <v>15602</v>
      </c>
      <c r="Q340" s="40">
        <f t="shared" si="7"/>
        <v>0</v>
      </c>
      <c r="R340" s="285" t="s">
        <v>5302</v>
      </c>
      <c r="S340" s="15">
        <v>41948</v>
      </c>
      <c r="T340" s="285">
        <v>2720140037</v>
      </c>
    </row>
    <row r="341" spans="1:20" s="39" customFormat="1" ht="117.75" customHeight="1" x14ac:dyDescent="0.2">
      <c r="A341" s="289">
        <v>345</v>
      </c>
      <c r="B341" s="289" t="s">
        <v>3628</v>
      </c>
      <c r="C341" s="289"/>
      <c r="D341" s="9" t="s">
        <v>5322</v>
      </c>
      <c r="E341" s="22" t="s">
        <v>1374</v>
      </c>
      <c r="F341" s="9" t="s">
        <v>5378</v>
      </c>
      <c r="G341" s="285" t="s">
        <v>7977</v>
      </c>
      <c r="H341" s="22" t="s">
        <v>5127</v>
      </c>
      <c r="I341" s="22"/>
      <c r="J341" s="22" t="s">
        <v>3136</v>
      </c>
      <c r="K341" s="15">
        <v>42030</v>
      </c>
      <c r="L341" s="12" t="s">
        <v>752</v>
      </c>
      <c r="M341" s="12" t="s">
        <v>3630</v>
      </c>
      <c r="N341" s="16">
        <v>1</v>
      </c>
      <c r="O341" s="40">
        <v>14526</v>
      </c>
      <c r="P341" s="40">
        <v>14526</v>
      </c>
      <c r="Q341" s="40">
        <f t="shared" si="7"/>
        <v>0</v>
      </c>
      <c r="R341" s="285" t="s">
        <v>5302</v>
      </c>
      <c r="S341" s="15">
        <v>41948</v>
      </c>
      <c r="T341" s="285">
        <v>2720140037</v>
      </c>
    </row>
    <row r="342" spans="1:20" s="39" customFormat="1" ht="63" customHeight="1" x14ac:dyDescent="0.2">
      <c r="A342" s="289">
        <v>346</v>
      </c>
      <c r="B342" s="289" t="s">
        <v>3526</v>
      </c>
      <c r="C342" s="289"/>
      <c r="D342" s="9" t="s">
        <v>3527</v>
      </c>
      <c r="E342" s="22" t="s">
        <v>1374</v>
      </c>
      <c r="F342" s="9" t="s">
        <v>3528</v>
      </c>
      <c r="G342" s="285" t="s">
        <v>7977</v>
      </c>
      <c r="H342" s="22" t="s">
        <v>5127</v>
      </c>
      <c r="I342" s="22"/>
      <c r="J342" s="22" t="s">
        <v>3136</v>
      </c>
      <c r="K342" s="15">
        <v>42030</v>
      </c>
      <c r="L342" s="12" t="s">
        <v>752</v>
      </c>
      <c r="M342" s="12" t="s">
        <v>3630</v>
      </c>
      <c r="N342" s="16">
        <v>1</v>
      </c>
      <c r="O342" s="40">
        <v>3335.6</v>
      </c>
      <c r="P342" s="40">
        <v>3335.6</v>
      </c>
      <c r="Q342" s="40">
        <f t="shared" si="7"/>
        <v>0</v>
      </c>
      <c r="R342" s="285" t="s">
        <v>5302</v>
      </c>
      <c r="S342" s="15">
        <v>41948</v>
      </c>
      <c r="T342" s="285">
        <v>2720140037</v>
      </c>
    </row>
    <row r="343" spans="1:20" s="39" customFormat="1" ht="147" customHeight="1" x14ac:dyDescent="0.2">
      <c r="A343" s="289">
        <v>347</v>
      </c>
      <c r="B343" s="289" t="s">
        <v>3529</v>
      </c>
      <c r="C343" s="289"/>
      <c r="D343" s="9" t="s">
        <v>3530</v>
      </c>
      <c r="E343" s="22" t="s">
        <v>1374</v>
      </c>
      <c r="F343" s="9" t="s">
        <v>4937</v>
      </c>
      <c r="G343" s="285" t="s">
        <v>7977</v>
      </c>
      <c r="H343" s="22" t="s">
        <v>5127</v>
      </c>
      <c r="I343" s="22"/>
      <c r="J343" s="22" t="s">
        <v>3136</v>
      </c>
      <c r="K343" s="15">
        <v>42030</v>
      </c>
      <c r="L343" s="12" t="s">
        <v>752</v>
      </c>
      <c r="M343" s="12" t="s">
        <v>3630</v>
      </c>
      <c r="N343" s="16">
        <v>1</v>
      </c>
      <c r="O343" s="40">
        <v>4411.6000000000004</v>
      </c>
      <c r="P343" s="40">
        <v>4411.6000000000004</v>
      </c>
      <c r="Q343" s="40">
        <f t="shared" si="7"/>
        <v>0</v>
      </c>
      <c r="R343" s="285" t="s">
        <v>5302</v>
      </c>
      <c r="S343" s="15">
        <v>41948</v>
      </c>
      <c r="T343" s="285">
        <v>2720140037</v>
      </c>
    </row>
    <row r="344" spans="1:20" s="39" customFormat="1" ht="110.25" customHeight="1" x14ac:dyDescent="0.2">
      <c r="A344" s="289">
        <v>348</v>
      </c>
      <c r="B344" s="289" t="s">
        <v>3531</v>
      </c>
      <c r="C344" s="289"/>
      <c r="D344" s="9" t="s">
        <v>5596</v>
      </c>
      <c r="E344" s="22" t="s">
        <v>1374</v>
      </c>
      <c r="F344" s="9" t="s">
        <v>4938</v>
      </c>
      <c r="G344" s="285" t="s">
        <v>7977</v>
      </c>
      <c r="H344" s="22" t="s">
        <v>5127</v>
      </c>
      <c r="I344" s="22"/>
      <c r="J344" s="22" t="s">
        <v>3136</v>
      </c>
      <c r="K344" s="15">
        <v>42030</v>
      </c>
      <c r="L344" s="12" t="s">
        <v>752</v>
      </c>
      <c r="M344" s="12" t="s">
        <v>3630</v>
      </c>
      <c r="N344" s="16">
        <v>1</v>
      </c>
      <c r="O344" s="40">
        <v>20661.16</v>
      </c>
      <c r="P344" s="40">
        <v>20661.16</v>
      </c>
      <c r="Q344" s="40">
        <f t="shared" si="7"/>
        <v>0</v>
      </c>
      <c r="R344" s="285" t="s">
        <v>5302</v>
      </c>
      <c r="S344" s="15">
        <v>41948</v>
      </c>
      <c r="T344" s="285">
        <v>2720140037</v>
      </c>
    </row>
    <row r="345" spans="1:20" s="39" customFormat="1" ht="110.25" customHeight="1" x14ac:dyDescent="0.2">
      <c r="A345" s="289">
        <v>349</v>
      </c>
      <c r="B345" s="289" t="s">
        <v>6321</v>
      </c>
      <c r="C345" s="289"/>
      <c r="D345" s="9" t="s">
        <v>6322</v>
      </c>
      <c r="E345" s="22" t="s">
        <v>1374</v>
      </c>
      <c r="F345" s="9" t="s">
        <v>4604</v>
      </c>
      <c r="G345" s="285" t="s">
        <v>7977</v>
      </c>
      <c r="H345" s="22" t="s">
        <v>5127</v>
      </c>
      <c r="I345" s="22"/>
      <c r="J345" s="22" t="s">
        <v>3136</v>
      </c>
      <c r="K345" s="15">
        <v>42030</v>
      </c>
      <c r="L345" s="12" t="s">
        <v>752</v>
      </c>
      <c r="M345" s="12" t="s">
        <v>3630</v>
      </c>
      <c r="N345" s="16">
        <v>1</v>
      </c>
      <c r="O345" s="40">
        <v>6994</v>
      </c>
      <c r="P345" s="40">
        <v>6994</v>
      </c>
      <c r="Q345" s="40">
        <f t="shared" si="7"/>
        <v>0</v>
      </c>
      <c r="R345" s="285" t="s">
        <v>5302</v>
      </c>
      <c r="S345" s="15">
        <v>41948</v>
      </c>
      <c r="T345" s="285">
        <v>2720140037</v>
      </c>
    </row>
    <row r="346" spans="1:20" s="39" customFormat="1" ht="110.25" customHeight="1" x14ac:dyDescent="0.2">
      <c r="A346" s="289">
        <v>350</v>
      </c>
      <c r="B346" s="289" t="s">
        <v>4605</v>
      </c>
      <c r="C346" s="289"/>
      <c r="D346" s="9" t="s">
        <v>3101</v>
      </c>
      <c r="E346" s="22" t="s">
        <v>1374</v>
      </c>
      <c r="F346" s="9" t="s">
        <v>3102</v>
      </c>
      <c r="G346" s="285" t="s">
        <v>7977</v>
      </c>
      <c r="H346" s="22" t="s">
        <v>5127</v>
      </c>
      <c r="I346" s="22"/>
      <c r="J346" s="22" t="s">
        <v>3136</v>
      </c>
      <c r="K346" s="15">
        <v>42030</v>
      </c>
      <c r="L346" s="12" t="s">
        <v>752</v>
      </c>
      <c r="M346" s="12" t="s">
        <v>3630</v>
      </c>
      <c r="N346" s="16">
        <v>1</v>
      </c>
      <c r="O346" s="40">
        <v>4842</v>
      </c>
      <c r="P346" s="40">
        <v>4842</v>
      </c>
      <c r="Q346" s="40">
        <f t="shared" si="7"/>
        <v>0</v>
      </c>
      <c r="R346" s="285" t="s">
        <v>5302</v>
      </c>
      <c r="S346" s="15">
        <v>41948</v>
      </c>
      <c r="T346" s="285">
        <v>2720140037</v>
      </c>
    </row>
    <row r="347" spans="1:20" s="39" customFormat="1" ht="158.25" customHeight="1" x14ac:dyDescent="0.2">
      <c r="A347" s="289">
        <v>351</v>
      </c>
      <c r="B347" s="289" t="s">
        <v>3103</v>
      </c>
      <c r="C347" s="289"/>
      <c r="D347" s="9" t="s">
        <v>3662</v>
      </c>
      <c r="E347" s="22" t="s">
        <v>1374</v>
      </c>
      <c r="F347" s="9" t="s">
        <v>6009</v>
      </c>
      <c r="G347" s="285" t="s">
        <v>7977</v>
      </c>
      <c r="H347" s="22" t="s">
        <v>5127</v>
      </c>
      <c r="I347" s="22"/>
      <c r="J347" s="22" t="s">
        <v>3136</v>
      </c>
      <c r="K347" s="15">
        <v>42030</v>
      </c>
      <c r="L347" s="12" t="s">
        <v>752</v>
      </c>
      <c r="M347" s="12" t="s">
        <v>3630</v>
      </c>
      <c r="N347" s="16">
        <v>1</v>
      </c>
      <c r="O347" s="40">
        <v>17754</v>
      </c>
      <c r="P347" s="40">
        <v>17754</v>
      </c>
      <c r="Q347" s="40">
        <f t="shared" si="7"/>
        <v>0</v>
      </c>
      <c r="R347" s="285" t="s">
        <v>5302</v>
      </c>
      <c r="S347" s="15">
        <v>41948</v>
      </c>
      <c r="T347" s="285">
        <v>2720140037</v>
      </c>
    </row>
    <row r="348" spans="1:20" s="39" customFormat="1" ht="110.25" customHeight="1" x14ac:dyDescent="0.2">
      <c r="A348" s="289">
        <v>352</v>
      </c>
      <c r="B348" s="289" t="s">
        <v>6010</v>
      </c>
      <c r="C348" s="289"/>
      <c r="D348" s="9" t="s">
        <v>3382</v>
      </c>
      <c r="E348" s="22" t="s">
        <v>1374</v>
      </c>
      <c r="F348" s="9" t="s">
        <v>5198</v>
      </c>
      <c r="G348" s="285" t="s">
        <v>7977</v>
      </c>
      <c r="H348" s="22" t="s">
        <v>5127</v>
      </c>
      <c r="I348" s="22"/>
      <c r="J348" s="22" t="s">
        <v>3136</v>
      </c>
      <c r="K348" s="15">
        <v>42030</v>
      </c>
      <c r="L348" s="12" t="s">
        <v>752</v>
      </c>
      <c r="M348" s="12" t="s">
        <v>3630</v>
      </c>
      <c r="N348" s="16">
        <v>1</v>
      </c>
      <c r="O348" s="40">
        <v>11298</v>
      </c>
      <c r="P348" s="40">
        <v>11298</v>
      </c>
      <c r="Q348" s="40">
        <f t="shared" si="7"/>
        <v>0</v>
      </c>
      <c r="R348" s="285" t="s">
        <v>5302</v>
      </c>
      <c r="S348" s="15">
        <v>41948</v>
      </c>
      <c r="T348" s="285">
        <v>2720140037</v>
      </c>
    </row>
    <row r="349" spans="1:20" s="39" customFormat="1" ht="110.25" customHeight="1" x14ac:dyDescent="0.2">
      <c r="A349" s="289">
        <v>353</v>
      </c>
      <c r="B349" s="289" t="s">
        <v>5199</v>
      </c>
      <c r="C349" s="289"/>
      <c r="D349" s="9" t="s">
        <v>5747</v>
      </c>
      <c r="E349" s="22" t="s">
        <v>1374</v>
      </c>
      <c r="F349" s="9" t="s">
        <v>210</v>
      </c>
      <c r="G349" s="285" t="s">
        <v>7977</v>
      </c>
      <c r="H349" s="22" t="s">
        <v>5127</v>
      </c>
      <c r="I349" s="22"/>
      <c r="J349" s="22" t="s">
        <v>3136</v>
      </c>
      <c r="K349" s="15">
        <v>42030</v>
      </c>
      <c r="L349" s="12" t="s">
        <v>752</v>
      </c>
      <c r="M349" s="12" t="s">
        <v>3630</v>
      </c>
      <c r="N349" s="16">
        <v>1</v>
      </c>
      <c r="O349" s="40">
        <v>12912</v>
      </c>
      <c r="P349" s="40">
        <v>12912</v>
      </c>
      <c r="Q349" s="40">
        <f t="shared" si="7"/>
        <v>0</v>
      </c>
      <c r="R349" s="285" t="s">
        <v>5302</v>
      </c>
      <c r="S349" s="15">
        <v>41948</v>
      </c>
      <c r="T349" s="285">
        <v>2720140037</v>
      </c>
    </row>
    <row r="350" spans="1:20" s="39" customFormat="1" ht="110.25" customHeight="1" x14ac:dyDescent="0.2">
      <c r="A350" s="289">
        <v>354</v>
      </c>
      <c r="B350" s="289" t="s">
        <v>5748</v>
      </c>
      <c r="C350" s="289"/>
      <c r="D350" s="9" t="s">
        <v>5197</v>
      </c>
      <c r="E350" s="22" t="s">
        <v>1374</v>
      </c>
      <c r="F350" s="9" t="s">
        <v>2949</v>
      </c>
      <c r="G350" s="285" t="s">
        <v>7977</v>
      </c>
      <c r="H350" s="22" t="s">
        <v>5127</v>
      </c>
      <c r="I350" s="22"/>
      <c r="J350" s="22" t="s">
        <v>3136</v>
      </c>
      <c r="K350" s="15">
        <v>42030</v>
      </c>
      <c r="L350" s="12" t="s">
        <v>752</v>
      </c>
      <c r="M350" s="12" t="s">
        <v>3630</v>
      </c>
      <c r="N350" s="16">
        <v>1</v>
      </c>
      <c r="O350" s="40">
        <v>13988</v>
      </c>
      <c r="P350" s="40">
        <v>13988</v>
      </c>
      <c r="Q350" s="40">
        <f t="shared" si="7"/>
        <v>0</v>
      </c>
      <c r="R350" s="285" t="s">
        <v>5302</v>
      </c>
      <c r="S350" s="15">
        <v>41948</v>
      </c>
      <c r="T350" s="285">
        <v>2720140037</v>
      </c>
    </row>
    <row r="351" spans="1:20" s="39" customFormat="1" ht="110.25" customHeight="1" x14ac:dyDescent="0.2">
      <c r="A351" s="289">
        <v>355</v>
      </c>
      <c r="B351" s="289" t="s">
        <v>5196</v>
      </c>
      <c r="C351" s="289"/>
      <c r="D351" s="9" t="s">
        <v>1618</v>
      </c>
      <c r="E351" s="22" t="s">
        <v>1374</v>
      </c>
      <c r="F351" s="9" t="s">
        <v>1619</v>
      </c>
      <c r="G351" s="285" t="s">
        <v>7977</v>
      </c>
      <c r="H351" s="22" t="s">
        <v>5127</v>
      </c>
      <c r="I351" s="22"/>
      <c r="J351" s="22" t="s">
        <v>3136</v>
      </c>
      <c r="K351" s="15">
        <v>42030</v>
      </c>
      <c r="L351" s="12" t="s">
        <v>752</v>
      </c>
      <c r="M351" s="12" t="s">
        <v>3630</v>
      </c>
      <c r="N351" s="16">
        <v>1</v>
      </c>
      <c r="O351" s="40">
        <v>3120.4</v>
      </c>
      <c r="P351" s="40">
        <v>3120.4</v>
      </c>
      <c r="Q351" s="40">
        <f t="shared" ref="Q351:Q380" si="8">O351-P351</f>
        <v>0</v>
      </c>
      <c r="R351" s="285" t="s">
        <v>5302</v>
      </c>
      <c r="S351" s="15">
        <v>41948</v>
      </c>
      <c r="T351" s="285">
        <v>2720140037</v>
      </c>
    </row>
    <row r="352" spans="1:20" s="39" customFormat="1" ht="110.25" customHeight="1" x14ac:dyDescent="0.2">
      <c r="A352" s="289">
        <v>356</v>
      </c>
      <c r="B352" s="289" t="s">
        <v>4234</v>
      </c>
      <c r="C352" s="289"/>
      <c r="D352" s="9" t="s">
        <v>5795</v>
      </c>
      <c r="E352" s="22" t="s">
        <v>1374</v>
      </c>
      <c r="F352" s="9" t="s">
        <v>5796</v>
      </c>
      <c r="G352" s="285" t="s">
        <v>7978</v>
      </c>
      <c r="H352" s="22" t="s">
        <v>5127</v>
      </c>
      <c r="I352" s="22"/>
      <c r="J352" s="22" t="s">
        <v>3136</v>
      </c>
      <c r="K352" s="15">
        <v>42030</v>
      </c>
      <c r="L352" s="12" t="s">
        <v>1234</v>
      </c>
      <c r="M352" s="12" t="s">
        <v>5797</v>
      </c>
      <c r="N352" s="16">
        <v>2</v>
      </c>
      <c r="O352" s="40">
        <v>21600</v>
      </c>
      <c r="P352" s="40">
        <v>21600</v>
      </c>
      <c r="Q352" s="40">
        <f t="shared" si="8"/>
        <v>0</v>
      </c>
      <c r="R352" s="285" t="s">
        <v>574</v>
      </c>
      <c r="S352" s="15">
        <v>41984</v>
      </c>
      <c r="T352" s="285" t="s">
        <v>5798</v>
      </c>
    </row>
    <row r="353" spans="1:20" s="39" customFormat="1" ht="110.25" customHeight="1" x14ac:dyDescent="0.2">
      <c r="A353" s="289">
        <v>357</v>
      </c>
      <c r="B353" s="289" t="s">
        <v>4235</v>
      </c>
      <c r="C353" s="289"/>
      <c r="D353" s="9" t="s">
        <v>5799</v>
      </c>
      <c r="E353" s="22" t="s">
        <v>1374</v>
      </c>
      <c r="F353" s="9" t="s">
        <v>5800</v>
      </c>
      <c r="G353" s="285" t="s">
        <v>7978</v>
      </c>
      <c r="H353" s="22" t="s">
        <v>5127</v>
      </c>
      <c r="I353" s="22"/>
      <c r="J353" s="22" t="s">
        <v>3136</v>
      </c>
      <c r="K353" s="15">
        <v>42030</v>
      </c>
      <c r="L353" s="12" t="s">
        <v>1234</v>
      </c>
      <c r="M353" s="12" t="s">
        <v>5797</v>
      </c>
      <c r="N353" s="16">
        <v>2</v>
      </c>
      <c r="O353" s="40">
        <v>6326</v>
      </c>
      <c r="P353" s="40">
        <v>6326</v>
      </c>
      <c r="Q353" s="40">
        <f t="shared" si="8"/>
        <v>0</v>
      </c>
      <c r="R353" s="285" t="s">
        <v>574</v>
      </c>
      <c r="S353" s="15">
        <v>41984</v>
      </c>
      <c r="T353" s="285" t="s">
        <v>5798</v>
      </c>
    </row>
    <row r="354" spans="1:20" s="39" customFormat="1" ht="110.25" customHeight="1" x14ac:dyDescent="0.2">
      <c r="A354" s="289">
        <v>358</v>
      </c>
      <c r="B354" s="289" t="s">
        <v>4302</v>
      </c>
      <c r="C354" s="289"/>
      <c r="D354" s="9" t="s">
        <v>5802</v>
      </c>
      <c r="E354" s="22" t="s">
        <v>1374</v>
      </c>
      <c r="F354" s="9" t="s">
        <v>5801</v>
      </c>
      <c r="G354" s="285" t="s">
        <v>7978</v>
      </c>
      <c r="H354" s="22" t="s">
        <v>5127</v>
      </c>
      <c r="I354" s="22"/>
      <c r="J354" s="22" t="s">
        <v>3136</v>
      </c>
      <c r="K354" s="15">
        <v>42030</v>
      </c>
      <c r="L354" s="12" t="s">
        <v>1234</v>
      </c>
      <c r="M354" s="12" t="s">
        <v>5797</v>
      </c>
      <c r="N354" s="16">
        <v>2</v>
      </c>
      <c r="O354" s="40">
        <v>16598</v>
      </c>
      <c r="P354" s="40">
        <v>16598</v>
      </c>
      <c r="Q354" s="40">
        <f t="shared" si="8"/>
        <v>0</v>
      </c>
      <c r="R354" s="285" t="s">
        <v>574</v>
      </c>
      <c r="S354" s="15">
        <v>41984</v>
      </c>
      <c r="T354" s="285" t="s">
        <v>5798</v>
      </c>
    </row>
    <row r="355" spans="1:20" s="39" customFormat="1" ht="110.25" customHeight="1" x14ac:dyDescent="0.2">
      <c r="A355" s="289">
        <v>359</v>
      </c>
      <c r="B355" s="289" t="s">
        <v>4303</v>
      </c>
      <c r="C355" s="289"/>
      <c r="D355" s="9" t="s">
        <v>1060</v>
      </c>
      <c r="E355" s="22" t="s">
        <v>1374</v>
      </c>
      <c r="F355" s="9" t="s">
        <v>1061</v>
      </c>
      <c r="G355" s="285" t="s">
        <v>7978</v>
      </c>
      <c r="H355" s="22" t="s">
        <v>5127</v>
      </c>
      <c r="I355" s="22"/>
      <c r="J355" s="22" t="s">
        <v>3136</v>
      </c>
      <c r="K355" s="15">
        <v>42030</v>
      </c>
      <c r="L355" s="12" t="s">
        <v>1234</v>
      </c>
      <c r="M355" s="12" t="s">
        <v>5797</v>
      </c>
      <c r="N355" s="16">
        <v>2</v>
      </c>
      <c r="O355" s="40">
        <v>7902</v>
      </c>
      <c r="P355" s="40">
        <v>7902</v>
      </c>
      <c r="Q355" s="40">
        <f t="shared" si="8"/>
        <v>0</v>
      </c>
      <c r="R355" s="285" t="s">
        <v>574</v>
      </c>
      <c r="S355" s="15">
        <v>41984</v>
      </c>
      <c r="T355" s="285" t="s">
        <v>5798</v>
      </c>
    </row>
    <row r="356" spans="1:20" s="39" customFormat="1" ht="110.25" customHeight="1" x14ac:dyDescent="0.2">
      <c r="A356" s="289">
        <v>360</v>
      </c>
      <c r="B356" s="289" t="s">
        <v>1062</v>
      </c>
      <c r="C356" s="289"/>
      <c r="D356" s="9" t="s">
        <v>1063</v>
      </c>
      <c r="E356" s="22" t="s">
        <v>1374</v>
      </c>
      <c r="F356" s="9" t="s">
        <v>1061</v>
      </c>
      <c r="G356" s="285" t="s">
        <v>7978</v>
      </c>
      <c r="H356" s="22" t="s">
        <v>5127</v>
      </c>
      <c r="I356" s="22"/>
      <c r="J356" s="22" t="s">
        <v>3136</v>
      </c>
      <c r="K356" s="15">
        <v>42030</v>
      </c>
      <c r="L356" s="12" t="s">
        <v>1234</v>
      </c>
      <c r="M356" s="12" t="s">
        <v>5797</v>
      </c>
      <c r="N356" s="16">
        <v>2</v>
      </c>
      <c r="O356" s="40">
        <v>8410</v>
      </c>
      <c r="P356" s="40">
        <v>8410</v>
      </c>
      <c r="Q356" s="40">
        <f t="shared" si="8"/>
        <v>0</v>
      </c>
      <c r="R356" s="285" t="s">
        <v>574</v>
      </c>
      <c r="S356" s="15">
        <v>41984</v>
      </c>
      <c r="T356" s="285" t="s">
        <v>5798</v>
      </c>
    </row>
    <row r="357" spans="1:20" s="39" customFormat="1" ht="110.25" customHeight="1" x14ac:dyDescent="0.2">
      <c r="A357" s="289">
        <v>361</v>
      </c>
      <c r="B357" s="289" t="s">
        <v>5138</v>
      </c>
      <c r="C357" s="289"/>
      <c r="D357" s="9" t="s">
        <v>3118</v>
      </c>
      <c r="E357" s="22" t="s">
        <v>1374</v>
      </c>
      <c r="F357" s="9" t="s">
        <v>1875</v>
      </c>
      <c r="G357" s="285" t="s">
        <v>7934</v>
      </c>
      <c r="H357" s="22" t="s">
        <v>5127</v>
      </c>
      <c r="I357" s="22"/>
      <c r="J357" s="22" t="s">
        <v>3136</v>
      </c>
      <c r="K357" s="15">
        <v>42031</v>
      </c>
      <c r="L357" s="12" t="s">
        <v>5903</v>
      </c>
      <c r="M357" s="12" t="s">
        <v>3385</v>
      </c>
      <c r="N357" s="16">
        <v>1</v>
      </c>
      <c r="O357" s="40">
        <v>5389</v>
      </c>
      <c r="P357" s="40">
        <v>5389</v>
      </c>
      <c r="Q357" s="40">
        <f t="shared" si="8"/>
        <v>0</v>
      </c>
      <c r="R357" s="285" t="s">
        <v>2106</v>
      </c>
      <c r="S357" s="15">
        <v>41989</v>
      </c>
      <c r="T357" s="285">
        <v>2920140042</v>
      </c>
    </row>
    <row r="358" spans="1:20" s="39" customFormat="1" ht="95.25" customHeight="1" x14ac:dyDescent="0.2">
      <c r="A358" s="289">
        <v>362</v>
      </c>
      <c r="B358" s="289" t="s">
        <v>4457</v>
      </c>
      <c r="C358" s="289"/>
      <c r="D358" s="9" t="s">
        <v>306</v>
      </c>
      <c r="E358" s="22" t="s">
        <v>1374</v>
      </c>
      <c r="F358" s="9" t="s">
        <v>307</v>
      </c>
      <c r="G358" s="285" t="s">
        <v>792</v>
      </c>
      <c r="H358" s="22" t="s">
        <v>5127</v>
      </c>
      <c r="I358" s="22"/>
      <c r="J358" s="22" t="s">
        <v>3136</v>
      </c>
      <c r="K358" s="15">
        <v>42030</v>
      </c>
      <c r="L358" s="12" t="s">
        <v>2987</v>
      </c>
      <c r="M358" s="12" t="s">
        <v>1649</v>
      </c>
      <c r="N358" s="16">
        <v>1</v>
      </c>
      <c r="O358" s="40">
        <v>7900</v>
      </c>
      <c r="P358" s="40">
        <v>7900</v>
      </c>
      <c r="Q358" s="40">
        <f t="shared" si="8"/>
        <v>0</v>
      </c>
      <c r="R358" s="285" t="s">
        <v>5110</v>
      </c>
      <c r="S358" s="15">
        <v>41975</v>
      </c>
      <c r="T358" s="285">
        <v>190</v>
      </c>
    </row>
    <row r="359" spans="1:20" s="39" customFormat="1" ht="104.25" customHeight="1" x14ac:dyDescent="0.2">
      <c r="A359" s="289">
        <v>363</v>
      </c>
      <c r="B359" s="289" t="s">
        <v>708</v>
      </c>
      <c r="C359" s="289"/>
      <c r="D359" s="9" t="s">
        <v>2585</v>
      </c>
      <c r="E359" s="22" t="s">
        <v>1374</v>
      </c>
      <c r="F359" s="9" t="s">
        <v>2220</v>
      </c>
      <c r="G359" s="285" t="s">
        <v>7934</v>
      </c>
      <c r="H359" s="22" t="s">
        <v>5127</v>
      </c>
      <c r="I359" s="22"/>
      <c r="J359" s="22" t="s">
        <v>3136</v>
      </c>
      <c r="K359" s="15">
        <v>42030</v>
      </c>
      <c r="L359" s="12" t="s">
        <v>891</v>
      </c>
      <c r="M359" s="12" t="s">
        <v>6192</v>
      </c>
      <c r="N359" s="16">
        <v>1</v>
      </c>
      <c r="O359" s="40">
        <v>3650</v>
      </c>
      <c r="P359" s="40">
        <v>3650</v>
      </c>
      <c r="Q359" s="40">
        <f t="shared" si="8"/>
        <v>0</v>
      </c>
      <c r="R359" s="285" t="s">
        <v>353</v>
      </c>
      <c r="S359" s="15">
        <v>41990</v>
      </c>
      <c r="T359" s="285">
        <v>2920140043</v>
      </c>
    </row>
    <row r="360" spans="1:20" s="39" customFormat="1" ht="112.5" customHeight="1" x14ac:dyDescent="0.2">
      <c r="A360" s="289">
        <v>364</v>
      </c>
      <c r="B360" s="289" t="s">
        <v>2893</v>
      </c>
      <c r="C360" s="289"/>
      <c r="D360" s="9" t="s">
        <v>354</v>
      </c>
      <c r="E360" s="22" t="s">
        <v>1374</v>
      </c>
      <c r="F360" s="9" t="s">
        <v>5171</v>
      </c>
      <c r="G360" s="285" t="s">
        <v>7934</v>
      </c>
      <c r="H360" s="22" t="s">
        <v>5127</v>
      </c>
      <c r="I360" s="22"/>
      <c r="J360" s="22" t="s">
        <v>3136</v>
      </c>
      <c r="K360" s="15">
        <v>42030</v>
      </c>
      <c r="L360" s="12" t="s">
        <v>891</v>
      </c>
      <c r="M360" s="12" t="s">
        <v>6192</v>
      </c>
      <c r="N360" s="16">
        <v>2</v>
      </c>
      <c r="O360" s="40">
        <v>10600</v>
      </c>
      <c r="P360" s="40">
        <v>10600</v>
      </c>
      <c r="Q360" s="40">
        <f t="shared" si="8"/>
        <v>0</v>
      </c>
      <c r="R360" s="285" t="s">
        <v>353</v>
      </c>
      <c r="S360" s="15">
        <v>41990</v>
      </c>
      <c r="T360" s="285">
        <v>2920140043</v>
      </c>
    </row>
    <row r="361" spans="1:20" s="39" customFormat="1" ht="90.75" customHeight="1" x14ac:dyDescent="0.2">
      <c r="A361" s="289">
        <v>365</v>
      </c>
      <c r="B361" s="289" t="s">
        <v>4555</v>
      </c>
      <c r="C361" s="289"/>
      <c r="D361" s="9" t="s">
        <v>4279</v>
      </c>
      <c r="E361" s="22" t="s">
        <v>1374</v>
      </c>
      <c r="F361" s="9" t="s">
        <v>4280</v>
      </c>
      <c r="G361" s="285" t="s">
        <v>7981</v>
      </c>
      <c r="H361" s="22" t="s">
        <v>5127</v>
      </c>
      <c r="I361" s="22"/>
      <c r="J361" s="22" t="s">
        <v>3136</v>
      </c>
      <c r="K361" s="15">
        <v>42032</v>
      </c>
      <c r="L361" s="12" t="s">
        <v>2980</v>
      </c>
      <c r="M361" s="12" t="s">
        <v>4281</v>
      </c>
      <c r="N361" s="16">
        <v>1</v>
      </c>
      <c r="O361" s="40">
        <v>13000</v>
      </c>
      <c r="P361" s="40">
        <v>13000</v>
      </c>
      <c r="Q361" s="40">
        <f t="shared" si="8"/>
        <v>0</v>
      </c>
      <c r="R361" s="285" t="s">
        <v>5377</v>
      </c>
      <c r="S361" s="15">
        <v>42016</v>
      </c>
      <c r="T361" s="285" t="s">
        <v>1029</v>
      </c>
    </row>
    <row r="362" spans="1:20" s="39" customFormat="1" ht="43.5" customHeight="1" x14ac:dyDescent="0.2">
      <c r="A362" s="289">
        <v>366</v>
      </c>
      <c r="B362" s="289" t="s">
        <v>5636</v>
      </c>
      <c r="C362" s="289"/>
      <c r="D362" s="9" t="s">
        <v>5637</v>
      </c>
      <c r="E362" s="22" t="s">
        <v>1374</v>
      </c>
      <c r="F362" s="9" t="s">
        <v>971</v>
      </c>
      <c r="G362" s="285" t="s">
        <v>8293</v>
      </c>
      <c r="H362" s="22" t="s">
        <v>5127</v>
      </c>
      <c r="I362" s="22"/>
      <c r="J362" s="22" t="s">
        <v>3136</v>
      </c>
      <c r="K362" s="15">
        <v>42033</v>
      </c>
      <c r="L362" s="12" t="s">
        <v>5974</v>
      </c>
      <c r="M362" s="12" t="s">
        <v>6192</v>
      </c>
      <c r="N362" s="16">
        <v>3</v>
      </c>
      <c r="O362" s="40">
        <v>15000</v>
      </c>
      <c r="P362" s="40">
        <v>15000</v>
      </c>
      <c r="Q362" s="40">
        <f t="shared" si="8"/>
        <v>0</v>
      </c>
      <c r="R362" s="285" t="s">
        <v>970</v>
      </c>
      <c r="S362" s="15">
        <v>41990</v>
      </c>
      <c r="T362" s="285">
        <v>6120140026</v>
      </c>
    </row>
    <row r="363" spans="1:20" s="39" customFormat="1" ht="43.5" customHeight="1" x14ac:dyDescent="0.2">
      <c r="A363" s="289">
        <v>367</v>
      </c>
      <c r="B363" s="289" t="s">
        <v>6006</v>
      </c>
      <c r="C363" s="289"/>
      <c r="D363" s="9" t="s">
        <v>6007</v>
      </c>
      <c r="E363" s="22" t="s">
        <v>1374</v>
      </c>
      <c r="F363" s="9" t="s">
        <v>6008</v>
      </c>
      <c r="G363" s="285" t="s">
        <v>9194</v>
      </c>
      <c r="H363" s="22" t="s">
        <v>5127</v>
      </c>
      <c r="I363" s="22"/>
      <c r="J363" s="22" t="s">
        <v>3136</v>
      </c>
      <c r="K363" s="15">
        <v>42039</v>
      </c>
      <c r="L363" s="12" t="s">
        <v>3184</v>
      </c>
      <c r="M363" s="12" t="s">
        <v>3630</v>
      </c>
      <c r="N363" s="16">
        <v>2</v>
      </c>
      <c r="O363" s="40">
        <v>7000</v>
      </c>
      <c r="P363" s="40">
        <v>7000</v>
      </c>
      <c r="Q363" s="40">
        <f t="shared" si="8"/>
        <v>0</v>
      </c>
      <c r="R363" s="285" t="s">
        <v>970</v>
      </c>
      <c r="S363" s="15">
        <v>41821</v>
      </c>
      <c r="T363" s="285">
        <v>6220140010</v>
      </c>
    </row>
    <row r="364" spans="1:20" s="39" customFormat="1" ht="37.5" customHeight="1" x14ac:dyDescent="0.2">
      <c r="A364" s="289">
        <v>369</v>
      </c>
      <c r="B364" s="289" t="s">
        <v>4851</v>
      </c>
      <c r="C364" s="289"/>
      <c r="D364" s="9" t="s">
        <v>3564</v>
      </c>
      <c r="E364" s="22"/>
      <c r="F364" s="9" t="s">
        <v>3565</v>
      </c>
      <c r="G364" s="56" t="s">
        <v>101</v>
      </c>
      <c r="H364" s="22" t="s">
        <v>5127</v>
      </c>
      <c r="I364" s="22"/>
      <c r="J364" s="22" t="s">
        <v>3136</v>
      </c>
      <c r="K364" s="14">
        <v>42046</v>
      </c>
      <c r="L364" s="285">
        <v>176</v>
      </c>
      <c r="M364" s="12"/>
      <c r="N364" s="16">
        <v>1</v>
      </c>
      <c r="O364" s="40">
        <v>4000</v>
      </c>
      <c r="P364" s="40">
        <v>4000</v>
      </c>
      <c r="Q364" s="40">
        <f t="shared" si="8"/>
        <v>0</v>
      </c>
      <c r="R364" s="39" t="s">
        <v>3588</v>
      </c>
      <c r="S364" s="15">
        <v>41940</v>
      </c>
      <c r="T364" s="22" t="s">
        <v>3589</v>
      </c>
    </row>
    <row r="365" spans="1:20" s="39" customFormat="1" ht="32.25" customHeight="1" x14ac:dyDescent="0.2">
      <c r="A365" s="289">
        <v>370</v>
      </c>
      <c r="B365" s="289" t="s">
        <v>4852</v>
      </c>
      <c r="C365" s="289"/>
      <c r="D365" s="9" t="s">
        <v>3567</v>
      </c>
      <c r="E365" s="22"/>
      <c r="F365" s="9" t="s">
        <v>3566</v>
      </c>
      <c r="G365" s="56" t="s">
        <v>101</v>
      </c>
      <c r="H365" s="22" t="s">
        <v>5127</v>
      </c>
      <c r="I365" s="22"/>
      <c r="J365" s="22" t="s">
        <v>3136</v>
      </c>
      <c r="K365" s="14">
        <v>42046</v>
      </c>
      <c r="L365" s="285">
        <v>176</v>
      </c>
      <c r="M365" s="12"/>
      <c r="N365" s="16">
        <v>1</v>
      </c>
      <c r="O365" s="40">
        <v>30000</v>
      </c>
      <c r="P365" s="40">
        <v>30000</v>
      </c>
      <c r="Q365" s="40">
        <f t="shared" si="8"/>
        <v>0</v>
      </c>
      <c r="R365" s="285" t="s">
        <v>1611</v>
      </c>
      <c r="S365" s="15">
        <v>41969</v>
      </c>
      <c r="T365" s="285" t="s">
        <v>1029</v>
      </c>
    </row>
    <row r="366" spans="1:20" s="39" customFormat="1" ht="144" customHeight="1" x14ac:dyDescent="0.2">
      <c r="A366" s="289">
        <v>371</v>
      </c>
      <c r="B366" s="289" t="s">
        <v>2971</v>
      </c>
      <c r="C366" s="289"/>
      <c r="D366" s="9" t="s">
        <v>3375</v>
      </c>
      <c r="E366" s="22" t="s">
        <v>2222</v>
      </c>
      <c r="F366" s="9" t="s">
        <v>9167</v>
      </c>
      <c r="G366" s="285" t="s">
        <v>8293</v>
      </c>
      <c r="H366" s="22" t="s">
        <v>5127</v>
      </c>
      <c r="I366" s="22"/>
      <c r="J366" s="22"/>
      <c r="K366" s="14"/>
      <c r="L366" s="285"/>
      <c r="M366" s="12"/>
      <c r="N366" s="16">
        <v>2</v>
      </c>
      <c r="O366" s="40">
        <v>12200</v>
      </c>
      <c r="P366" s="40">
        <v>12200</v>
      </c>
      <c r="Q366" s="40">
        <f t="shared" si="8"/>
        <v>0</v>
      </c>
      <c r="R366" s="285"/>
      <c r="S366" s="15"/>
      <c r="T366" s="285"/>
    </row>
    <row r="367" spans="1:20" s="39" customFormat="1" ht="144" customHeight="1" x14ac:dyDescent="0.2">
      <c r="A367" s="289">
        <v>372</v>
      </c>
      <c r="B367" s="289" t="s">
        <v>2972</v>
      </c>
      <c r="C367" s="289"/>
      <c r="D367" s="9" t="s">
        <v>302</v>
      </c>
      <c r="E367" s="22" t="s">
        <v>4980</v>
      </c>
      <c r="F367" s="9" t="s">
        <v>303</v>
      </c>
      <c r="G367" s="285" t="s">
        <v>8293</v>
      </c>
      <c r="H367" s="22" t="s">
        <v>5127</v>
      </c>
      <c r="I367" s="22"/>
      <c r="J367" s="22"/>
      <c r="K367" s="14"/>
      <c r="L367" s="285"/>
      <c r="M367" s="12"/>
      <c r="N367" s="16">
        <v>1</v>
      </c>
      <c r="O367" s="40">
        <v>5970</v>
      </c>
      <c r="P367" s="40">
        <v>5970</v>
      </c>
      <c r="Q367" s="40">
        <f t="shared" si="8"/>
        <v>0</v>
      </c>
      <c r="R367" s="285"/>
      <c r="S367" s="15"/>
      <c r="T367" s="285"/>
    </row>
    <row r="368" spans="1:20" s="39" customFormat="1" ht="144" customHeight="1" x14ac:dyDescent="0.2">
      <c r="A368" s="289">
        <v>373</v>
      </c>
      <c r="B368" s="289" t="s">
        <v>2512</v>
      </c>
      <c r="C368" s="289"/>
      <c r="D368" s="9" t="s">
        <v>110</v>
      </c>
      <c r="E368" s="22" t="s">
        <v>4426</v>
      </c>
      <c r="F368" s="9" t="s">
        <v>6530</v>
      </c>
      <c r="G368" s="285" t="s">
        <v>8293</v>
      </c>
      <c r="H368" s="22" t="s">
        <v>5127</v>
      </c>
      <c r="I368" s="22"/>
      <c r="J368" s="22"/>
      <c r="K368" s="14"/>
      <c r="L368" s="285"/>
      <c r="M368" s="12"/>
      <c r="N368" s="16">
        <v>1</v>
      </c>
      <c r="O368" s="40">
        <v>9786</v>
      </c>
      <c r="P368" s="40">
        <v>9786</v>
      </c>
      <c r="Q368" s="40">
        <f t="shared" si="8"/>
        <v>0</v>
      </c>
      <c r="R368" s="285"/>
      <c r="S368" s="15"/>
      <c r="T368" s="285"/>
    </row>
    <row r="369" spans="1:20" s="39" customFormat="1" ht="79.5" customHeight="1" x14ac:dyDescent="0.2">
      <c r="A369" s="289">
        <v>374</v>
      </c>
      <c r="B369" s="289" t="s">
        <v>2513</v>
      </c>
      <c r="C369" s="289"/>
      <c r="D369" s="9" t="s">
        <v>4443</v>
      </c>
      <c r="E369" s="22" t="s">
        <v>3412</v>
      </c>
      <c r="F369" s="9" t="s">
        <v>4444</v>
      </c>
      <c r="G369" s="285" t="s">
        <v>7464</v>
      </c>
      <c r="H369" s="22" t="s">
        <v>5127</v>
      </c>
      <c r="I369" s="22"/>
      <c r="J369" s="22" t="s">
        <v>10461</v>
      </c>
      <c r="K369" s="14">
        <v>44266</v>
      </c>
      <c r="L369" s="285">
        <v>168</v>
      </c>
      <c r="M369" s="12" t="s">
        <v>10689</v>
      </c>
      <c r="N369" s="16">
        <v>1</v>
      </c>
      <c r="O369" s="40">
        <v>4500</v>
      </c>
      <c r="P369" s="40">
        <v>4500</v>
      </c>
      <c r="Q369" s="40">
        <f t="shared" si="8"/>
        <v>0</v>
      </c>
      <c r="R369" s="285"/>
      <c r="S369" s="15"/>
      <c r="T369" s="285"/>
    </row>
    <row r="370" spans="1:20" s="39" customFormat="1" ht="144" customHeight="1" x14ac:dyDescent="0.2">
      <c r="A370" s="289">
        <v>375</v>
      </c>
      <c r="B370" s="289" t="s">
        <v>2090</v>
      </c>
      <c r="C370" s="289"/>
      <c r="D370" s="9" t="s">
        <v>1300</v>
      </c>
      <c r="E370" s="22" t="s">
        <v>4426</v>
      </c>
      <c r="F370" s="13" t="s">
        <v>677</v>
      </c>
      <c r="G370" s="285" t="s">
        <v>8293</v>
      </c>
      <c r="H370" s="22" t="s">
        <v>5127</v>
      </c>
      <c r="I370" s="22"/>
      <c r="J370" s="22"/>
      <c r="K370" s="14"/>
      <c r="L370" s="285"/>
      <c r="M370" s="12"/>
      <c r="N370" s="16">
        <v>1</v>
      </c>
      <c r="O370" s="40">
        <v>3850</v>
      </c>
      <c r="P370" s="40">
        <v>3850</v>
      </c>
      <c r="Q370" s="40">
        <f t="shared" si="8"/>
        <v>0</v>
      </c>
      <c r="R370" s="285"/>
      <c r="S370" s="15"/>
      <c r="T370" s="285"/>
    </row>
    <row r="371" spans="1:20" s="39" customFormat="1" ht="144" customHeight="1" x14ac:dyDescent="0.2">
      <c r="A371" s="289">
        <v>376</v>
      </c>
      <c r="B371" s="289" t="s">
        <v>111</v>
      </c>
      <c r="C371" s="289"/>
      <c r="D371" s="9" t="s">
        <v>5278</v>
      </c>
      <c r="E371" s="22" t="s">
        <v>3412</v>
      </c>
      <c r="F371" s="13" t="s">
        <v>678</v>
      </c>
      <c r="G371" s="285" t="s">
        <v>8293</v>
      </c>
      <c r="H371" s="22" t="s">
        <v>5127</v>
      </c>
      <c r="I371" s="22"/>
      <c r="J371" s="22"/>
      <c r="K371" s="14"/>
      <c r="L371" s="285"/>
      <c r="M371" s="12"/>
      <c r="N371" s="16">
        <v>1</v>
      </c>
      <c r="O371" s="17">
        <v>7300</v>
      </c>
      <c r="P371" s="17">
        <v>7300</v>
      </c>
      <c r="Q371" s="40">
        <f t="shared" si="8"/>
        <v>0</v>
      </c>
      <c r="R371" s="285"/>
      <c r="S371" s="15"/>
      <c r="T371" s="285"/>
    </row>
    <row r="372" spans="1:20" s="39" customFormat="1" ht="144" customHeight="1" x14ac:dyDescent="0.2">
      <c r="A372" s="289">
        <v>377</v>
      </c>
      <c r="B372" s="289" t="s">
        <v>112</v>
      </c>
      <c r="C372" s="289"/>
      <c r="D372" s="9" t="s">
        <v>4590</v>
      </c>
      <c r="E372" s="22" t="s">
        <v>4980</v>
      </c>
      <c r="F372" s="13" t="s">
        <v>4591</v>
      </c>
      <c r="G372" s="285" t="s">
        <v>8293</v>
      </c>
      <c r="H372" s="22" t="s">
        <v>5127</v>
      </c>
      <c r="I372" s="22"/>
      <c r="J372" s="22"/>
      <c r="K372" s="14"/>
      <c r="L372" s="285"/>
      <c r="M372" s="12"/>
      <c r="N372" s="16">
        <v>1</v>
      </c>
      <c r="O372" s="17">
        <v>6660</v>
      </c>
      <c r="P372" s="17">
        <v>6660</v>
      </c>
      <c r="Q372" s="40">
        <f t="shared" si="8"/>
        <v>0</v>
      </c>
      <c r="R372" s="285"/>
      <c r="S372" s="15"/>
      <c r="T372" s="285"/>
    </row>
    <row r="373" spans="1:20" s="39" customFormat="1" ht="144" customHeight="1" x14ac:dyDescent="0.2">
      <c r="A373" s="289">
        <v>378</v>
      </c>
      <c r="B373" s="289" t="s">
        <v>113</v>
      </c>
      <c r="C373" s="289"/>
      <c r="D373" s="9" t="s">
        <v>3897</v>
      </c>
      <c r="E373" s="22" t="s">
        <v>4426</v>
      </c>
      <c r="F373" s="13" t="s">
        <v>2800</v>
      </c>
      <c r="G373" s="285" t="s">
        <v>8293</v>
      </c>
      <c r="H373" s="22" t="s">
        <v>5127</v>
      </c>
      <c r="I373" s="22"/>
      <c r="J373" s="22"/>
      <c r="K373" s="14"/>
      <c r="L373" s="285"/>
      <c r="M373" s="12"/>
      <c r="N373" s="16">
        <v>1</v>
      </c>
      <c r="O373" s="17">
        <v>7000</v>
      </c>
      <c r="P373" s="17">
        <v>7000</v>
      </c>
      <c r="Q373" s="40">
        <f t="shared" si="8"/>
        <v>0</v>
      </c>
      <c r="R373" s="285"/>
      <c r="S373" s="15"/>
      <c r="T373" s="285"/>
    </row>
    <row r="374" spans="1:20" s="39" customFormat="1" ht="144" customHeight="1" x14ac:dyDescent="0.2">
      <c r="A374" s="289">
        <v>379</v>
      </c>
      <c r="B374" s="289" t="s">
        <v>1753</v>
      </c>
      <c r="C374" s="289"/>
      <c r="D374" s="9" t="s">
        <v>3802</v>
      </c>
      <c r="E374" s="22" t="s">
        <v>3412</v>
      </c>
      <c r="F374" s="13" t="s">
        <v>6333</v>
      </c>
      <c r="G374" s="285" t="s">
        <v>7464</v>
      </c>
      <c r="H374" s="22" t="s">
        <v>5127</v>
      </c>
      <c r="I374" s="22"/>
      <c r="J374" s="22" t="s">
        <v>10461</v>
      </c>
      <c r="K374" s="14">
        <v>44266</v>
      </c>
      <c r="L374" s="285">
        <v>168</v>
      </c>
      <c r="M374" s="12" t="s">
        <v>10689</v>
      </c>
      <c r="N374" s="16">
        <v>1</v>
      </c>
      <c r="O374" s="17">
        <v>6130</v>
      </c>
      <c r="P374" s="17">
        <v>6130</v>
      </c>
      <c r="Q374" s="40">
        <f t="shared" si="8"/>
        <v>0</v>
      </c>
      <c r="R374" s="285"/>
      <c r="S374" s="15"/>
      <c r="T374" s="285"/>
    </row>
    <row r="375" spans="1:20" s="39" customFormat="1" ht="144" customHeight="1" x14ac:dyDescent="0.2">
      <c r="A375" s="289">
        <v>380</v>
      </c>
      <c r="B375" s="289" t="s">
        <v>5683</v>
      </c>
      <c r="C375" s="289"/>
      <c r="D375" s="9" t="s">
        <v>4239</v>
      </c>
      <c r="E375" s="22" t="s">
        <v>1031</v>
      </c>
      <c r="F375" s="13" t="s">
        <v>5486</v>
      </c>
      <c r="G375" s="285" t="s">
        <v>8293</v>
      </c>
      <c r="H375" s="22" t="s">
        <v>5127</v>
      </c>
      <c r="I375" s="22"/>
      <c r="J375" s="22"/>
      <c r="K375" s="14"/>
      <c r="L375" s="285"/>
      <c r="M375" s="12"/>
      <c r="N375" s="16">
        <v>1</v>
      </c>
      <c r="O375" s="17">
        <v>6800</v>
      </c>
      <c r="P375" s="17">
        <v>6800</v>
      </c>
      <c r="Q375" s="40">
        <f t="shared" si="8"/>
        <v>0</v>
      </c>
      <c r="R375" s="285"/>
      <c r="S375" s="15"/>
      <c r="T375" s="285"/>
    </row>
    <row r="376" spans="1:20" s="39" customFormat="1" ht="144" customHeight="1" x14ac:dyDescent="0.2">
      <c r="A376" s="289">
        <v>381</v>
      </c>
      <c r="B376" s="289" t="s">
        <v>5684</v>
      </c>
      <c r="C376" s="289"/>
      <c r="D376" s="9" t="s">
        <v>3622</v>
      </c>
      <c r="E376" s="22" t="s">
        <v>2222</v>
      </c>
      <c r="F376" s="47" t="s">
        <v>1325</v>
      </c>
      <c r="G376" s="285" t="s">
        <v>8293</v>
      </c>
      <c r="H376" s="22" t="s">
        <v>5127</v>
      </c>
      <c r="I376" s="22"/>
      <c r="J376" s="22"/>
      <c r="K376" s="14"/>
      <c r="L376" s="285"/>
      <c r="M376" s="12"/>
      <c r="N376" s="16">
        <v>2</v>
      </c>
      <c r="O376" s="17">
        <v>8400</v>
      </c>
      <c r="P376" s="17">
        <v>8400</v>
      </c>
      <c r="Q376" s="40">
        <f t="shared" si="8"/>
        <v>0</v>
      </c>
      <c r="R376" s="285"/>
      <c r="S376" s="15"/>
      <c r="T376" s="285"/>
    </row>
    <row r="377" spans="1:20" s="39" customFormat="1" ht="144" customHeight="1" x14ac:dyDescent="0.2">
      <c r="A377" s="289">
        <v>382</v>
      </c>
      <c r="B377" s="289" t="s">
        <v>5685</v>
      </c>
      <c r="C377" s="289"/>
      <c r="D377" s="9" t="s">
        <v>3623</v>
      </c>
      <c r="E377" s="22" t="s">
        <v>2222</v>
      </c>
      <c r="F377" s="47" t="s">
        <v>4529</v>
      </c>
      <c r="G377" s="285" t="s">
        <v>8293</v>
      </c>
      <c r="H377" s="22" t="s">
        <v>5127</v>
      </c>
      <c r="I377" s="22"/>
      <c r="J377" s="22"/>
      <c r="K377" s="14"/>
      <c r="L377" s="285"/>
      <c r="M377" s="12"/>
      <c r="N377" s="16">
        <v>1</v>
      </c>
      <c r="O377" s="17">
        <v>5300</v>
      </c>
      <c r="P377" s="17">
        <v>5300</v>
      </c>
      <c r="Q377" s="40">
        <f t="shared" si="8"/>
        <v>0</v>
      </c>
      <c r="R377" s="285"/>
      <c r="S377" s="15"/>
      <c r="T377" s="285"/>
    </row>
    <row r="378" spans="1:20" s="39" customFormat="1" ht="144" customHeight="1" x14ac:dyDescent="0.2">
      <c r="A378" s="289">
        <v>383</v>
      </c>
      <c r="B378" s="289" t="s">
        <v>5686</v>
      </c>
      <c r="C378" s="289"/>
      <c r="D378" s="9" t="s">
        <v>3624</v>
      </c>
      <c r="E378" s="22" t="s">
        <v>2222</v>
      </c>
      <c r="F378" s="47" t="s">
        <v>1326</v>
      </c>
      <c r="G378" s="285" t="s">
        <v>8293</v>
      </c>
      <c r="H378" s="22" t="s">
        <v>5127</v>
      </c>
      <c r="I378" s="22"/>
      <c r="J378" s="22"/>
      <c r="K378" s="14"/>
      <c r="L378" s="285"/>
      <c r="M378" s="12"/>
      <c r="N378" s="16">
        <v>2</v>
      </c>
      <c r="O378" s="17">
        <v>7600</v>
      </c>
      <c r="P378" s="17">
        <v>7600</v>
      </c>
      <c r="Q378" s="40">
        <f t="shared" si="8"/>
        <v>0</v>
      </c>
      <c r="R378" s="285"/>
      <c r="S378" s="15"/>
      <c r="T378" s="285"/>
    </row>
    <row r="379" spans="1:20" s="39" customFormat="1" ht="144" customHeight="1" x14ac:dyDescent="0.2">
      <c r="A379" s="289">
        <v>384</v>
      </c>
      <c r="B379" s="289" t="s">
        <v>1327</v>
      </c>
      <c r="C379" s="289"/>
      <c r="D379" s="9" t="s">
        <v>4974</v>
      </c>
      <c r="E379" s="22" t="s">
        <v>4980</v>
      </c>
      <c r="F379" s="13" t="s">
        <v>705</v>
      </c>
      <c r="G379" s="285" t="s">
        <v>7464</v>
      </c>
      <c r="H379" s="22" t="s">
        <v>5127</v>
      </c>
      <c r="I379" s="22"/>
      <c r="J379" s="285" t="s">
        <v>15</v>
      </c>
      <c r="K379" s="14">
        <v>41087</v>
      </c>
      <c r="L379" s="289">
        <v>83</v>
      </c>
      <c r="M379" s="12" t="s">
        <v>1031</v>
      </c>
      <c r="N379" s="17">
        <v>1</v>
      </c>
      <c r="O379" s="17">
        <v>4230</v>
      </c>
      <c r="P379" s="17">
        <v>4230</v>
      </c>
      <c r="Q379" s="40">
        <f t="shared" si="8"/>
        <v>0</v>
      </c>
      <c r="R379" s="285" t="s">
        <v>15</v>
      </c>
      <c r="S379" s="14">
        <v>41087</v>
      </c>
      <c r="T379" s="285">
        <v>83</v>
      </c>
    </row>
    <row r="380" spans="1:20" s="39" customFormat="1" ht="144" customHeight="1" x14ac:dyDescent="0.2">
      <c r="A380" s="289">
        <v>385</v>
      </c>
      <c r="B380" s="289" t="s">
        <v>1328</v>
      </c>
      <c r="C380" s="289"/>
      <c r="D380" s="9" t="s">
        <v>6001</v>
      </c>
      <c r="E380" s="22" t="s">
        <v>3412</v>
      </c>
      <c r="F380" s="13" t="s">
        <v>706</v>
      </c>
      <c r="G380" s="285" t="s">
        <v>7464</v>
      </c>
      <c r="H380" s="22" t="s">
        <v>5127</v>
      </c>
      <c r="I380" s="22"/>
      <c r="J380" s="285" t="s">
        <v>15</v>
      </c>
      <c r="K380" s="14">
        <v>41087</v>
      </c>
      <c r="L380" s="289">
        <v>83</v>
      </c>
      <c r="M380" s="12" t="s">
        <v>1031</v>
      </c>
      <c r="N380" s="17">
        <v>1</v>
      </c>
      <c r="O380" s="17">
        <v>3400</v>
      </c>
      <c r="P380" s="17">
        <v>3400</v>
      </c>
      <c r="Q380" s="40">
        <f t="shared" si="8"/>
        <v>0</v>
      </c>
      <c r="R380" s="285" t="s">
        <v>15</v>
      </c>
      <c r="S380" s="14">
        <v>41087</v>
      </c>
      <c r="T380" s="285">
        <v>83</v>
      </c>
    </row>
    <row r="381" spans="1:20" s="39" customFormat="1" ht="144" customHeight="1" x14ac:dyDescent="0.2">
      <c r="A381" s="289">
        <v>386</v>
      </c>
      <c r="B381" s="289" t="s">
        <v>1329</v>
      </c>
      <c r="C381" s="289"/>
      <c r="D381" s="9" t="s">
        <v>4443</v>
      </c>
      <c r="E381" s="22" t="s">
        <v>4980</v>
      </c>
      <c r="F381" s="13" t="s">
        <v>3656</v>
      </c>
      <c r="G381" s="285" t="s">
        <v>7464</v>
      </c>
      <c r="H381" s="22" t="s">
        <v>5127</v>
      </c>
      <c r="I381" s="22"/>
      <c r="J381" s="285" t="s">
        <v>15</v>
      </c>
      <c r="K381" s="14">
        <v>41087</v>
      </c>
      <c r="L381" s="289">
        <v>83</v>
      </c>
      <c r="M381" s="12" t="s">
        <v>1031</v>
      </c>
      <c r="N381" s="17">
        <v>1</v>
      </c>
      <c r="O381" s="17">
        <v>4540</v>
      </c>
      <c r="P381" s="17">
        <v>4540</v>
      </c>
      <c r="Q381" s="40">
        <f t="shared" ref="Q381:Q412" si="9">O381-P381</f>
        <v>0</v>
      </c>
      <c r="R381" s="285" t="s">
        <v>15</v>
      </c>
      <c r="S381" s="14">
        <v>41087</v>
      </c>
      <c r="T381" s="285">
        <v>83</v>
      </c>
    </row>
    <row r="382" spans="1:20" s="39" customFormat="1" ht="144" customHeight="1" x14ac:dyDescent="0.2">
      <c r="A382" s="289">
        <v>387</v>
      </c>
      <c r="B382" s="289" t="s">
        <v>5840</v>
      </c>
      <c r="C382" s="289"/>
      <c r="D382" s="9" t="s">
        <v>4443</v>
      </c>
      <c r="E382" s="22" t="s">
        <v>3412</v>
      </c>
      <c r="F382" s="13" t="s">
        <v>5618</v>
      </c>
      <c r="G382" s="285" t="s">
        <v>7464</v>
      </c>
      <c r="H382" s="22" t="s">
        <v>5127</v>
      </c>
      <c r="I382" s="22"/>
      <c r="J382" s="285" t="s">
        <v>15</v>
      </c>
      <c r="K382" s="14">
        <v>41087</v>
      </c>
      <c r="L382" s="289">
        <v>83</v>
      </c>
      <c r="M382" s="12" t="s">
        <v>1031</v>
      </c>
      <c r="N382" s="17">
        <v>1</v>
      </c>
      <c r="O382" s="17">
        <v>6150</v>
      </c>
      <c r="P382" s="17">
        <v>6150</v>
      </c>
      <c r="Q382" s="40">
        <f t="shared" si="9"/>
        <v>0</v>
      </c>
      <c r="R382" s="285" t="s">
        <v>15</v>
      </c>
      <c r="S382" s="14">
        <v>41087</v>
      </c>
      <c r="T382" s="285">
        <v>83</v>
      </c>
    </row>
    <row r="383" spans="1:20" s="39" customFormat="1" ht="144" customHeight="1" x14ac:dyDescent="0.2">
      <c r="A383" s="289">
        <v>388</v>
      </c>
      <c r="B383" s="289" t="s">
        <v>4285</v>
      </c>
      <c r="C383" s="289"/>
      <c r="D383" s="9" t="s">
        <v>4443</v>
      </c>
      <c r="E383" s="22" t="s">
        <v>3412</v>
      </c>
      <c r="F383" s="47" t="s">
        <v>707</v>
      </c>
      <c r="G383" s="285" t="s">
        <v>7464</v>
      </c>
      <c r="H383" s="22" t="s">
        <v>5127</v>
      </c>
      <c r="I383" s="22"/>
      <c r="J383" s="285" t="s">
        <v>15</v>
      </c>
      <c r="K383" s="14">
        <v>41087</v>
      </c>
      <c r="L383" s="289">
        <v>83</v>
      </c>
      <c r="M383" s="12" t="s">
        <v>1031</v>
      </c>
      <c r="N383" s="17">
        <v>1</v>
      </c>
      <c r="O383" s="17">
        <v>5950</v>
      </c>
      <c r="P383" s="17">
        <v>5950</v>
      </c>
      <c r="Q383" s="40">
        <f t="shared" si="9"/>
        <v>0</v>
      </c>
      <c r="R383" s="285" t="s">
        <v>15</v>
      </c>
      <c r="S383" s="14">
        <v>41087</v>
      </c>
      <c r="T383" s="285">
        <v>83</v>
      </c>
    </row>
    <row r="384" spans="1:20" s="39" customFormat="1" ht="74.25" customHeight="1" x14ac:dyDescent="0.2">
      <c r="A384" s="289">
        <v>389</v>
      </c>
      <c r="B384" s="289" t="s">
        <v>4287</v>
      </c>
      <c r="C384" s="289"/>
      <c r="D384" s="121" t="s">
        <v>5914</v>
      </c>
      <c r="E384" s="22"/>
      <c r="F384" s="47"/>
      <c r="G384" s="285" t="s">
        <v>9194</v>
      </c>
      <c r="H384" s="22" t="s">
        <v>5127</v>
      </c>
      <c r="I384" s="22"/>
      <c r="J384" s="37" t="s">
        <v>3136</v>
      </c>
      <c r="K384" s="14">
        <v>40628</v>
      </c>
      <c r="L384" s="285">
        <v>294</v>
      </c>
      <c r="M384" s="12"/>
      <c r="N384" s="17">
        <v>1</v>
      </c>
      <c r="O384" s="143">
        <v>250</v>
      </c>
      <c r="P384" s="143">
        <v>250</v>
      </c>
      <c r="Q384" s="40">
        <f t="shared" si="9"/>
        <v>0</v>
      </c>
      <c r="R384" s="285"/>
      <c r="S384" s="15"/>
      <c r="T384" s="285"/>
    </row>
    <row r="385" spans="1:20" s="39" customFormat="1" ht="63.75" customHeight="1" x14ac:dyDescent="0.2">
      <c r="A385" s="289">
        <v>390</v>
      </c>
      <c r="B385" s="289" t="s">
        <v>4288</v>
      </c>
      <c r="C385" s="289"/>
      <c r="D385" s="9" t="s">
        <v>3599</v>
      </c>
      <c r="E385" s="22"/>
      <c r="F385" s="13" t="s">
        <v>1955</v>
      </c>
      <c r="G385" s="285" t="s">
        <v>9194</v>
      </c>
      <c r="H385" s="285" t="s">
        <v>5127</v>
      </c>
      <c r="I385" s="22"/>
      <c r="J385" s="22"/>
      <c r="K385" s="14"/>
      <c r="L385" s="285"/>
      <c r="M385" s="12"/>
      <c r="N385" s="48">
        <v>1</v>
      </c>
      <c r="O385" s="48">
        <v>6850</v>
      </c>
      <c r="P385" s="48">
        <v>6850</v>
      </c>
      <c r="Q385" s="40">
        <f t="shared" si="9"/>
        <v>0</v>
      </c>
      <c r="R385" s="285"/>
      <c r="S385" s="15"/>
      <c r="T385" s="285"/>
    </row>
    <row r="386" spans="1:20" s="39" customFormat="1" ht="84" customHeight="1" x14ac:dyDescent="0.2">
      <c r="A386" s="289">
        <v>391</v>
      </c>
      <c r="B386" s="289" t="s">
        <v>4289</v>
      </c>
      <c r="C386" s="289"/>
      <c r="D386" s="9" t="s">
        <v>2170</v>
      </c>
      <c r="E386" s="22"/>
      <c r="F386" s="13" t="s">
        <v>1956</v>
      </c>
      <c r="G386" s="285" t="s">
        <v>8661</v>
      </c>
      <c r="H386" s="285" t="s">
        <v>5127</v>
      </c>
      <c r="I386" s="22"/>
      <c r="J386" s="22"/>
      <c r="K386" s="14"/>
      <c r="L386" s="285"/>
      <c r="M386" s="12"/>
      <c r="N386" s="48">
        <v>1</v>
      </c>
      <c r="O386" s="17">
        <v>7500</v>
      </c>
      <c r="P386" s="17">
        <v>7500</v>
      </c>
      <c r="Q386" s="40">
        <f t="shared" si="9"/>
        <v>0</v>
      </c>
      <c r="R386" s="285"/>
      <c r="S386" s="15"/>
      <c r="T386" s="285"/>
    </row>
    <row r="387" spans="1:20" s="39" customFormat="1" ht="84" customHeight="1" x14ac:dyDescent="0.2">
      <c r="A387" s="289">
        <v>392</v>
      </c>
      <c r="B387" s="289" t="s">
        <v>4290</v>
      </c>
      <c r="C387" s="289"/>
      <c r="D387" s="9" t="s">
        <v>3802</v>
      </c>
      <c r="E387" s="22"/>
      <c r="F387" s="13" t="s">
        <v>3651</v>
      </c>
      <c r="G387" s="285" t="s">
        <v>8661</v>
      </c>
      <c r="H387" s="285" t="s">
        <v>5127</v>
      </c>
      <c r="I387" s="22"/>
      <c r="J387" s="22"/>
      <c r="K387" s="14"/>
      <c r="L387" s="285"/>
      <c r="M387" s="12"/>
      <c r="N387" s="48">
        <v>1</v>
      </c>
      <c r="O387" s="17">
        <v>8980</v>
      </c>
      <c r="P387" s="17">
        <v>8980</v>
      </c>
      <c r="Q387" s="40">
        <f t="shared" si="9"/>
        <v>0</v>
      </c>
      <c r="R387" s="285"/>
      <c r="S387" s="15"/>
      <c r="T387" s="285"/>
    </row>
    <row r="388" spans="1:20" s="39" customFormat="1" ht="84" customHeight="1" x14ac:dyDescent="0.2">
      <c r="A388" s="289">
        <v>393</v>
      </c>
      <c r="B388" s="289" t="s">
        <v>700</v>
      </c>
      <c r="C388" s="289"/>
      <c r="D388" s="9" t="s">
        <v>3779</v>
      </c>
      <c r="E388" s="22"/>
      <c r="F388" s="13" t="s">
        <v>4445</v>
      </c>
      <c r="G388" s="285" t="s">
        <v>9194</v>
      </c>
      <c r="H388" s="285" t="s">
        <v>5127</v>
      </c>
      <c r="I388" s="22"/>
      <c r="J388" s="22"/>
      <c r="K388" s="14"/>
      <c r="L388" s="285"/>
      <c r="M388" s="12"/>
      <c r="N388" s="17">
        <v>4</v>
      </c>
      <c r="O388" s="17">
        <v>24560</v>
      </c>
      <c r="P388" s="17">
        <v>24560</v>
      </c>
      <c r="Q388" s="40">
        <f t="shared" si="9"/>
        <v>0</v>
      </c>
      <c r="R388" s="285"/>
      <c r="S388" s="15"/>
      <c r="T388" s="285"/>
    </row>
    <row r="389" spans="1:20" s="39" customFormat="1" ht="84" customHeight="1" x14ac:dyDescent="0.2">
      <c r="A389" s="289">
        <v>394</v>
      </c>
      <c r="B389" s="289" t="s">
        <v>701</v>
      </c>
      <c r="C389" s="289"/>
      <c r="D389" s="46" t="s">
        <v>5280</v>
      </c>
      <c r="E389" s="22"/>
      <c r="F389" s="47" t="s">
        <v>845</v>
      </c>
      <c r="G389" s="285" t="s">
        <v>9194</v>
      </c>
      <c r="H389" s="285" t="s">
        <v>5127</v>
      </c>
      <c r="I389" s="22"/>
      <c r="J389" s="22"/>
      <c r="K389" s="14"/>
      <c r="L389" s="285"/>
      <c r="M389" s="12"/>
      <c r="N389" s="48">
        <v>1</v>
      </c>
      <c r="O389" s="48">
        <v>9630</v>
      </c>
      <c r="P389" s="48">
        <v>9630</v>
      </c>
      <c r="Q389" s="40">
        <f t="shared" si="9"/>
        <v>0</v>
      </c>
      <c r="R389" s="285"/>
      <c r="S389" s="15"/>
      <c r="T389" s="285"/>
    </row>
    <row r="390" spans="1:20" s="39" customFormat="1" ht="84" customHeight="1" x14ac:dyDescent="0.2">
      <c r="A390" s="289">
        <v>395</v>
      </c>
      <c r="B390" s="289" t="s">
        <v>2015</v>
      </c>
      <c r="C390" s="289" t="s">
        <v>5274</v>
      </c>
      <c r="D390" s="9" t="s">
        <v>3512</v>
      </c>
      <c r="E390" s="22"/>
      <c r="F390" s="13" t="s">
        <v>2019</v>
      </c>
      <c r="G390" s="285" t="s">
        <v>7979</v>
      </c>
      <c r="H390" s="285" t="s">
        <v>5127</v>
      </c>
      <c r="I390" s="22"/>
      <c r="J390" s="22"/>
      <c r="K390" s="14"/>
      <c r="L390" s="285"/>
      <c r="M390" s="12"/>
      <c r="N390" s="48">
        <v>1</v>
      </c>
      <c r="O390" s="48">
        <v>5990</v>
      </c>
      <c r="P390" s="48">
        <v>5990</v>
      </c>
      <c r="Q390" s="40">
        <f t="shared" si="9"/>
        <v>0</v>
      </c>
      <c r="R390" s="285"/>
      <c r="S390" s="15"/>
      <c r="T390" s="285"/>
    </row>
    <row r="391" spans="1:20" s="39" customFormat="1" ht="84" customHeight="1" x14ac:dyDescent="0.2">
      <c r="A391" s="289">
        <v>396</v>
      </c>
      <c r="B391" s="289" t="s">
        <v>2016</v>
      </c>
      <c r="C391" s="289" t="s">
        <v>5274</v>
      </c>
      <c r="D391" s="9" t="s">
        <v>3226</v>
      </c>
      <c r="E391" s="22"/>
      <c r="F391" s="13" t="s">
        <v>5423</v>
      </c>
      <c r="G391" s="285" t="s">
        <v>7979</v>
      </c>
      <c r="H391" s="285" t="s">
        <v>5127</v>
      </c>
      <c r="I391" s="22"/>
      <c r="J391" s="22"/>
      <c r="K391" s="14"/>
      <c r="L391" s="285"/>
      <c r="M391" s="12"/>
      <c r="N391" s="48">
        <v>1</v>
      </c>
      <c r="O391" s="48">
        <v>5676.9</v>
      </c>
      <c r="P391" s="48">
        <v>5676.9</v>
      </c>
      <c r="Q391" s="40">
        <f t="shared" si="9"/>
        <v>0</v>
      </c>
      <c r="R391" s="285"/>
      <c r="S391" s="15"/>
      <c r="T391" s="285"/>
    </row>
    <row r="392" spans="1:20" s="39" customFormat="1" ht="84" customHeight="1" x14ac:dyDescent="0.2">
      <c r="A392" s="289">
        <v>397</v>
      </c>
      <c r="B392" s="289" t="s">
        <v>2017</v>
      </c>
      <c r="C392" s="289" t="s">
        <v>5274</v>
      </c>
      <c r="D392" s="9" t="s">
        <v>4553</v>
      </c>
      <c r="E392" s="22"/>
      <c r="F392" s="13" t="s">
        <v>5563</v>
      </c>
      <c r="G392" s="285" t="s">
        <v>7979</v>
      </c>
      <c r="H392" s="285" t="s">
        <v>5127</v>
      </c>
      <c r="I392" s="22"/>
      <c r="J392" s="22"/>
      <c r="K392" s="14"/>
      <c r="L392" s="285"/>
      <c r="M392" s="12"/>
      <c r="N392" s="48">
        <v>1</v>
      </c>
      <c r="O392" s="48">
        <v>5510</v>
      </c>
      <c r="P392" s="48">
        <v>5510</v>
      </c>
      <c r="Q392" s="40">
        <f t="shared" si="9"/>
        <v>0</v>
      </c>
      <c r="R392" s="285"/>
      <c r="S392" s="15"/>
      <c r="T392" s="285"/>
    </row>
    <row r="393" spans="1:20" s="39" customFormat="1" ht="84" customHeight="1" x14ac:dyDescent="0.2">
      <c r="A393" s="289">
        <v>398</v>
      </c>
      <c r="B393" s="289" t="s">
        <v>2018</v>
      </c>
      <c r="C393" s="289"/>
      <c r="D393" s="9" t="s">
        <v>5096</v>
      </c>
      <c r="E393" s="22"/>
      <c r="F393" s="13" t="s">
        <v>5097</v>
      </c>
      <c r="G393" s="285" t="s">
        <v>7979</v>
      </c>
      <c r="H393" s="285" t="s">
        <v>5127</v>
      </c>
      <c r="I393" s="22"/>
      <c r="J393" s="22"/>
      <c r="K393" s="14"/>
      <c r="L393" s="285"/>
      <c r="M393" s="12"/>
      <c r="N393" s="48">
        <v>1</v>
      </c>
      <c r="O393" s="48">
        <v>3240</v>
      </c>
      <c r="P393" s="48">
        <v>3240</v>
      </c>
      <c r="Q393" s="40">
        <f t="shared" si="9"/>
        <v>0</v>
      </c>
      <c r="R393" s="285"/>
      <c r="S393" s="15"/>
      <c r="T393" s="285"/>
    </row>
    <row r="394" spans="1:20" s="39" customFormat="1" ht="84" customHeight="1" x14ac:dyDescent="0.2">
      <c r="A394" s="289">
        <v>399</v>
      </c>
      <c r="B394" s="289" t="s">
        <v>3979</v>
      </c>
      <c r="C394" s="289"/>
      <c r="D394" s="9" t="s">
        <v>1271</v>
      </c>
      <c r="E394" s="22"/>
      <c r="F394" s="13" t="s">
        <v>1272</v>
      </c>
      <c r="G394" s="285" t="s">
        <v>7979</v>
      </c>
      <c r="H394" s="285" t="s">
        <v>5127</v>
      </c>
      <c r="I394" s="22"/>
      <c r="J394" s="22"/>
      <c r="K394" s="14"/>
      <c r="L394" s="285"/>
      <c r="M394" s="12"/>
      <c r="N394" s="48">
        <v>1</v>
      </c>
      <c r="O394" s="48">
        <v>3395</v>
      </c>
      <c r="P394" s="48">
        <v>3395</v>
      </c>
      <c r="Q394" s="40">
        <f t="shared" si="9"/>
        <v>0</v>
      </c>
      <c r="R394" s="285"/>
      <c r="S394" s="15"/>
      <c r="T394" s="285"/>
    </row>
    <row r="395" spans="1:20" s="39" customFormat="1" ht="84" customHeight="1" x14ac:dyDescent="0.2">
      <c r="A395" s="289">
        <v>401</v>
      </c>
      <c r="B395" s="289" t="s">
        <v>4104</v>
      </c>
      <c r="C395" s="289" t="s">
        <v>5274</v>
      </c>
      <c r="D395" s="9" t="s">
        <v>284</v>
      </c>
      <c r="E395" s="22"/>
      <c r="F395" s="13" t="s">
        <v>2023</v>
      </c>
      <c r="G395" s="285" t="s">
        <v>7979</v>
      </c>
      <c r="H395" s="285" t="s">
        <v>5127</v>
      </c>
      <c r="I395" s="22"/>
      <c r="J395" s="22"/>
      <c r="K395" s="14"/>
      <c r="L395" s="285"/>
      <c r="M395" s="12"/>
      <c r="N395" s="17">
        <v>2</v>
      </c>
      <c r="O395" s="17">
        <v>13000</v>
      </c>
      <c r="P395" s="48">
        <v>13000</v>
      </c>
      <c r="Q395" s="40">
        <f t="shared" si="9"/>
        <v>0</v>
      </c>
      <c r="R395" s="285"/>
      <c r="S395" s="15"/>
      <c r="T395" s="285"/>
    </row>
    <row r="396" spans="1:20" s="39" customFormat="1" ht="84" customHeight="1" x14ac:dyDescent="0.2">
      <c r="A396" s="289">
        <v>402</v>
      </c>
      <c r="B396" s="289" t="s">
        <v>4105</v>
      </c>
      <c r="C396" s="289" t="s">
        <v>5274</v>
      </c>
      <c r="D396" s="9" t="s">
        <v>4893</v>
      </c>
      <c r="E396" s="22"/>
      <c r="F396" s="13" t="s">
        <v>5020</v>
      </c>
      <c r="G396" s="285" t="s">
        <v>7979</v>
      </c>
      <c r="H396" s="285" t="s">
        <v>5127</v>
      </c>
      <c r="I396" s="22"/>
      <c r="J396" s="22"/>
      <c r="K396" s="14"/>
      <c r="L396" s="285"/>
      <c r="M396" s="12"/>
      <c r="N396" s="48">
        <v>1</v>
      </c>
      <c r="O396" s="48">
        <v>3200</v>
      </c>
      <c r="P396" s="48">
        <v>3200</v>
      </c>
      <c r="Q396" s="40">
        <f t="shared" si="9"/>
        <v>0</v>
      </c>
      <c r="R396" s="285"/>
      <c r="S396" s="15"/>
      <c r="T396" s="285"/>
    </row>
    <row r="397" spans="1:20" s="39" customFormat="1" ht="84" customHeight="1" x14ac:dyDescent="0.2">
      <c r="A397" s="289">
        <v>403</v>
      </c>
      <c r="B397" s="289" t="s">
        <v>4106</v>
      </c>
      <c r="C397" s="289"/>
      <c r="D397" s="9" t="s">
        <v>5225</v>
      </c>
      <c r="E397" s="22"/>
      <c r="F397" s="13" t="s">
        <v>3616</v>
      </c>
      <c r="G397" s="285" t="s">
        <v>7979</v>
      </c>
      <c r="H397" s="285" t="s">
        <v>5127</v>
      </c>
      <c r="I397" s="22"/>
      <c r="J397" s="22"/>
      <c r="K397" s="14"/>
      <c r="L397" s="285"/>
      <c r="M397" s="12"/>
      <c r="N397" s="17">
        <v>1</v>
      </c>
      <c r="O397" s="17">
        <v>4100</v>
      </c>
      <c r="P397" s="17">
        <v>4100</v>
      </c>
      <c r="Q397" s="40">
        <f t="shared" si="9"/>
        <v>0</v>
      </c>
      <c r="R397" s="285"/>
      <c r="S397" s="15"/>
      <c r="T397" s="285"/>
    </row>
    <row r="398" spans="1:20" s="39" customFormat="1" ht="84" customHeight="1" x14ac:dyDescent="0.2">
      <c r="A398" s="289">
        <v>404</v>
      </c>
      <c r="B398" s="289" t="s">
        <v>5696</v>
      </c>
      <c r="C398" s="289"/>
      <c r="D398" s="9" t="s">
        <v>723</v>
      </c>
      <c r="E398" s="22"/>
      <c r="F398" s="13" t="s">
        <v>3617</v>
      </c>
      <c r="G398" s="285" t="s">
        <v>7979</v>
      </c>
      <c r="H398" s="285" t="s">
        <v>5127</v>
      </c>
      <c r="I398" s="22"/>
      <c r="J398" s="22"/>
      <c r="K398" s="14"/>
      <c r="L398" s="285"/>
      <c r="M398" s="12"/>
      <c r="N398" s="17">
        <v>1</v>
      </c>
      <c r="O398" s="17">
        <v>3600</v>
      </c>
      <c r="P398" s="17">
        <v>3600</v>
      </c>
      <c r="Q398" s="40">
        <f t="shared" si="9"/>
        <v>0</v>
      </c>
      <c r="R398" s="285"/>
      <c r="S398" s="15"/>
      <c r="T398" s="285"/>
    </row>
    <row r="399" spans="1:20" s="39" customFormat="1" ht="84" customHeight="1" x14ac:dyDescent="0.2">
      <c r="A399" s="289">
        <v>405</v>
      </c>
      <c r="B399" s="289" t="s">
        <v>5087</v>
      </c>
      <c r="C399" s="289"/>
      <c r="D399" s="9" t="s">
        <v>5571</v>
      </c>
      <c r="E399" s="22"/>
      <c r="F399" s="13" t="s">
        <v>4325</v>
      </c>
      <c r="G399" s="285" t="s">
        <v>7979</v>
      </c>
      <c r="H399" s="285" t="s">
        <v>5127</v>
      </c>
      <c r="I399" s="22"/>
      <c r="J399" s="22"/>
      <c r="K399" s="14"/>
      <c r="L399" s="285"/>
      <c r="M399" s="12"/>
      <c r="N399" s="17">
        <v>1</v>
      </c>
      <c r="O399" s="17">
        <v>4860</v>
      </c>
      <c r="P399" s="17">
        <v>4860</v>
      </c>
      <c r="Q399" s="40">
        <f t="shared" si="9"/>
        <v>0</v>
      </c>
      <c r="R399" s="285"/>
      <c r="S399" s="15"/>
      <c r="T399" s="285"/>
    </row>
    <row r="400" spans="1:20" s="39" customFormat="1" ht="84" customHeight="1" x14ac:dyDescent="0.2">
      <c r="A400" s="289">
        <v>406</v>
      </c>
      <c r="B400" s="289" t="s">
        <v>5088</v>
      </c>
      <c r="C400" s="289"/>
      <c r="D400" s="9" t="s">
        <v>724</v>
      </c>
      <c r="E400" s="22"/>
      <c r="F400" s="13" t="s">
        <v>3615</v>
      </c>
      <c r="G400" s="285" t="s">
        <v>7979</v>
      </c>
      <c r="H400" s="285" t="s">
        <v>5127</v>
      </c>
      <c r="I400" s="22"/>
      <c r="J400" s="22"/>
      <c r="K400" s="14"/>
      <c r="L400" s="285"/>
      <c r="M400" s="12"/>
      <c r="N400" s="17">
        <v>1</v>
      </c>
      <c r="O400" s="17">
        <v>3100</v>
      </c>
      <c r="P400" s="17">
        <v>3100</v>
      </c>
      <c r="Q400" s="40">
        <f t="shared" si="9"/>
        <v>0</v>
      </c>
      <c r="R400" s="285"/>
      <c r="S400" s="15"/>
      <c r="T400" s="285"/>
    </row>
    <row r="401" spans="1:20" s="39" customFormat="1" ht="84" customHeight="1" x14ac:dyDescent="0.2">
      <c r="A401" s="289">
        <v>407</v>
      </c>
      <c r="B401" s="289" t="s">
        <v>5089</v>
      </c>
      <c r="C401" s="289" t="s">
        <v>5274</v>
      </c>
      <c r="D401" s="9" t="s">
        <v>2747</v>
      </c>
      <c r="E401" s="22"/>
      <c r="F401" s="13" t="s">
        <v>3824</v>
      </c>
      <c r="G401" s="285" t="s">
        <v>7979</v>
      </c>
      <c r="H401" s="285" t="s">
        <v>5127</v>
      </c>
      <c r="I401" s="22"/>
      <c r="J401" s="22"/>
      <c r="K401" s="14"/>
      <c r="L401" s="285"/>
      <c r="M401" s="12"/>
      <c r="N401" s="17">
        <v>1</v>
      </c>
      <c r="O401" s="17">
        <v>3440</v>
      </c>
      <c r="P401" s="17">
        <v>3440</v>
      </c>
      <c r="Q401" s="40">
        <f t="shared" si="9"/>
        <v>0</v>
      </c>
      <c r="R401" s="285"/>
      <c r="S401" s="15"/>
      <c r="T401" s="285"/>
    </row>
    <row r="402" spans="1:20" s="39" customFormat="1" ht="84" customHeight="1" x14ac:dyDescent="0.2">
      <c r="A402" s="289">
        <v>408</v>
      </c>
      <c r="B402" s="289" t="s">
        <v>79</v>
      </c>
      <c r="C402" s="289" t="s">
        <v>5274</v>
      </c>
      <c r="D402" s="9" t="s">
        <v>3535</v>
      </c>
      <c r="E402" s="22"/>
      <c r="F402" s="13" t="s">
        <v>3536</v>
      </c>
      <c r="G402" s="285" t="s">
        <v>7979</v>
      </c>
      <c r="H402" s="285" t="s">
        <v>5127</v>
      </c>
      <c r="I402" s="22"/>
      <c r="J402" s="22"/>
      <c r="K402" s="14"/>
      <c r="L402" s="285"/>
      <c r="M402" s="12"/>
      <c r="N402" s="17">
        <v>1</v>
      </c>
      <c r="O402" s="17">
        <v>3100</v>
      </c>
      <c r="P402" s="17">
        <v>3100</v>
      </c>
      <c r="Q402" s="40">
        <f t="shared" si="9"/>
        <v>0</v>
      </c>
      <c r="R402" s="285"/>
      <c r="S402" s="15"/>
      <c r="T402" s="285"/>
    </row>
    <row r="403" spans="1:20" s="39" customFormat="1" ht="84" customHeight="1" x14ac:dyDescent="0.2">
      <c r="A403" s="289">
        <v>409</v>
      </c>
      <c r="B403" s="289" t="s">
        <v>80</v>
      </c>
      <c r="C403" s="289"/>
      <c r="D403" s="9" t="s">
        <v>3777</v>
      </c>
      <c r="E403" s="22"/>
      <c r="F403" s="13" t="s">
        <v>3788</v>
      </c>
      <c r="G403" s="285" t="s">
        <v>7979</v>
      </c>
      <c r="H403" s="285" t="s">
        <v>5127</v>
      </c>
      <c r="I403" s="22"/>
      <c r="J403" s="284" t="s">
        <v>3136</v>
      </c>
      <c r="K403" s="14">
        <v>44910</v>
      </c>
      <c r="L403" s="285">
        <v>1171</v>
      </c>
      <c r="M403" s="12"/>
      <c r="N403" s="17">
        <f>4-1-2</f>
        <v>1</v>
      </c>
      <c r="O403" s="17">
        <f>16200-4050-8100</f>
        <v>4050</v>
      </c>
      <c r="P403" s="17">
        <f>16200-4050-8100</f>
        <v>4050</v>
      </c>
      <c r="Q403" s="40">
        <f t="shared" si="9"/>
        <v>0</v>
      </c>
      <c r="R403" s="285"/>
      <c r="S403" s="15"/>
      <c r="T403" s="285"/>
    </row>
    <row r="404" spans="1:20" s="39" customFormat="1" ht="84" customHeight="1" x14ac:dyDescent="0.2">
      <c r="A404" s="289">
        <v>410</v>
      </c>
      <c r="B404" s="289" t="s">
        <v>81</v>
      </c>
      <c r="C404" s="289"/>
      <c r="D404" s="9" t="s">
        <v>6784</v>
      </c>
      <c r="E404" s="22"/>
      <c r="F404" s="13" t="s">
        <v>5701</v>
      </c>
      <c r="G404" s="285" t="s">
        <v>7979</v>
      </c>
      <c r="H404" s="285" t="s">
        <v>5127</v>
      </c>
      <c r="I404" s="22"/>
      <c r="J404" s="22"/>
      <c r="K404" s="14"/>
      <c r="L404" s="285"/>
      <c r="M404" s="12"/>
      <c r="N404" s="17">
        <v>10</v>
      </c>
      <c r="O404" s="17">
        <f>3490+3390+3490+3190+4290+4090+3300+3662+4262+5863.5</f>
        <v>39027.5</v>
      </c>
      <c r="P404" s="17">
        <f>3490+3390+3490+3190+4290+4090+3300+3662+4262+5863.5</f>
        <v>39027.5</v>
      </c>
      <c r="Q404" s="40">
        <f t="shared" si="9"/>
        <v>0</v>
      </c>
      <c r="R404" s="285"/>
      <c r="S404" s="15"/>
      <c r="T404" s="285"/>
    </row>
    <row r="405" spans="1:20" s="39" customFormat="1" ht="84" customHeight="1" x14ac:dyDescent="0.2">
      <c r="A405" s="289">
        <v>411</v>
      </c>
      <c r="B405" s="289" t="s">
        <v>82</v>
      </c>
      <c r="C405" s="289"/>
      <c r="D405" s="9" t="s">
        <v>1411</v>
      </c>
      <c r="E405" s="22"/>
      <c r="F405" s="13" t="s">
        <v>1412</v>
      </c>
      <c r="G405" s="285" t="s">
        <v>7979</v>
      </c>
      <c r="H405" s="285" t="s">
        <v>5127</v>
      </c>
      <c r="I405" s="22"/>
      <c r="J405" s="22"/>
      <c r="K405" s="14"/>
      <c r="L405" s="285"/>
      <c r="M405" s="12"/>
      <c r="N405" s="17">
        <v>1</v>
      </c>
      <c r="O405" s="17">
        <v>3100</v>
      </c>
      <c r="P405" s="17">
        <v>3100</v>
      </c>
      <c r="Q405" s="40">
        <f t="shared" si="9"/>
        <v>0</v>
      </c>
      <c r="R405" s="285"/>
      <c r="S405" s="15"/>
      <c r="T405" s="285"/>
    </row>
    <row r="406" spans="1:20" s="39" customFormat="1" ht="84" customHeight="1" x14ac:dyDescent="0.2">
      <c r="A406" s="289">
        <v>412</v>
      </c>
      <c r="B406" s="289" t="s">
        <v>83</v>
      </c>
      <c r="C406" s="289"/>
      <c r="D406" s="9" t="s">
        <v>2878</v>
      </c>
      <c r="E406" s="22"/>
      <c r="F406" s="13" t="s">
        <v>6785</v>
      </c>
      <c r="G406" s="285" t="s">
        <v>7979</v>
      </c>
      <c r="H406" s="285" t="s">
        <v>5127</v>
      </c>
      <c r="I406" s="22"/>
      <c r="J406" s="22"/>
      <c r="K406" s="14"/>
      <c r="L406" s="285"/>
      <c r="M406" s="12"/>
      <c r="N406" s="17">
        <v>1</v>
      </c>
      <c r="O406" s="17">
        <v>3073</v>
      </c>
      <c r="P406" s="17">
        <v>3073</v>
      </c>
      <c r="Q406" s="40">
        <f t="shared" si="9"/>
        <v>0</v>
      </c>
      <c r="R406" s="285"/>
      <c r="S406" s="15"/>
      <c r="T406" s="285"/>
    </row>
    <row r="407" spans="1:20" s="39" customFormat="1" ht="84" customHeight="1" x14ac:dyDescent="0.2">
      <c r="A407" s="289">
        <v>413</v>
      </c>
      <c r="B407" s="289" t="s">
        <v>84</v>
      </c>
      <c r="C407" s="289"/>
      <c r="D407" s="9" t="s">
        <v>2294</v>
      </c>
      <c r="E407" s="22"/>
      <c r="F407" s="13" t="s">
        <v>8997</v>
      </c>
      <c r="G407" s="285" t="s">
        <v>7979</v>
      </c>
      <c r="H407" s="285" t="s">
        <v>5127</v>
      </c>
      <c r="I407" s="22"/>
      <c r="J407" s="285" t="s">
        <v>3136</v>
      </c>
      <c r="K407" s="15">
        <v>42230</v>
      </c>
      <c r="L407" s="12" t="s">
        <v>4013</v>
      </c>
      <c r="M407" s="12"/>
      <c r="N407" s="17"/>
      <c r="O407" s="17">
        <f>24098.39+56.37-11756.37</f>
        <v>12398.389999999998</v>
      </c>
      <c r="P407" s="17">
        <f>24154.76-11756.37</f>
        <v>12398.389999999998</v>
      </c>
      <c r="Q407" s="40">
        <f t="shared" si="9"/>
        <v>0</v>
      </c>
      <c r="R407" s="285"/>
      <c r="S407" s="15"/>
      <c r="T407" s="285"/>
    </row>
    <row r="408" spans="1:20" s="39" customFormat="1" ht="84" customHeight="1" x14ac:dyDescent="0.2">
      <c r="A408" s="289">
        <v>414</v>
      </c>
      <c r="B408" s="289" t="s">
        <v>85</v>
      </c>
      <c r="C408" s="289" t="s">
        <v>5274</v>
      </c>
      <c r="D408" s="9" t="s">
        <v>1687</v>
      </c>
      <c r="E408" s="22"/>
      <c r="F408" s="13" t="s">
        <v>429</v>
      </c>
      <c r="G408" s="285" t="s">
        <v>7979</v>
      </c>
      <c r="H408" s="285" t="s">
        <v>5127</v>
      </c>
      <c r="I408" s="22"/>
      <c r="J408" s="22"/>
      <c r="K408" s="14"/>
      <c r="L408" s="285"/>
      <c r="M408" s="12"/>
      <c r="N408" s="17">
        <v>5</v>
      </c>
      <c r="O408" s="17">
        <v>17550</v>
      </c>
      <c r="P408" s="17">
        <v>17550</v>
      </c>
      <c r="Q408" s="40">
        <f t="shared" si="9"/>
        <v>0</v>
      </c>
      <c r="R408" s="285"/>
      <c r="S408" s="15"/>
      <c r="T408" s="285"/>
    </row>
    <row r="409" spans="1:20" s="39" customFormat="1" ht="84" customHeight="1" x14ac:dyDescent="0.2">
      <c r="A409" s="289">
        <v>415</v>
      </c>
      <c r="B409" s="289" t="s">
        <v>86</v>
      </c>
      <c r="C409" s="289" t="s">
        <v>5274</v>
      </c>
      <c r="D409" s="9" t="s">
        <v>2644</v>
      </c>
      <c r="E409" s="22"/>
      <c r="F409" s="13" t="s">
        <v>1478</v>
      </c>
      <c r="G409" s="285" t="s">
        <v>7979</v>
      </c>
      <c r="H409" s="285" t="s">
        <v>5127</v>
      </c>
      <c r="I409" s="22"/>
      <c r="J409" s="22"/>
      <c r="K409" s="14"/>
      <c r="L409" s="285"/>
      <c r="M409" s="12"/>
      <c r="N409" s="17">
        <v>1</v>
      </c>
      <c r="O409" s="17">
        <v>9149</v>
      </c>
      <c r="P409" s="17">
        <v>9149</v>
      </c>
      <c r="Q409" s="40">
        <f t="shared" si="9"/>
        <v>0</v>
      </c>
      <c r="R409" s="285"/>
      <c r="S409" s="15"/>
      <c r="T409" s="285"/>
    </row>
    <row r="410" spans="1:20" ht="84" customHeight="1" x14ac:dyDescent="0.2">
      <c r="A410" s="289">
        <v>416</v>
      </c>
      <c r="B410" s="289" t="s">
        <v>87</v>
      </c>
      <c r="C410" s="289" t="s">
        <v>5274</v>
      </c>
      <c r="D410" s="9" t="s">
        <v>3226</v>
      </c>
      <c r="E410" s="9"/>
      <c r="F410" s="13" t="s">
        <v>5031</v>
      </c>
      <c r="G410" s="285" t="s">
        <v>7934</v>
      </c>
      <c r="H410" s="285" t="s">
        <v>5127</v>
      </c>
      <c r="I410" s="18"/>
      <c r="J410" s="285"/>
      <c r="K410" s="289"/>
      <c r="L410" s="12"/>
      <c r="M410" s="16"/>
      <c r="N410" s="40">
        <v>1</v>
      </c>
      <c r="O410" s="40">
        <v>5899.15</v>
      </c>
      <c r="P410" s="289">
        <v>5899.15</v>
      </c>
      <c r="Q410" s="40">
        <f t="shared" si="9"/>
        <v>0</v>
      </c>
      <c r="R410" s="289"/>
      <c r="S410" s="289"/>
      <c r="T410" s="285"/>
    </row>
    <row r="411" spans="1:20" ht="84" customHeight="1" x14ac:dyDescent="0.2">
      <c r="A411" s="289">
        <v>417</v>
      </c>
      <c r="B411" s="289" t="s">
        <v>5956</v>
      </c>
      <c r="C411" s="289" t="s">
        <v>5274</v>
      </c>
      <c r="D411" s="9" t="s">
        <v>1479</v>
      </c>
      <c r="E411" s="9"/>
      <c r="F411" s="13" t="s">
        <v>5720</v>
      </c>
      <c r="G411" s="285" t="s">
        <v>7934</v>
      </c>
      <c r="H411" s="285" t="s">
        <v>5127</v>
      </c>
      <c r="I411" s="18"/>
      <c r="J411" s="285"/>
      <c r="K411" s="289"/>
      <c r="L411" s="12"/>
      <c r="M411" s="16"/>
      <c r="N411" s="40">
        <v>1</v>
      </c>
      <c r="O411" s="17">
        <v>3623</v>
      </c>
      <c r="P411" s="289">
        <v>3623</v>
      </c>
      <c r="Q411" s="40">
        <f t="shared" si="9"/>
        <v>0</v>
      </c>
      <c r="R411" s="289"/>
      <c r="S411" s="289"/>
      <c r="T411" s="285"/>
    </row>
    <row r="412" spans="1:20" ht="84" customHeight="1" x14ac:dyDescent="0.2">
      <c r="A412" s="289">
        <v>418</v>
      </c>
      <c r="B412" s="289" t="s">
        <v>5957</v>
      </c>
      <c r="C412" s="289"/>
      <c r="D412" s="9" t="s">
        <v>3952</v>
      </c>
      <c r="E412" s="9"/>
      <c r="F412" s="13" t="s">
        <v>680</v>
      </c>
      <c r="G412" s="285" t="s">
        <v>7934</v>
      </c>
      <c r="H412" s="285" t="s">
        <v>5127</v>
      </c>
      <c r="I412" s="18"/>
      <c r="J412" s="285"/>
      <c r="K412" s="289"/>
      <c r="L412" s="12"/>
      <c r="M412" s="16"/>
      <c r="N412" s="40">
        <v>1</v>
      </c>
      <c r="O412" s="17">
        <v>3090</v>
      </c>
      <c r="P412" s="17">
        <v>3090</v>
      </c>
      <c r="Q412" s="40">
        <f t="shared" si="9"/>
        <v>0</v>
      </c>
      <c r="R412" s="289"/>
      <c r="S412" s="289"/>
      <c r="T412" s="285"/>
    </row>
    <row r="413" spans="1:20" ht="84" customHeight="1" x14ac:dyDescent="0.2">
      <c r="A413" s="289">
        <v>419</v>
      </c>
      <c r="B413" s="289" t="s">
        <v>5958</v>
      </c>
      <c r="C413" s="289" t="s">
        <v>5274</v>
      </c>
      <c r="D413" s="9" t="s">
        <v>1098</v>
      </c>
      <c r="E413" s="9"/>
      <c r="F413" s="13" t="s">
        <v>3848</v>
      </c>
      <c r="G413" s="285" t="s">
        <v>7934</v>
      </c>
      <c r="H413" s="285" t="s">
        <v>5127</v>
      </c>
      <c r="I413" s="18"/>
      <c r="J413" s="285"/>
      <c r="K413" s="289"/>
      <c r="L413" s="12"/>
      <c r="M413" s="16"/>
      <c r="N413" s="40">
        <v>1</v>
      </c>
      <c r="O413" s="17">
        <v>5476.24</v>
      </c>
      <c r="P413" s="17">
        <v>5476.24</v>
      </c>
      <c r="Q413" s="40">
        <f t="shared" ref="Q413:Q442" si="10">O413-P413</f>
        <v>0</v>
      </c>
      <c r="R413" s="289"/>
      <c r="S413" s="289"/>
      <c r="T413" s="285"/>
    </row>
    <row r="414" spans="1:20" ht="84" customHeight="1" x14ac:dyDescent="0.2">
      <c r="A414" s="289">
        <v>420</v>
      </c>
      <c r="B414" s="289" t="s">
        <v>5959</v>
      </c>
      <c r="C414" s="289"/>
      <c r="D414" s="9" t="s">
        <v>5401</v>
      </c>
      <c r="E414" s="9"/>
      <c r="F414" s="13" t="s">
        <v>3914</v>
      </c>
      <c r="G414" s="285" t="s">
        <v>7934</v>
      </c>
      <c r="H414" s="285" t="s">
        <v>5127</v>
      </c>
      <c r="I414" s="18"/>
      <c r="J414" s="285"/>
      <c r="K414" s="289"/>
      <c r="L414" s="12"/>
      <c r="M414" s="16"/>
      <c r="N414" s="40">
        <v>1</v>
      </c>
      <c r="O414" s="17">
        <v>4730</v>
      </c>
      <c r="P414" s="17">
        <v>4730</v>
      </c>
      <c r="Q414" s="40">
        <f t="shared" si="10"/>
        <v>0</v>
      </c>
      <c r="R414" s="289"/>
      <c r="S414" s="289"/>
      <c r="T414" s="285"/>
    </row>
    <row r="415" spans="1:20" ht="84" customHeight="1" x14ac:dyDescent="0.2">
      <c r="A415" s="289">
        <v>421</v>
      </c>
      <c r="B415" s="289" t="s">
        <v>5960</v>
      </c>
      <c r="C415" s="289"/>
      <c r="D415" s="9" t="s">
        <v>2033</v>
      </c>
      <c r="E415" s="9"/>
      <c r="F415" s="13" t="s">
        <v>2034</v>
      </c>
      <c r="G415" s="285" t="s">
        <v>7934</v>
      </c>
      <c r="H415" s="285" t="s">
        <v>5127</v>
      </c>
      <c r="I415" s="18"/>
      <c r="J415" s="285"/>
      <c r="K415" s="289"/>
      <c r="L415" s="12"/>
      <c r="M415" s="16"/>
      <c r="N415" s="40">
        <v>1</v>
      </c>
      <c r="O415" s="17">
        <v>5000</v>
      </c>
      <c r="P415" s="17">
        <v>5000</v>
      </c>
      <c r="Q415" s="40">
        <f t="shared" si="10"/>
        <v>0</v>
      </c>
      <c r="R415" s="289"/>
      <c r="S415" s="289"/>
      <c r="T415" s="285"/>
    </row>
    <row r="416" spans="1:20" ht="84" customHeight="1" x14ac:dyDescent="0.2">
      <c r="A416" s="289">
        <v>422</v>
      </c>
      <c r="B416" s="289" t="s">
        <v>5961</v>
      </c>
      <c r="C416" s="289"/>
      <c r="D416" s="9" t="s">
        <v>2035</v>
      </c>
      <c r="E416" s="9"/>
      <c r="F416" s="13" t="s">
        <v>2036</v>
      </c>
      <c r="G416" s="285" t="s">
        <v>7934</v>
      </c>
      <c r="H416" s="285" t="s">
        <v>5127</v>
      </c>
      <c r="I416" s="18"/>
      <c r="J416" s="285"/>
      <c r="K416" s="289"/>
      <c r="L416" s="12"/>
      <c r="M416" s="16"/>
      <c r="N416" s="40">
        <v>1</v>
      </c>
      <c r="O416" s="17">
        <v>3430</v>
      </c>
      <c r="P416" s="17">
        <v>3430</v>
      </c>
      <c r="Q416" s="40">
        <f t="shared" si="10"/>
        <v>0</v>
      </c>
      <c r="R416" s="289"/>
      <c r="S416" s="289"/>
      <c r="T416" s="285"/>
    </row>
    <row r="417" spans="1:20" ht="84" customHeight="1" x14ac:dyDescent="0.2">
      <c r="A417" s="289">
        <v>423</v>
      </c>
      <c r="B417" s="289" t="s">
        <v>5962</v>
      </c>
      <c r="C417" s="289"/>
      <c r="D417" s="9" t="s">
        <v>2037</v>
      </c>
      <c r="E417" s="9"/>
      <c r="F417" s="13" t="s">
        <v>3914</v>
      </c>
      <c r="G417" s="285" t="s">
        <v>7934</v>
      </c>
      <c r="H417" s="285" t="s">
        <v>5127</v>
      </c>
      <c r="I417" s="18"/>
      <c r="J417" s="285"/>
      <c r="K417" s="289"/>
      <c r="L417" s="12"/>
      <c r="M417" s="16"/>
      <c r="N417" s="40">
        <v>1</v>
      </c>
      <c r="O417" s="17">
        <v>3500</v>
      </c>
      <c r="P417" s="17">
        <v>3500</v>
      </c>
      <c r="Q417" s="40">
        <f t="shared" si="10"/>
        <v>0</v>
      </c>
      <c r="R417" s="289"/>
      <c r="S417" s="289"/>
      <c r="T417" s="285"/>
    </row>
    <row r="418" spans="1:20" ht="84" customHeight="1" x14ac:dyDescent="0.2">
      <c r="A418" s="289">
        <v>424</v>
      </c>
      <c r="B418" s="289" t="s">
        <v>3612</v>
      </c>
      <c r="C418" s="289" t="s">
        <v>5274</v>
      </c>
      <c r="D418" s="9" t="s">
        <v>284</v>
      </c>
      <c r="E418" s="9"/>
      <c r="F418" s="13" t="s">
        <v>3849</v>
      </c>
      <c r="G418" s="285" t="s">
        <v>7934</v>
      </c>
      <c r="H418" s="285" t="s">
        <v>5127</v>
      </c>
      <c r="I418" s="18"/>
      <c r="J418" s="285"/>
      <c r="K418" s="289"/>
      <c r="L418" s="12"/>
      <c r="M418" s="16"/>
      <c r="N418" s="17">
        <v>2</v>
      </c>
      <c r="O418" s="17">
        <v>15400</v>
      </c>
      <c r="P418" s="289">
        <v>15400</v>
      </c>
      <c r="Q418" s="40">
        <f t="shared" si="10"/>
        <v>0</v>
      </c>
      <c r="R418" s="289"/>
      <c r="S418" s="289"/>
      <c r="T418" s="285"/>
    </row>
    <row r="419" spans="1:20" ht="84" customHeight="1" x14ac:dyDescent="0.2">
      <c r="A419" s="289">
        <v>425</v>
      </c>
      <c r="B419" s="289" t="s">
        <v>3613</v>
      </c>
      <c r="C419" s="289" t="s">
        <v>5274</v>
      </c>
      <c r="D419" s="9" t="s">
        <v>213</v>
      </c>
      <c r="E419" s="9"/>
      <c r="F419" s="13" t="s">
        <v>544</v>
      </c>
      <c r="G419" s="285" t="s">
        <v>7934</v>
      </c>
      <c r="H419" s="285" t="s">
        <v>5127</v>
      </c>
      <c r="I419" s="18"/>
      <c r="J419" s="285"/>
      <c r="K419" s="289"/>
      <c r="L419" s="12"/>
      <c r="M419" s="16"/>
      <c r="N419" s="17">
        <v>7</v>
      </c>
      <c r="O419" s="17">
        <v>24570</v>
      </c>
      <c r="P419" s="289">
        <v>24570</v>
      </c>
      <c r="Q419" s="40">
        <f t="shared" si="10"/>
        <v>0</v>
      </c>
      <c r="R419" s="289"/>
      <c r="S419" s="289"/>
      <c r="T419" s="285"/>
    </row>
    <row r="420" spans="1:20" ht="84" customHeight="1" x14ac:dyDescent="0.2">
      <c r="A420" s="289">
        <v>426</v>
      </c>
      <c r="B420" s="289" t="s">
        <v>3614</v>
      </c>
      <c r="C420" s="289" t="s">
        <v>5274</v>
      </c>
      <c r="D420" s="9" t="s">
        <v>2644</v>
      </c>
      <c r="E420" s="9"/>
      <c r="F420" s="13" t="s">
        <v>2729</v>
      </c>
      <c r="G420" s="285" t="s">
        <v>7934</v>
      </c>
      <c r="H420" s="285" t="s">
        <v>5127</v>
      </c>
      <c r="I420" s="18"/>
      <c r="J420" s="285"/>
      <c r="K420" s="289"/>
      <c r="L420" s="12"/>
      <c r="M420" s="16"/>
      <c r="N420" s="17">
        <v>1</v>
      </c>
      <c r="O420" s="17">
        <v>9149</v>
      </c>
      <c r="P420" s="17">
        <v>9149</v>
      </c>
      <c r="Q420" s="40">
        <f t="shared" si="10"/>
        <v>0</v>
      </c>
      <c r="R420" s="289"/>
      <c r="S420" s="289"/>
      <c r="T420" s="285"/>
    </row>
    <row r="421" spans="1:20" ht="84" customHeight="1" x14ac:dyDescent="0.2">
      <c r="A421" s="289">
        <v>427</v>
      </c>
      <c r="B421" s="289" t="s">
        <v>3850</v>
      </c>
      <c r="C421" s="289" t="s">
        <v>5274</v>
      </c>
      <c r="D421" s="9" t="s">
        <v>4869</v>
      </c>
      <c r="E421" s="9"/>
      <c r="F421" s="13" t="s">
        <v>4521</v>
      </c>
      <c r="G421" s="285" t="s">
        <v>7934</v>
      </c>
      <c r="H421" s="285" t="s">
        <v>5127</v>
      </c>
      <c r="I421" s="18"/>
      <c r="J421" s="285"/>
      <c r="K421" s="289"/>
      <c r="L421" s="12"/>
      <c r="M421" s="16"/>
      <c r="N421" s="17">
        <v>1</v>
      </c>
      <c r="O421" s="17">
        <v>4500</v>
      </c>
      <c r="P421" s="17">
        <v>4500</v>
      </c>
      <c r="Q421" s="40">
        <f t="shared" si="10"/>
        <v>0</v>
      </c>
      <c r="R421" s="289"/>
      <c r="S421" s="289"/>
      <c r="T421" s="285"/>
    </row>
    <row r="422" spans="1:20" ht="84" customHeight="1" x14ac:dyDescent="0.2">
      <c r="A422" s="289">
        <v>428</v>
      </c>
      <c r="B422" s="289" t="s">
        <v>3851</v>
      </c>
      <c r="C422" s="289" t="s">
        <v>5274</v>
      </c>
      <c r="D422" s="9" t="s">
        <v>4752</v>
      </c>
      <c r="E422" s="9"/>
      <c r="F422" s="13" t="s">
        <v>2787</v>
      </c>
      <c r="G422" s="285" t="s">
        <v>7934</v>
      </c>
      <c r="H422" s="285" t="s">
        <v>5127</v>
      </c>
      <c r="I422" s="18"/>
      <c r="J422" s="285"/>
      <c r="K422" s="289"/>
      <c r="L422" s="12"/>
      <c r="M422" s="16"/>
      <c r="N422" s="17">
        <v>1</v>
      </c>
      <c r="O422" s="17">
        <v>3333</v>
      </c>
      <c r="P422" s="17">
        <v>3333</v>
      </c>
      <c r="Q422" s="40">
        <f t="shared" si="10"/>
        <v>0</v>
      </c>
      <c r="R422" s="289"/>
      <c r="S422" s="289"/>
      <c r="T422" s="285"/>
    </row>
    <row r="423" spans="1:20" ht="84" customHeight="1" x14ac:dyDescent="0.2">
      <c r="A423" s="289">
        <v>429</v>
      </c>
      <c r="B423" s="289" t="s">
        <v>3852</v>
      </c>
      <c r="C423" s="289" t="s">
        <v>5274</v>
      </c>
      <c r="D423" s="9" t="s">
        <v>4004</v>
      </c>
      <c r="E423" s="9"/>
      <c r="F423" s="13" t="s">
        <v>4379</v>
      </c>
      <c r="G423" s="285" t="s">
        <v>7934</v>
      </c>
      <c r="H423" s="285" t="s">
        <v>5127</v>
      </c>
      <c r="I423" s="18"/>
      <c r="J423" s="285"/>
      <c r="K423" s="289"/>
      <c r="L423" s="12"/>
      <c r="M423" s="16"/>
      <c r="N423" s="17">
        <v>1</v>
      </c>
      <c r="O423" s="17">
        <v>7680</v>
      </c>
      <c r="P423" s="17">
        <v>7680</v>
      </c>
      <c r="Q423" s="40">
        <f t="shared" si="10"/>
        <v>0</v>
      </c>
      <c r="R423" s="289"/>
      <c r="S423" s="289"/>
      <c r="T423" s="285"/>
    </row>
    <row r="424" spans="1:20" ht="84" customHeight="1" x14ac:dyDescent="0.2">
      <c r="A424" s="289">
        <v>430</v>
      </c>
      <c r="B424" s="289" t="s">
        <v>3853</v>
      </c>
      <c r="C424" s="289" t="s">
        <v>5274</v>
      </c>
      <c r="D424" s="9" t="s">
        <v>4380</v>
      </c>
      <c r="E424" s="9"/>
      <c r="F424" s="13" t="s">
        <v>5070</v>
      </c>
      <c r="G424" s="285" t="s">
        <v>7934</v>
      </c>
      <c r="H424" s="285" t="s">
        <v>5127</v>
      </c>
      <c r="I424" s="18"/>
      <c r="J424" s="285"/>
      <c r="K424" s="289"/>
      <c r="L424" s="12"/>
      <c r="M424" s="16"/>
      <c r="N424" s="17">
        <v>1</v>
      </c>
      <c r="O424" s="17">
        <v>7000</v>
      </c>
      <c r="P424" s="17">
        <v>7000</v>
      </c>
      <c r="Q424" s="40">
        <f t="shared" si="10"/>
        <v>0</v>
      </c>
      <c r="R424" s="289"/>
      <c r="S424" s="289"/>
      <c r="T424" s="285"/>
    </row>
    <row r="425" spans="1:20" ht="84" customHeight="1" x14ac:dyDescent="0.2">
      <c r="A425" s="289">
        <v>431</v>
      </c>
      <c r="B425" s="289" t="s">
        <v>3854</v>
      </c>
      <c r="C425" s="289"/>
      <c r="D425" s="9" t="s">
        <v>1835</v>
      </c>
      <c r="E425" s="9"/>
      <c r="F425" s="13" t="s">
        <v>5698</v>
      </c>
      <c r="G425" s="285" t="s">
        <v>7934</v>
      </c>
      <c r="H425" s="285" t="s">
        <v>5127</v>
      </c>
      <c r="I425" s="18"/>
      <c r="J425" s="285"/>
      <c r="K425" s="289"/>
      <c r="L425" s="12"/>
      <c r="M425" s="16"/>
      <c r="N425" s="17">
        <v>1</v>
      </c>
      <c r="O425" s="17">
        <v>5900</v>
      </c>
      <c r="P425" s="17">
        <v>5900</v>
      </c>
      <c r="Q425" s="40">
        <f t="shared" si="10"/>
        <v>0</v>
      </c>
      <c r="R425" s="289"/>
      <c r="S425" s="289"/>
      <c r="T425" s="285"/>
    </row>
    <row r="426" spans="1:20" ht="84" customHeight="1" x14ac:dyDescent="0.2">
      <c r="A426" s="289">
        <v>432</v>
      </c>
      <c r="B426" s="289" t="s">
        <v>3533</v>
      </c>
      <c r="C426" s="289" t="s">
        <v>5274</v>
      </c>
      <c r="D426" s="9" t="s">
        <v>4380</v>
      </c>
      <c r="E426" s="9"/>
      <c r="F426" s="13" t="s">
        <v>1273</v>
      </c>
      <c r="G426" s="285" t="s">
        <v>7934</v>
      </c>
      <c r="H426" s="285" t="s">
        <v>5127</v>
      </c>
      <c r="I426" s="18"/>
      <c r="J426" s="285"/>
      <c r="K426" s="289"/>
      <c r="L426" s="12"/>
      <c r="M426" s="16"/>
      <c r="N426" s="17">
        <v>1</v>
      </c>
      <c r="O426" s="17">
        <v>6100</v>
      </c>
      <c r="P426" s="17">
        <v>6100</v>
      </c>
      <c r="Q426" s="40">
        <f t="shared" si="10"/>
        <v>0</v>
      </c>
      <c r="R426" s="289"/>
      <c r="S426" s="289"/>
      <c r="T426" s="285"/>
    </row>
    <row r="427" spans="1:20" ht="84" customHeight="1" x14ac:dyDescent="0.2">
      <c r="A427" s="289">
        <v>433</v>
      </c>
      <c r="B427" s="289" t="s">
        <v>3534</v>
      </c>
      <c r="C427" s="289" t="s">
        <v>5274</v>
      </c>
      <c r="D427" s="9" t="s">
        <v>743</v>
      </c>
      <c r="E427" s="9"/>
      <c r="F427" s="13" t="s">
        <v>1156</v>
      </c>
      <c r="G427" s="285" t="s">
        <v>7934</v>
      </c>
      <c r="H427" s="285" t="s">
        <v>5127</v>
      </c>
      <c r="I427" s="18"/>
      <c r="J427" s="285"/>
      <c r="K427" s="289"/>
      <c r="L427" s="12"/>
      <c r="M427" s="16"/>
      <c r="N427" s="17">
        <v>1</v>
      </c>
      <c r="O427" s="17">
        <v>5100</v>
      </c>
      <c r="P427" s="17">
        <v>5100</v>
      </c>
      <c r="Q427" s="40">
        <f t="shared" si="10"/>
        <v>0</v>
      </c>
      <c r="R427" s="289"/>
      <c r="S427" s="289"/>
      <c r="T427" s="285"/>
    </row>
    <row r="428" spans="1:20" ht="84" customHeight="1" x14ac:dyDescent="0.2">
      <c r="A428" s="289">
        <v>434</v>
      </c>
      <c r="B428" s="289" t="s">
        <v>3653</v>
      </c>
      <c r="C428" s="289"/>
      <c r="D428" s="9" t="s">
        <v>5697</v>
      </c>
      <c r="E428" s="9"/>
      <c r="F428" s="13" t="s">
        <v>5698</v>
      </c>
      <c r="G428" s="285" t="s">
        <v>7934</v>
      </c>
      <c r="H428" s="285" t="s">
        <v>5127</v>
      </c>
      <c r="I428" s="18"/>
      <c r="J428" s="284" t="s">
        <v>3136</v>
      </c>
      <c r="K428" s="51">
        <v>41401</v>
      </c>
      <c r="L428" s="30">
        <v>422</v>
      </c>
      <c r="M428" s="16"/>
      <c r="N428" s="24">
        <v>1</v>
      </c>
      <c r="O428" s="17">
        <v>3025</v>
      </c>
      <c r="P428" s="17">
        <v>3025</v>
      </c>
      <c r="Q428" s="40">
        <f t="shared" si="10"/>
        <v>0</v>
      </c>
      <c r="R428" s="289"/>
      <c r="S428" s="289"/>
      <c r="T428" s="285"/>
    </row>
    <row r="429" spans="1:20" ht="84" customHeight="1" x14ac:dyDescent="0.2">
      <c r="A429" s="289">
        <v>435</v>
      </c>
      <c r="B429" s="289" t="s">
        <v>3654</v>
      </c>
      <c r="C429" s="289"/>
      <c r="D429" s="9" t="s">
        <v>2294</v>
      </c>
      <c r="E429" s="9"/>
      <c r="F429" s="13" t="s">
        <v>8997</v>
      </c>
      <c r="G429" s="285" t="s">
        <v>7934</v>
      </c>
      <c r="H429" s="285" t="s">
        <v>5127</v>
      </c>
      <c r="I429" s="18"/>
      <c r="J429" s="285" t="s">
        <v>4020</v>
      </c>
      <c r="K429" s="14" t="s">
        <v>10175</v>
      </c>
      <c r="L429" s="285" t="s">
        <v>10176</v>
      </c>
      <c r="M429" s="16"/>
      <c r="N429" s="24"/>
      <c r="O429" s="17">
        <f>2675.64+56.36+10376-2586+3791+2103+1247+2218</f>
        <v>19881</v>
      </c>
      <c r="P429" s="17">
        <v>19881</v>
      </c>
      <c r="Q429" s="40">
        <f t="shared" si="10"/>
        <v>0</v>
      </c>
      <c r="R429" s="289" t="s">
        <v>3418</v>
      </c>
      <c r="S429" s="14" t="s">
        <v>9607</v>
      </c>
      <c r="T429" s="285" t="s">
        <v>9606</v>
      </c>
    </row>
    <row r="430" spans="1:20" ht="84" customHeight="1" x14ac:dyDescent="0.2">
      <c r="A430" s="289">
        <v>436</v>
      </c>
      <c r="B430" s="289" t="s">
        <v>3655</v>
      </c>
      <c r="C430" s="289" t="s">
        <v>5274</v>
      </c>
      <c r="D430" s="9" t="s">
        <v>60</v>
      </c>
      <c r="E430" s="9"/>
      <c r="F430" s="13" t="s">
        <v>4292</v>
      </c>
      <c r="G430" s="285" t="s">
        <v>7934</v>
      </c>
      <c r="H430" s="285" t="s">
        <v>5127</v>
      </c>
      <c r="I430" s="18"/>
      <c r="J430" s="285" t="s">
        <v>3136</v>
      </c>
      <c r="K430" s="15">
        <v>41401</v>
      </c>
      <c r="L430" s="289">
        <v>422</v>
      </c>
      <c r="M430" s="16"/>
      <c r="N430" s="24">
        <v>2</v>
      </c>
      <c r="O430" s="17">
        <v>8240</v>
      </c>
      <c r="P430" s="17">
        <v>8240</v>
      </c>
      <c r="Q430" s="40">
        <f t="shared" si="10"/>
        <v>0</v>
      </c>
      <c r="R430" s="289"/>
      <c r="S430" s="289"/>
      <c r="T430" s="285"/>
    </row>
    <row r="431" spans="1:20" ht="84" customHeight="1" x14ac:dyDescent="0.2">
      <c r="A431" s="289">
        <v>437</v>
      </c>
      <c r="B431" s="289" t="s">
        <v>6295</v>
      </c>
      <c r="C431" s="289" t="s">
        <v>5274</v>
      </c>
      <c r="D431" s="9" t="s">
        <v>1949</v>
      </c>
      <c r="E431" s="9"/>
      <c r="F431" s="13" t="s">
        <v>1950</v>
      </c>
      <c r="G431" s="285" t="s">
        <v>7934</v>
      </c>
      <c r="H431" s="285" t="s">
        <v>5127</v>
      </c>
      <c r="I431" s="18"/>
      <c r="J431" s="285" t="s">
        <v>3136</v>
      </c>
      <c r="K431" s="15">
        <v>41401</v>
      </c>
      <c r="L431" s="289">
        <v>422</v>
      </c>
      <c r="M431" s="16"/>
      <c r="N431" s="24">
        <v>1</v>
      </c>
      <c r="O431" s="17">
        <v>5100</v>
      </c>
      <c r="P431" s="17">
        <v>5100</v>
      </c>
      <c r="Q431" s="40">
        <f t="shared" si="10"/>
        <v>0</v>
      </c>
      <c r="R431" s="289"/>
      <c r="S431" s="289"/>
      <c r="T431" s="285"/>
    </row>
    <row r="432" spans="1:20" ht="84" customHeight="1" x14ac:dyDescent="0.2">
      <c r="A432" s="289">
        <v>438</v>
      </c>
      <c r="B432" s="289" t="s">
        <v>5449</v>
      </c>
      <c r="C432" s="289" t="s">
        <v>5274</v>
      </c>
      <c r="D432" s="9" t="s">
        <v>1650</v>
      </c>
      <c r="E432" s="9"/>
      <c r="F432" s="13" t="s">
        <v>5454</v>
      </c>
      <c r="G432" s="285" t="s">
        <v>7934</v>
      </c>
      <c r="H432" s="285" t="s">
        <v>5127</v>
      </c>
      <c r="I432" s="18"/>
      <c r="J432" s="285" t="s">
        <v>3136</v>
      </c>
      <c r="K432" s="15">
        <v>41401</v>
      </c>
      <c r="L432" s="289">
        <v>422</v>
      </c>
      <c r="M432" s="16"/>
      <c r="N432" s="24">
        <v>1</v>
      </c>
      <c r="O432" s="17">
        <v>4549</v>
      </c>
      <c r="P432" s="17">
        <v>4549</v>
      </c>
      <c r="Q432" s="40">
        <f t="shared" si="10"/>
        <v>0</v>
      </c>
      <c r="R432" s="285" t="s">
        <v>1914</v>
      </c>
      <c r="S432" s="15">
        <v>41360</v>
      </c>
      <c r="T432" s="285">
        <v>44</v>
      </c>
    </row>
    <row r="433" spans="1:20" ht="84" customHeight="1" x14ac:dyDescent="0.2">
      <c r="A433" s="289">
        <v>439</v>
      </c>
      <c r="B433" s="289" t="s">
        <v>5450</v>
      </c>
      <c r="C433" s="289" t="s">
        <v>5274</v>
      </c>
      <c r="D433" s="9" t="s">
        <v>741</v>
      </c>
      <c r="E433" s="9"/>
      <c r="F433" s="13" t="s">
        <v>3501</v>
      </c>
      <c r="G433" s="285" t="s">
        <v>7934</v>
      </c>
      <c r="H433" s="285" t="s">
        <v>5127</v>
      </c>
      <c r="I433" s="18"/>
      <c r="J433" s="285" t="s">
        <v>3136</v>
      </c>
      <c r="K433" s="15">
        <v>41401</v>
      </c>
      <c r="L433" s="289">
        <v>422</v>
      </c>
      <c r="M433" s="16"/>
      <c r="N433" s="24">
        <v>1</v>
      </c>
      <c r="O433" s="17">
        <v>5850</v>
      </c>
      <c r="P433" s="17">
        <v>5850</v>
      </c>
      <c r="Q433" s="40">
        <f t="shared" si="10"/>
        <v>0</v>
      </c>
      <c r="R433" s="285" t="s">
        <v>1914</v>
      </c>
      <c r="S433" s="15">
        <v>41358</v>
      </c>
      <c r="T433" s="285">
        <v>49</v>
      </c>
    </row>
    <row r="434" spans="1:20" ht="84" customHeight="1" x14ac:dyDescent="0.2">
      <c r="A434" s="289">
        <v>440</v>
      </c>
      <c r="B434" s="289" t="s">
        <v>5451</v>
      </c>
      <c r="C434" s="289" t="s">
        <v>5274</v>
      </c>
      <c r="D434" s="9" t="s">
        <v>58</v>
      </c>
      <c r="E434" s="9"/>
      <c r="F434" s="13" t="s">
        <v>59</v>
      </c>
      <c r="G434" s="285" t="s">
        <v>7934</v>
      </c>
      <c r="H434" s="285" t="s">
        <v>5127</v>
      </c>
      <c r="I434" s="18"/>
      <c r="J434" s="285"/>
      <c r="K434" s="289"/>
      <c r="L434" s="12"/>
      <c r="M434" s="16"/>
      <c r="N434" s="24">
        <v>1</v>
      </c>
      <c r="O434" s="17">
        <v>3895.2</v>
      </c>
      <c r="P434" s="17">
        <v>3895.2</v>
      </c>
      <c r="Q434" s="40">
        <f t="shared" si="10"/>
        <v>0</v>
      </c>
      <c r="R434" s="289"/>
      <c r="S434" s="289"/>
      <c r="T434" s="285"/>
    </row>
    <row r="435" spans="1:20" ht="84" customHeight="1" x14ac:dyDescent="0.2">
      <c r="A435" s="289">
        <v>441</v>
      </c>
      <c r="B435" s="289" t="s">
        <v>5452</v>
      </c>
      <c r="C435" s="289"/>
      <c r="D435" s="9" t="s">
        <v>2718</v>
      </c>
      <c r="E435" s="9"/>
      <c r="F435" s="13" t="s">
        <v>2719</v>
      </c>
      <c r="G435" s="285" t="s">
        <v>7934</v>
      </c>
      <c r="H435" s="285" t="s">
        <v>5127</v>
      </c>
      <c r="I435" s="18"/>
      <c r="J435" s="285"/>
      <c r="K435" s="289"/>
      <c r="L435" s="12"/>
      <c r="M435" s="16"/>
      <c r="N435" s="24">
        <v>1</v>
      </c>
      <c r="O435" s="17">
        <v>8780</v>
      </c>
      <c r="P435" s="17">
        <v>8780</v>
      </c>
      <c r="Q435" s="40">
        <f t="shared" si="10"/>
        <v>0</v>
      </c>
      <c r="R435" s="289"/>
      <c r="S435" s="289"/>
      <c r="T435" s="285"/>
    </row>
    <row r="436" spans="1:20" ht="84" customHeight="1" x14ac:dyDescent="0.2">
      <c r="A436" s="289">
        <v>442</v>
      </c>
      <c r="B436" s="289" t="s">
        <v>5453</v>
      </c>
      <c r="C436" s="289"/>
      <c r="D436" s="9" t="s">
        <v>10305</v>
      </c>
      <c r="E436" s="9"/>
      <c r="F436" s="13" t="s">
        <v>566</v>
      </c>
      <c r="G436" s="285" t="s">
        <v>792</v>
      </c>
      <c r="H436" s="285" t="s">
        <v>5127</v>
      </c>
      <c r="I436" s="18"/>
      <c r="J436" s="285"/>
      <c r="K436" s="289"/>
      <c r="L436" s="12"/>
      <c r="M436" s="16"/>
      <c r="N436" s="40">
        <v>1</v>
      </c>
      <c r="O436" s="17">
        <v>9900</v>
      </c>
      <c r="P436" s="17">
        <v>9900</v>
      </c>
      <c r="Q436" s="40">
        <f t="shared" si="10"/>
        <v>0</v>
      </c>
      <c r="R436" s="289"/>
      <c r="S436" s="289"/>
      <c r="T436" s="285"/>
    </row>
    <row r="437" spans="1:20" ht="72" customHeight="1" x14ac:dyDescent="0.2">
      <c r="A437" s="289">
        <v>443</v>
      </c>
      <c r="B437" s="289" t="s">
        <v>3503</v>
      </c>
      <c r="C437" s="289"/>
      <c r="D437" s="9" t="s">
        <v>10306</v>
      </c>
      <c r="E437" s="9"/>
      <c r="F437" s="13" t="s">
        <v>545</v>
      </c>
      <c r="G437" s="285" t="s">
        <v>792</v>
      </c>
      <c r="H437" s="285" t="s">
        <v>5127</v>
      </c>
      <c r="I437" s="18"/>
      <c r="J437" s="285"/>
      <c r="K437" s="289"/>
      <c r="L437" s="12"/>
      <c r="M437" s="16"/>
      <c r="N437" s="40">
        <v>1</v>
      </c>
      <c r="O437" s="17">
        <v>8100</v>
      </c>
      <c r="P437" s="17">
        <v>8100</v>
      </c>
      <c r="Q437" s="40">
        <f t="shared" si="10"/>
        <v>0</v>
      </c>
      <c r="R437" s="289"/>
      <c r="S437" s="289"/>
      <c r="T437" s="285"/>
    </row>
    <row r="438" spans="1:20" ht="84" customHeight="1" x14ac:dyDescent="0.2">
      <c r="A438" s="289">
        <v>444</v>
      </c>
      <c r="B438" s="289" t="s">
        <v>786</v>
      </c>
      <c r="C438" s="289"/>
      <c r="D438" s="9" t="s">
        <v>7093</v>
      </c>
      <c r="E438" s="9"/>
      <c r="F438" s="13" t="s">
        <v>5745</v>
      </c>
      <c r="G438" s="285" t="s">
        <v>792</v>
      </c>
      <c r="H438" s="285" t="s">
        <v>5127</v>
      </c>
      <c r="I438" s="18"/>
      <c r="J438" s="285"/>
      <c r="K438" s="289"/>
      <c r="L438" s="12"/>
      <c r="M438" s="16"/>
      <c r="N438" s="17">
        <v>1</v>
      </c>
      <c r="O438" s="17">
        <v>6486.48</v>
      </c>
      <c r="P438" s="17">
        <v>6486.48</v>
      </c>
      <c r="Q438" s="40">
        <f t="shared" si="10"/>
        <v>0</v>
      </c>
      <c r="R438" s="289"/>
      <c r="S438" s="289"/>
      <c r="T438" s="285"/>
    </row>
    <row r="439" spans="1:20" ht="84" customHeight="1" x14ac:dyDescent="0.2">
      <c r="A439" s="289">
        <v>445</v>
      </c>
      <c r="B439" s="289" t="s">
        <v>1732</v>
      </c>
      <c r="C439" s="289"/>
      <c r="D439" s="9" t="s">
        <v>5641</v>
      </c>
      <c r="E439" s="9"/>
      <c r="F439" s="13" t="s">
        <v>4947</v>
      </c>
      <c r="G439" s="285" t="s">
        <v>792</v>
      </c>
      <c r="H439" s="285" t="s">
        <v>5127</v>
      </c>
      <c r="I439" s="18"/>
      <c r="J439" s="285"/>
      <c r="K439" s="289"/>
      <c r="L439" s="12"/>
      <c r="M439" s="16"/>
      <c r="N439" s="17">
        <v>1</v>
      </c>
      <c r="O439" s="17">
        <v>4250</v>
      </c>
      <c r="P439" s="17">
        <v>4250</v>
      </c>
      <c r="Q439" s="40">
        <f t="shared" si="10"/>
        <v>0</v>
      </c>
      <c r="R439" s="289"/>
      <c r="S439" s="289"/>
      <c r="T439" s="285"/>
    </row>
    <row r="440" spans="1:20" ht="84" customHeight="1" x14ac:dyDescent="0.2">
      <c r="A440" s="289">
        <v>447</v>
      </c>
      <c r="B440" s="289" t="s">
        <v>2605</v>
      </c>
      <c r="C440" s="289"/>
      <c r="D440" s="9" t="s">
        <v>4291</v>
      </c>
      <c r="E440" s="9"/>
      <c r="F440" s="13" t="s">
        <v>5510</v>
      </c>
      <c r="G440" s="285" t="s">
        <v>792</v>
      </c>
      <c r="H440" s="285" t="s">
        <v>5127</v>
      </c>
      <c r="I440" s="18"/>
      <c r="J440" s="285"/>
      <c r="K440" s="289"/>
      <c r="L440" s="12"/>
      <c r="M440" s="16"/>
      <c r="N440" s="17">
        <v>1</v>
      </c>
      <c r="O440" s="40">
        <v>6979.35</v>
      </c>
      <c r="P440" s="40">
        <v>6979.35</v>
      </c>
      <c r="Q440" s="40">
        <f t="shared" si="10"/>
        <v>0</v>
      </c>
      <c r="R440" s="289"/>
      <c r="S440" s="289"/>
      <c r="T440" s="285"/>
    </row>
    <row r="441" spans="1:20" ht="106.5" customHeight="1" x14ac:dyDescent="0.2">
      <c r="A441" s="289">
        <v>448</v>
      </c>
      <c r="B441" s="289" t="s">
        <v>2606</v>
      </c>
      <c r="C441" s="289"/>
      <c r="D441" s="9" t="s">
        <v>5072</v>
      </c>
      <c r="E441" s="9"/>
      <c r="F441" s="13" t="s">
        <v>2730</v>
      </c>
      <c r="G441" s="285" t="s">
        <v>6266</v>
      </c>
      <c r="H441" s="285" t="s">
        <v>5127</v>
      </c>
      <c r="I441" s="18"/>
      <c r="J441" s="285" t="s">
        <v>9411</v>
      </c>
      <c r="K441" s="14">
        <v>40544</v>
      </c>
      <c r="L441" s="22" t="s">
        <v>1029</v>
      </c>
      <c r="M441" s="14">
        <v>39112</v>
      </c>
      <c r="N441" s="24">
        <v>1</v>
      </c>
      <c r="O441" s="17">
        <v>3096</v>
      </c>
      <c r="P441" s="40">
        <v>3096</v>
      </c>
      <c r="Q441" s="40">
        <f t="shared" si="10"/>
        <v>0</v>
      </c>
      <c r="R441" s="289"/>
      <c r="S441" s="289"/>
      <c r="T441" s="285"/>
    </row>
    <row r="442" spans="1:20" ht="100.5" customHeight="1" x14ac:dyDescent="0.2">
      <c r="A442" s="289">
        <v>449</v>
      </c>
      <c r="B442" s="289" t="s">
        <v>2607</v>
      </c>
      <c r="C442" s="289"/>
      <c r="D442" s="9" t="s">
        <v>1522</v>
      </c>
      <c r="E442" s="9"/>
      <c r="F442" s="13" t="s">
        <v>2427</v>
      </c>
      <c r="G442" s="285" t="s">
        <v>6266</v>
      </c>
      <c r="H442" s="285" t="s">
        <v>5127</v>
      </c>
      <c r="I442" s="18"/>
      <c r="J442" s="285" t="s">
        <v>9437</v>
      </c>
      <c r="K442" s="14">
        <v>40544</v>
      </c>
      <c r="L442" s="22" t="s">
        <v>1029</v>
      </c>
      <c r="M442" s="14">
        <v>32141</v>
      </c>
      <c r="N442" s="24">
        <v>1</v>
      </c>
      <c r="O442" s="17">
        <v>3756.48</v>
      </c>
      <c r="P442" s="40">
        <v>3756.48</v>
      </c>
      <c r="Q442" s="40">
        <f t="shared" si="10"/>
        <v>0</v>
      </c>
      <c r="R442" s="289"/>
      <c r="S442" s="289"/>
      <c r="T442" s="285"/>
    </row>
    <row r="443" spans="1:20" ht="98.25" customHeight="1" x14ac:dyDescent="0.2">
      <c r="A443" s="289">
        <v>450</v>
      </c>
      <c r="B443" s="289" t="s">
        <v>2608</v>
      </c>
      <c r="C443" s="289"/>
      <c r="D443" s="9" t="s">
        <v>6150</v>
      </c>
      <c r="E443" s="9"/>
      <c r="F443" s="13" t="s">
        <v>5306</v>
      </c>
      <c r="G443" s="285" t="s">
        <v>6266</v>
      </c>
      <c r="H443" s="285" t="s">
        <v>5127</v>
      </c>
      <c r="I443" s="18"/>
      <c r="J443" s="285" t="s">
        <v>9411</v>
      </c>
      <c r="K443" s="14">
        <v>40544</v>
      </c>
      <c r="L443" s="22" t="s">
        <v>1029</v>
      </c>
      <c r="M443" s="14">
        <v>39629</v>
      </c>
      <c r="N443" s="24">
        <v>1</v>
      </c>
      <c r="O443" s="40">
        <v>6503.7</v>
      </c>
      <c r="P443" s="40">
        <v>6503.7</v>
      </c>
      <c r="Q443" s="40">
        <f t="shared" ref="Q443:Q497" si="11">O443-P443</f>
        <v>0</v>
      </c>
      <c r="R443" s="289"/>
      <c r="S443" s="289"/>
      <c r="T443" s="285"/>
    </row>
    <row r="444" spans="1:20" ht="130.5" customHeight="1" x14ac:dyDescent="0.2">
      <c r="A444" s="289">
        <v>451</v>
      </c>
      <c r="B444" s="289" t="s">
        <v>2609</v>
      </c>
      <c r="C444" s="289"/>
      <c r="D444" s="9" t="s">
        <v>519</v>
      </c>
      <c r="E444" s="9"/>
      <c r="F444" s="13" t="s">
        <v>6151</v>
      </c>
      <c r="G444" s="285" t="s">
        <v>6266</v>
      </c>
      <c r="H444" s="285" t="s">
        <v>5127</v>
      </c>
      <c r="I444" s="18"/>
      <c r="J444" s="285" t="s">
        <v>9411</v>
      </c>
      <c r="K444" s="14">
        <v>40544</v>
      </c>
      <c r="L444" s="22" t="s">
        <v>1029</v>
      </c>
      <c r="M444" s="14">
        <v>37011</v>
      </c>
      <c r="N444" s="24">
        <v>1</v>
      </c>
      <c r="O444" s="40">
        <v>7937.5</v>
      </c>
      <c r="P444" s="40">
        <v>7937.5</v>
      </c>
      <c r="Q444" s="40">
        <f t="shared" si="11"/>
        <v>0</v>
      </c>
      <c r="R444" s="289"/>
      <c r="S444" s="289"/>
      <c r="T444" s="285"/>
    </row>
    <row r="445" spans="1:20" ht="130.5" customHeight="1" x14ac:dyDescent="0.2">
      <c r="A445" s="289">
        <v>452</v>
      </c>
      <c r="B445" s="289" t="s">
        <v>2610</v>
      </c>
      <c r="C445" s="289"/>
      <c r="D445" s="9" t="s">
        <v>978</v>
      </c>
      <c r="E445" s="9"/>
      <c r="F445" s="13" t="s">
        <v>3443</v>
      </c>
      <c r="G445" s="285" t="s">
        <v>6266</v>
      </c>
      <c r="H445" s="285" t="s">
        <v>5127</v>
      </c>
      <c r="I445" s="18"/>
      <c r="J445" s="285" t="s">
        <v>9437</v>
      </c>
      <c r="K445" s="14">
        <v>40908</v>
      </c>
      <c r="L445" s="22" t="s">
        <v>1029</v>
      </c>
      <c r="M445" s="15">
        <v>40857</v>
      </c>
      <c r="N445" s="17">
        <v>3</v>
      </c>
      <c r="O445" s="17">
        <v>24000</v>
      </c>
      <c r="P445" s="40">
        <v>24000</v>
      </c>
      <c r="Q445" s="40">
        <f t="shared" si="11"/>
        <v>0</v>
      </c>
      <c r="R445" s="289" t="s">
        <v>5071</v>
      </c>
      <c r="S445" s="15">
        <v>40857</v>
      </c>
      <c r="T445" s="285">
        <v>96</v>
      </c>
    </row>
    <row r="446" spans="1:20" ht="130.5" customHeight="1" x14ac:dyDescent="0.2">
      <c r="A446" s="289">
        <v>453</v>
      </c>
      <c r="B446" s="289" t="s">
        <v>2611</v>
      </c>
      <c r="C446" s="289"/>
      <c r="D446" s="9" t="s">
        <v>3442</v>
      </c>
      <c r="E446" s="9"/>
      <c r="F446" s="13" t="s">
        <v>3444</v>
      </c>
      <c r="G446" s="285" t="s">
        <v>6266</v>
      </c>
      <c r="H446" s="285" t="s">
        <v>5127</v>
      </c>
      <c r="I446" s="18"/>
      <c r="J446" s="285" t="s">
        <v>9437</v>
      </c>
      <c r="K446" s="14">
        <v>40544</v>
      </c>
      <c r="L446" s="22" t="s">
        <v>1029</v>
      </c>
      <c r="M446" s="14">
        <v>39660</v>
      </c>
      <c r="N446" s="40">
        <v>1</v>
      </c>
      <c r="O446" s="40">
        <v>6800</v>
      </c>
      <c r="P446" s="40">
        <v>6800</v>
      </c>
      <c r="Q446" s="40">
        <f t="shared" si="11"/>
        <v>0</v>
      </c>
      <c r="R446" s="289"/>
      <c r="S446" s="289"/>
      <c r="T446" s="285"/>
    </row>
    <row r="447" spans="1:20" ht="130.5" customHeight="1" x14ac:dyDescent="0.2">
      <c r="A447" s="289">
        <v>454</v>
      </c>
      <c r="B447" s="289" t="s">
        <v>2612</v>
      </c>
      <c r="C447" s="289"/>
      <c r="D447" s="9" t="s">
        <v>3817</v>
      </c>
      <c r="E447" s="9"/>
      <c r="F447" s="13" t="s">
        <v>1293</v>
      </c>
      <c r="G447" s="285" t="s">
        <v>6266</v>
      </c>
      <c r="H447" s="285" t="s">
        <v>5127</v>
      </c>
      <c r="I447" s="18"/>
      <c r="J447" s="285" t="s">
        <v>9437</v>
      </c>
      <c r="K447" s="14">
        <v>40908</v>
      </c>
      <c r="L447" s="22" t="s">
        <v>1029</v>
      </c>
      <c r="M447" s="14">
        <v>40868</v>
      </c>
      <c r="N447" s="40">
        <v>1</v>
      </c>
      <c r="O447" s="17">
        <v>6230</v>
      </c>
      <c r="P447" s="40">
        <v>6230</v>
      </c>
      <c r="Q447" s="40">
        <f t="shared" si="11"/>
        <v>0</v>
      </c>
      <c r="R447" s="289" t="s">
        <v>5071</v>
      </c>
      <c r="S447" s="15">
        <v>40857</v>
      </c>
      <c r="T447" s="285">
        <v>96</v>
      </c>
    </row>
    <row r="448" spans="1:20" ht="130.5" customHeight="1" x14ac:dyDescent="0.2">
      <c r="A448" s="289">
        <v>455</v>
      </c>
      <c r="B448" s="289" t="s">
        <v>2698</v>
      </c>
      <c r="C448" s="289"/>
      <c r="D448" s="9" t="s">
        <v>5640</v>
      </c>
      <c r="E448" s="9"/>
      <c r="F448" s="13" t="s">
        <v>6046</v>
      </c>
      <c r="G448" s="285" t="s">
        <v>6266</v>
      </c>
      <c r="H448" s="285" t="s">
        <v>5127</v>
      </c>
      <c r="I448" s="18"/>
      <c r="J448" s="285" t="s">
        <v>9411</v>
      </c>
      <c r="K448" s="14">
        <v>40544</v>
      </c>
      <c r="L448" s="22" t="s">
        <v>1029</v>
      </c>
      <c r="M448" s="14">
        <v>40057</v>
      </c>
      <c r="N448" s="17">
        <v>1</v>
      </c>
      <c r="O448" s="17">
        <v>3202</v>
      </c>
      <c r="P448" s="40">
        <v>3202</v>
      </c>
      <c r="Q448" s="40">
        <f t="shared" si="11"/>
        <v>0</v>
      </c>
      <c r="R448" s="289"/>
      <c r="S448" s="289"/>
      <c r="T448" s="285"/>
    </row>
    <row r="449" spans="1:20" ht="130.5" customHeight="1" x14ac:dyDescent="0.2">
      <c r="A449" s="289">
        <v>456</v>
      </c>
      <c r="B449" s="289" t="s">
        <v>2699</v>
      </c>
      <c r="C449" s="289"/>
      <c r="D449" s="9" t="s">
        <v>1105</v>
      </c>
      <c r="E449" s="9"/>
      <c r="F449" s="13" t="s">
        <v>1106</v>
      </c>
      <c r="G449" s="285" t="s">
        <v>6266</v>
      </c>
      <c r="H449" s="285" t="s">
        <v>5127</v>
      </c>
      <c r="I449" s="18"/>
      <c r="J449" s="285" t="s">
        <v>9408</v>
      </c>
      <c r="K449" s="14">
        <v>41182</v>
      </c>
      <c r="L449" s="22" t="s">
        <v>1029</v>
      </c>
      <c r="M449" s="14">
        <v>41135</v>
      </c>
      <c r="N449" s="17">
        <v>6</v>
      </c>
      <c r="O449" s="17">
        <v>29832.3</v>
      </c>
      <c r="P449" s="40">
        <v>29832.3</v>
      </c>
      <c r="Q449" s="40">
        <f t="shared" si="11"/>
        <v>0</v>
      </c>
      <c r="R449" s="289" t="s">
        <v>4968</v>
      </c>
      <c r="S449" s="15">
        <v>41135</v>
      </c>
      <c r="T449" s="285">
        <v>1</v>
      </c>
    </row>
    <row r="450" spans="1:20" ht="130.5" customHeight="1" x14ac:dyDescent="0.2">
      <c r="A450" s="289">
        <v>457</v>
      </c>
      <c r="B450" s="289" t="s">
        <v>2700</v>
      </c>
      <c r="C450" s="289"/>
      <c r="D450" s="9" t="s">
        <v>4157</v>
      </c>
      <c r="E450" s="9"/>
      <c r="F450" s="13"/>
      <c r="G450" s="285" t="s">
        <v>6266</v>
      </c>
      <c r="H450" s="285" t="s">
        <v>5127</v>
      </c>
      <c r="I450" s="18"/>
      <c r="J450" s="285" t="s">
        <v>3136</v>
      </c>
      <c r="K450" s="14">
        <v>41011</v>
      </c>
      <c r="L450" s="22" t="s">
        <v>9438</v>
      </c>
      <c r="M450" s="14">
        <v>30621</v>
      </c>
      <c r="N450" s="17">
        <v>1</v>
      </c>
      <c r="O450" s="17">
        <v>200</v>
      </c>
      <c r="P450" s="40">
        <v>200</v>
      </c>
      <c r="Q450" s="40">
        <f t="shared" si="11"/>
        <v>0</v>
      </c>
      <c r="R450" s="289"/>
      <c r="S450" s="289"/>
      <c r="T450" s="285"/>
    </row>
    <row r="451" spans="1:20" ht="130.5" customHeight="1" x14ac:dyDescent="0.2">
      <c r="A451" s="289">
        <v>458</v>
      </c>
      <c r="B451" s="289" t="s">
        <v>2701</v>
      </c>
      <c r="C451" s="289"/>
      <c r="D451" s="9" t="s">
        <v>2706</v>
      </c>
      <c r="E451" s="9"/>
      <c r="F451" s="13"/>
      <c r="G451" s="285" t="s">
        <v>6266</v>
      </c>
      <c r="H451" s="285" t="s">
        <v>5127</v>
      </c>
      <c r="I451" s="18"/>
      <c r="J451" s="285" t="s">
        <v>3136</v>
      </c>
      <c r="K451" s="14" t="s">
        <v>7431</v>
      </c>
      <c r="L451" s="12" t="s">
        <v>7432</v>
      </c>
      <c r="M451" s="16"/>
      <c r="N451" s="285"/>
      <c r="O451" s="17">
        <f>19853.87+1831.26-1831.26+19565.21-19565.21</f>
        <v>19853.870000000003</v>
      </c>
      <c r="P451" s="40">
        <f>19853.87-19565.21+19565.21</f>
        <v>19853.87</v>
      </c>
      <c r="Q451" s="40">
        <f t="shared" si="11"/>
        <v>0</v>
      </c>
      <c r="R451" s="285" t="s">
        <v>7751</v>
      </c>
      <c r="S451" s="14">
        <v>42503</v>
      </c>
      <c r="T451" s="285" t="s">
        <v>7750</v>
      </c>
    </row>
    <row r="452" spans="1:20" ht="130.5" customHeight="1" x14ac:dyDescent="0.2">
      <c r="A452" s="289">
        <v>459</v>
      </c>
      <c r="B452" s="289" t="s">
        <v>2702</v>
      </c>
      <c r="C452" s="289" t="s">
        <v>5274</v>
      </c>
      <c r="D452" s="9" t="s">
        <v>3706</v>
      </c>
      <c r="E452" s="9"/>
      <c r="F452" s="13" t="s">
        <v>4480</v>
      </c>
      <c r="G452" s="285" t="s">
        <v>7977</v>
      </c>
      <c r="H452" s="285" t="s">
        <v>5127</v>
      </c>
      <c r="I452" s="18"/>
      <c r="J452" s="285" t="s">
        <v>9405</v>
      </c>
      <c r="K452" s="289">
        <v>2009</v>
      </c>
      <c r="L452" s="289" t="s">
        <v>1029</v>
      </c>
      <c r="M452" s="15">
        <v>39885</v>
      </c>
      <c r="N452" s="24">
        <v>6</v>
      </c>
      <c r="O452" s="17">
        <v>40528.86</v>
      </c>
      <c r="P452" s="40">
        <v>40528.86</v>
      </c>
      <c r="Q452" s="40">
        <f t="shared" si="11"/>
        <v>0</v>
      </c>
      <c r="R452" s="285" t="s">
        <v>5071</v>
      </c>
      <c r="S452" s="15">
        <v>39885</v>
      </c>
      <c r="T452" s="285">
        <v>80</v>
      </c>
    </row>
    <row r="453" spans="1:20" ht="130.5" customHeight="1" x14ac:dyDescent="0.2">
      <c r="A453" s="289">
        <v>460</v>
      </c>
      <c r="B453" s="289" t="s">
        <v>2703</v>
      </c>
      <c r="C453" s="289" t="s">
        <v>5274</v>
      </c>
      <c r="D453" s="9" t="s">
        <v>3706</v>
      </c>
      <c r="E453" s="9"/>
      <c r="F453" s="13" t="s">
        <v>4388</v>
      </c>
      <c r="G453" s="285" t="s">
        <v>7977</v>
      </c>
      <c r="H453" s="285" t="s">
        <v>5127</v>
      </c>
      <c r="I453" s="18"/>
      <c r="J453" s="285" t="s">
        <v>9405</v>
      </c>
      <c r="K453" s="289">
        <v>2009</v>
      </c>
      <c r="L453" s="289" t="s">
        <v>1029</v>
      </c>
      <c r="M453" s="15">
        <v>39885</v>
      </c>
      <c r="N453" s="24">
        <v>2</v>
      </c>
      <c r="O453" s="17">
        <v>15650</v>
      </c>
      <c r="P453" s="40">
        <v>15650</v>
      </c>
      <c r="Q453" s="40">
        <f t="shared" si="11"/>
        <v>0</v>
      </c>
      <c r="R453" s="285" t="s">
        <v>5071</v>
      </c>
      <c r="S453" s="15">
        <v>39885</v>
      </c>
      <c r="T453" s="285">
        <v>80</v>
      </c>
    </row>
    <row r="454" spans="1:20" ht="130.5" customHeight="1" x14ac:dyDescent="0.2">
      <c r="A454" s="289">
        <v>461</v>
      </c>
      <c r="B454" s="289" t="s">
        <v>2704</v>
      </c>
      <c r="C454" s="289" t="s">
        <v>5274</v>
      </c>
      <c r="D454" s="9" t="s">
        <v>3153</v>
      </c>
      <c r="E454" s="9"/>
      <c r="F454" s="13" t="s">
        <v>4628</v>
      </c>
      <c r="G454" s="285" t="s">
        <v>7977</v>
      </c>
      <c r="H454" s="285" t="s">
        <v>5127</v>
      </c>
      <c r="I454" s="18"/>
      <c r="J454" s="285" t="s">
        <v>9405</v>
      </c>
      <c r="K454" s="289">
        <v>2009</v>
      </c>
      <c r="L454" s="289" t="s">
        <v>1029</v>
      </c>
      <c r="M454" s="15">
        <v>39996</v>
      </c>
      <c r="N454" s="24">
        <v>4</v>
      </c>
      <c r="O454" s="17">
        <v>14000</v>
      </c>
      <c r="P454" s="40">
        <v>14000</v>
      </c>
      <c r="Q454" s="40">
        <f t="shared" si="11"/>
        <v>0</v>
      </c>
      <c r="R454" s="285" t="s">
        <v>5071</v>
      </c>
      <c r="S454" s="15">
        <v>39996</v>
      </c>
      <c r="T454" s="285">
        <v>222</v>
      </c>
    </row>
    <row r="455" spans="1:20" ht="130.5" customHeight="1" x14ac:dyDescent="0.2">
      <c r="A455" s="289">
        <v>462</v>
      </c>
      <c r="B455" s="289" t="s">
        <v>2705</v>
      </c>
      <c r="C455" s="289" t="s">
        <v>5274</v>
      </c>
      <c r="D455" s="9" t="s">
        <v>1018</v>
      </c>
      <c r="E455" s="285"/>
      <c r="F455" s="13" t="s">
        <v>5390</v>
      </c>
      <c r="G455" s="285" t="s">
        <v>7977</v>
      </c>
      <c r="H455" s="285" t="s">
        <v>5127</v>
      </c>
      <c r="I455" s="18"/>
      <c r="J455" s="285" t="s">
        <v>9405</v>
      </c>
      <c r="K455" s="289">
        <v>2009</v>
      </c>
      <c r="L455" s="289" t="s">
        <v>1029</v>
      </c>
      <c r="M455" s="15">
        <v>39996</v>
      </c>
      <c r="N455" s="52">
        <v>1</v>
      </c>
      <c r="O455" s="48">
        <v>5500</v>
      </c>
      <c r="P455" s="40">
        <v>5500</v>
      </c>
      <c r="Q455" s="40">
        <f t="shared" si="11"/>
        <v>0</v>
      </c>
      <c r="R455" s="285" t="s">
        <v>5071</v>
      </c>
      <c r="S455" s="15">
        <v>39996</v>
      </c>
      <c r="T455" s="285">
        <v>222</v>
      </c>
    </row>
    <row r="456" spans="1:20" ht="130.5" customHeight="1" x14ac:dyDescent="0.2">
      <c r="A456" s="289">
        <v>463</v>
      </c>
      <c r="B456" s="289" t="s">
        <v>1441</v>
      </c>
      <c r="C456" s="289" t="s">
        <v>5274</v>
      </c>
      <c r="D456" s="9" t="s">
        <v>6169</v>
      </c>
      <c r="E456" s="285"/>
      <c r="F456" s="13" t="s">
        <v>5391</v>
      </c>
      <c r="G456" s="285" t="s">
        <v>7977</v>
      </c>
      <c r="H456" s="285" t="s">
        <v>5127</v>
      </c>
      <c r="I456" s="18"/>
      <c r="J456" s="285" t="s">
        <v>9405</v>
      </c>
      <c r="K456" s="289">
        <v>2009</v>
      </c>
      <c r="L456" s="289" t="s">
        <v>1029</v>
      </c>
      <c r="M456" s="15">
        <v>39996</v>
      </c>
      <c r="N456" s="17">
        <v>1</v>
      </c>
      <c r="O456" s="17">
        <v>4100</v>
      </c>
      <c r="P456" s="40">
        <v>4100</v>
      </c>
      <c r="Q456" s="40">
        <f t="shared" si="11"/>
        <v>0</v>
      </c>
      <c r="R456" s="285" t="s">
        <v>5071</v>
      </c>
      <c r="S456" s="15">
        <v>39996</v>
      </c>
      <c r="T456" s="285">
        <v>222</v>
      </c>
    </row>
    <row r="457" spans="1:20" ht="130.5" customHeight="1" x14ac:dyDescent="0.2">
      <c r="A457" s="289">
        <v>464</v>
      </c>
      <c r="B457" s="289" t="s">
        <v>1442</v>
      </c>
      <c r="C457" s="289" t="s">
        <v>5274</v>
      </c>
      <c r="D457" s="9" t="s">
        <v>5392</v>
      </c>
      <c r="E457" s="285"/>
      <c r="F457" s="13" t="s">
        <v>1343</v>
      </c>
      <c r="G457" s="285" t="s">
        <v>7977</v>
      </c>
      <c r="H457" s="285" t="s">
        <v>5127</v>
      </c>
      <c r="I457" s="18"/>
      <c r="J457" s="285" t="s">
        <v>9405</v>
      </c>
      <c r="K457" s="289">
        <v>2009</v>
      </c>
      <c r="L457" s="289" t="s">
        <v>1029</v>
      </c>
      <c r="M457" s="15">
        <v>39996</v>
      </c>
      <c r="N457" s="17">
        <v>4</v>
      </c>
      <c r="O457" s="17">
        <v>20000</v>
      </c>
      <c r="P457" s="40">
        <v>20000</v>
      </c>
      <c r="Q457" s="40">
        <f t="shared" si="11"/>
        <v>0</v>
      </c>
      <c r="R457" s="285" t="s">
        <v>5071</v>
      </c>
      <c r="S457" s="15">
        <v>39996</v>
      </c>
      <c r="T457" s="285">
        <v>222</v>
      </c>
    </row>
    <row r="458" spans="1:20" ht="130.5" customHeight="1" x14ac:dyDescent="0.2">
      <c r="A458" s="289">
        <v>465</v>
      </c>
      <c r="B458" s="289" t="s">
        <v>1443</v>
      </c>
      <c r="C458" s="289" t="s">
        <v>5274</v>
      </c>
      <c r="D458" s="9" t="s">
        <v>2644</v>
      </c>
      <c r="E458" s="285"/>
      <c r="F458" s="13" t="s">
        <v>1136</v>
      </c>
      <c r="G458" s="285" t="s">
        <v>7977</v>
      </c>
      <c r="H458" s="285" t="s">
        <v>5127</v>
      </c>
      <c r="I458" s="18"/>
      <c r="J458" s="285" t="s">
        <v>9405</v>
      </c>
      <c r="K458" s="289">
        <v>2009</v>
      </c>
      <c r="L458" s="289" t="s">
        <v>1029</v>
      </c>
      <c r="M458" s="15">
        <v>40407</v>
      </c>
      <c r="N458" s="17">
        <v>1</v>
      </c>
      <c r="O458" s="17">
        <v>9149</v>
      </c>
      <c r="P458" s="40">
        <v>9149</v>
      </c>
      <c r="Q458" s="40">
        <f t="shared" si="11"/>
        <v>0</v>
      </c>
      <c r="R458" s="285" t="s">
        <v>5071</v>
      </c>
      <c r="S458" s="15">
        <v>40407</v>
      </c>
      <c r="T458" s="285">
        <v>218</v>
      </c>
    </row>
    <row r="459" spans="1:20" ht="130.5" customHeight="1" x14ac:dyDescent="0.2">
      <c r="A459" s="289">
        <v>466</v>
      </c>
      <c r="B459" s="289" t="s">
        <v>1444</v>
      </c>
      <c r="C459" s="289" t="s">
        <v>5274</v>
      </c>
      <c r="D459" s="9" t="s">
        <v>1679</v>
      </c>
      <c r="E459" s="285"/>
      <c r="F459" s="13" t="s">
        <v>2986</v>
      </c>
      <c r="G459" s="285" t="s">
        <v>7977</v>
      </c>
      <c r="H459" s="285" t="s">
        <v>5127</v>
      </c>
      <c r="I459" s="18"/>
      <c r="J459" s="285" t="s">
        <v>9405</v>
      </c>
      <c r="K459" s="289">
        <v>2009</v>
      </c>
      <c r="L459" s="289" t="s">
        <v>1029</v>
      </c>
      <c r="M459" s="15">
        <v>40008</v>
      </c>
      <c r="N459" s="17">
        <v>1</v>
      </c>
      <c r="O459" s="17">
        <v>3250</v>
      </c>
      <c r="P459" s="40">
        <v>3250</v>
      </c>
      <c r="Q459" s="40">
        <f t="shared" si="11"/>
        <v>0</v>
      </c>
      <c r="R459" s="285" t="s">
        <v>5071</v>
      </c>
      <c r="S459" s="15">
        <v>40008</v>
      </c>
      <c r="T459" s="285">
        <v>10416</v>
      </c>
    </row>
    <row r="460" spans="1:20" ht="130.5" customHeight="1" x14ac:dyDescent="0.2">
      <c r="A460" s="289">
        <v>467</v>
      </c>
      <c r="B460" s="289" t="s">
        <v>1445</v>
      </c>
      <c r="C460" s="289" t="s">
        <v>5274</v>
      </c>
      <c r="D460" s="9" t="s">
        <v>4892</v>
      </c>
      <c r="E460" s="285"/>
      <c r="F460" s="13" t="s">
        <v>1644</v>
      </c>
      <c r="G460" s="285" t="s">
        <v>7977</v>
      </c>
      <c r="H460" s="285" t="s">
        <v>5127</v>
      </c>
      <c r="I460" s="18"/>
      <c r="J460" s="285" t="s">
        <v>9405</v>
      </c>
      <c r="K460" s="289">
        <v>2009</v>
      </c>
      <c r="L460" s="289" t="s">
        <v>1029</v>
      </c>
      <c r="M460" s="15">
        <v>40008</v>
      </c>
      <c r="N460" s="17">
        <v>1</v>
      </c>
      <c r="O460" s="17">
        <v>5000</v>
      </c>
      <c r="P460" s="40">
        <v>5000</v>
      </c>
      <c r="Q460" s="40">
        <f t="shared" si="11"/>
        <v>0</v>
      </c>
      <c r="R460" s="285" t="s">
        <v>5071</v>
      </c>
      <c r="S460" s="15">
        <v>40008</v>
      </c>
      <c r="T460" s="285">
        <v>10416</v>
      </c>
    </row>
    <row r="461" spans="1:20" ht="130.5" customHeight="1" x14ac:dyDescent="0.2">
      <c r="A461" s="289">
        <v>468</v>
      </c>
      <c r="B461" s="289" t="s">
        <v>1446</v>
      </c>
      <c r="C461" s="289" t="s">
        <v>5274</v>
      </c>
      <c r="D461" s="9" t="s">
        <v>1905</v>
      </c>
      <c r="E461" s="285"/>
      <c r="F461" s="13" t="s">
        <v>3743</v>
      </c>
      <c r="G461" s="285" t="s">
        <v>7977</v>
      </c>
      <c r="H461" s="285" t="s">
        <v>5127</v>
      </c>
      <c r="I461" s="18"/>
      <c r="J461" s="285" t="s">
        <v>9405</v>
      </c>
      <c r="K461" s="289">
        <v>2009</v>
      </c>
      <c r="L461" s="289" t="s">
        <v>1029</v>
      </c>
      <c r="M461" s="15">
        <v>40008</v>
      </c>
      <c r="N461" s="17">
        <v>12</v>
      </c>
      <c r="O461" s="17">
        <v>58440</v>
      </c>
      <c r="P461" s="40">
        <v>58440</v>
      </c>
      <c r="Q461" s="40">
        <f t="shared" si="11"/>
        <v>0</v>
      </c>
      <c r="R461" s="285" t="s">
        <v>5071</v>
      </c>
      <c r="S461" s="15">
        <v>40008</v>
      </c>
      <c r="T461" s="285">
        <v>336</v>
      </c>
    </row>
    <row r="462" spans="1:20" ht="130.5" customHeight="1" x14ac:dyDescent="0.2">
      <c r="A462" s="289">
        <v>469</v>
      </c>
      <c r="B462" s="289" t="s">
        <v>1447</v>
      </c>
      <c r="C462" s="289" t="s">
        <v>5274</v>
      </c>
      <c r="D462" s="9" t="s">
        <v>1001</v>
      </c>
      <c r="E462" s="285"/>
      <c r="F462" s="13" t="s">
        <v>1985</v>
      </c>
      <c r="G462" s="285" t="s">
        <v>7977</v>
      </c>
      <c r="H462" s="285" t="s">
        <v>5127</v>
      </c>
      <c r="I462" s="18"/>
      <c r="J462" s="285" t="s">
        <v>9405</v>
      </c>
      <c r="K462" s="289">
        <v>2009</v>
      </c>
      <c r="L462" s="289" t="s">
        <v>1029</v>
      </c>
      <c r="M462" s="15">
        <v>40008</v>
      </c>
      <c r="N462" s="17">
        <v>1</v>
      </c>
      <c r="O462" s="17">
        <v>8000</v>
      </c>
      <c r="P462" s="40">
        <v>8000</v>
      </c>
      <c r="Q462" s="40">
        <f t="shared" si="11"/>
        <v>0</v>
      </c>
      <c r="R462" s="285" t="s">
        <v>5071</v>
      </c>
      <c r="S462" s="15">
        <v>40008</v>
      </c>
      <c r="T462" s="285">
        <v>336</v>
      </c>
    </row>
    <row r="463" spans="1:20" ht="130.5" customHeight="1" x14ac:dyDescent="0.2">
      <c r="A463" s="289">
        <v>470</v>
      </c>
      <c r="B463" s="289" t="s">
        <v>1448</v>
      </c>
      <c r="C463" s="289" t="s">
        <v>5274</v>
      </c>
      <c r="D463" s="9" t="s">
        <v>3744</v>
      </c>
      <c r="E463" s="285"/>
      <c r="F463" s="13" t="s">
        <v>2858</v>
      </c>
      <c r="G463" s="285" t="s">
        <v>7977</v>
      </c>
      <c r="H463" s="285" t="s">
        <v>5127</v>
      </c>
      <c r="I463" s="18"/>
      <c r="J463" s="285" t="s">
        <v>9405</v>
      </c>
      <c r="K463" s="289">
        <v>2009</v>
      </c>
      <c r="L463" s="289" t="s">
        <v>1029</v>
      </c>
      <c r="M463" s="15">
        <v>40008</v>
      </c>
      <c r="N463" s="17">
        <v>4</v>
      </c>
      <c r="O463" s="17">
        <v>28200</v>
      </c>
      <c r="P463" s="40">
        <v>28200</v>
      </c>
      <c r="Q463" s="40">
        <f t="shared" si="11"/>
        <v>0</v>
      </c>
      <c r="R463" s="285" t="s">
        <v>5071</v>
      </c>
      <c r="S463" s="15">
        <v>40008</v>
      </c>
      <c r="T463" s="285">
        <v>336</v>
      </c>
    </row>
    <row r="464" spans="1:20" ht="130.5" customHeight="1" x14ac:dyDescent="0.2">
      <c r="A464" s="289">
        <v>471</v>
      </c>
      <c r="B464" s="289" t="s">
        <v>1449</v>
      </c>
      <c r="C464" s="289" t="s">
        <v>5274</v>
      </c>
      <c r="D464" s="9" t="s">
        <v>2469</v>
      </c>
      <c r="E464" s="285"/>
      <c r="F464" s="13" t="s">
        <v>4058</v>
      </c>
      <c r="G464" s="285" t="s">
        <v>7977</v>
      </c>
      <c r="H464" s="285" t="s">
        <v>5127</v>
      </c>
      <c r="I464" s="18"/>
      <c r="J464" s="285" t="s">
        <v>9405</v>
      </c>
      <c r="K464" s="289">
        <v>2009</v>
      </c>
      <c r="L464" s="289" t="s">
        <v>1029</v>
      </c>
      <c r="M464" s="15">
        <v>40008</v>
      </c>
      <c r="N464" s="17">
        <v>5</v>
      </c>
      <c r="O464" s="17">
        <v>26650</v>
      </c>
      <c r="P464" s="40">
        <v>26650</v>
      </c>
      <c r="Q464" s="40">
        <f t="shared" si="11"/>
        <v>0</v>
      </c>
      <c r="R464" s="285" t="s">
        <v>5071</v>
      </c>
      <c r="S464" s="15">
        <v>40008</v>
      </c>
      <c r="T464" s="285">
        <v>337</v>
      </c>
    </row>
    <row r="465" spans="1:20" ht="130.5" customHeight="1" x14ac:dyDescent="0.2">
      <c r="A465" s="289">
        <v>472</v>
      </c>
      <c r="B465" s="289" t="s">
        <v>1450</v>
      </c>
      <c r="C465" s="289" t="s">
        <v>5274</v>
      </c>
      <c r="D465" s="9" t="s">
        <v>2435</v>
      </c>
      <c r="E465" s="285"/>
      <c r="F465" s="13" t="s">
        <v>92</v>
      </c>
      <c r="G465" s="285" t="s">
        <v>7977</v>
      </c>
      <c r="H465" s="285" t="s">
        <v>5127</v>
      </c>
      <c r="I465" s="18"/>
      <c r="J465" s="285" t="s">
        <v>9405</v>
      </c>
      <c r="K465" s="289">
        <v>2009</v>
      </c>
      <c r="L465" s="289" t="s">
        <v>1029</v>
      </c>
      <c r="M465" s="15">
        <v>40008</v>
      </c>
      <c r="N465" s="17">
        <v>5</v>
      </c>
      <c r="O465" s="17">
        <v>17900</v>
      </c>
      <c r="P465" s="40">
        <v>17900</v>
      </c>
      <c r="Q465" s="40">
        <f t="shared" si="11"/>
        <v>0</v>
      </c>
      <c r="R465" s="285" t="s">
        <v>5071</v>
      </c>
      <c r="S465" s="15">
        <v>40008</v>
      </c>
      <c r="T465" s="285">
        <v>337</v>
      </c>
    </row>
    <row r="466" spans="1:20" ht="130.5" customHeight="1" x14ac:dyDescent="0.2">
      <c r="A466" s="289">
        <v>473</v>
      </c>
      <c r="B466" s="289" t="s">
        <v>1451</v>
      </c>
      <c r="C466" s="289" t="s">
        <v>5274</v>
      </c>
      <c r="D466" s="9" t="s">
        <v>6358</v>
      </c>
      <c r="E466" s="285"/>
      <c r="F466" s="13" t="s">
        <v>93</v>
      </c>
      <c r="G466" s="285" t="s">
        <v>7977</v>
      </c>
      <c r="H466" s="285" t="s">
        <v>5127</v>
      </c>
      <c r="I466" s="18"/>
      <c r="J466" s="285" t="s">
        <v>9405</v>
      </c>
      <c r="K466" s="289">
        <v>2009</v>
      </c>
      <c r="L466" s="289" t="s">
        <v>1029</v>
      </c>
      <c r="M466" s="15">
        <v>40008</v>
      </c>
      <c r="N466" s="17">
        <v>8</v>
      </c>
      <c r="O466" s="17">
        <v>36680</v>
      </c>
      <c r="P466" s="40">
        <v>36680</v>
      </c>
      <c r="Q466" s="40">
        <f t="shared" si="11"/>
        <v>0</v>
      </c>
      <c r="R466" s="285" t="s">
        <v>5071</v>
      </c>
      <c r="S466" s="15">
        <v>40008</v>
      </c>
      <c r="T466" s="285">
        <v>337</v>
      </c>
    </row>
    <row r="467" spans="1:20" ht="130.5" customHeight="1" x14ac:dyDescent="0.2">
      <c r="A467" s="289">
        <v>474</v>
      </c>
      <c r="B467" s="289" t="s">
        <v>1452</v>
      </c>
      <c r="C467" s="289" t="s">
        <v>5274</v>
      </c>
      <c r="D467" s="9" t="s">
        <v>94</v>
      </c>
      <c r="E467" s="285"/>
      <c r="F467" s="13" t="s">
        <v>1699</v>
      </c>
      <c r="G467" s="285" t="s">
        <v>7977</v>
      </c>
      <c r="H467" s="285" t="s">
        <v>5127</v>
      </c>
      <c r="I467" s="18"/>
      <c r="J467" s="285" t="s">
        <v>9405</v>
      </c>
      <c r="K467" s="289">
        <v>2009</v>
      </c>
      <c r="L467" s="289" t="s">
        <v>1029</v>
      </c>
      <c r="M467" s="15">
        <v>40008</v>
      </c>
      <c r="N467" s="17">
        <v>3</v>
      </c>
      <c r="O467" s="17">
        <v>28590</v>
      </c>
      <c r="P467" s="40">
        <v>28590</v>
      </c>
      <c r="Q467" s="40">
        <f t="shared" si="11"/>
        <v>0</v>
      </c>
      <c r="R467" s="285" t="s">
        <v>5071</v>
      </c>
      <c r="S467" s="15">
        <v>40008</v>
      </c>
      <c r="T467" s="285">
        <v>338</v>
      </c>
    </row>
    <row r="468" spans="1:20" ht="130.5" customHeight="1" x14ac:dyDescent="0.2">
      <c r="A468" s="289">
        <v>475</v>
      </c>
      <c r="B468" s="30" t="s">
        <v>1453</v>
      </c>
      <c r="C468" s="289" t="s">
        <v>5274</v>
      </c>
      <c r="D468" s="46" t="s">
        <v>1700</v>
      </c>
      <c r="E468" s="49"/>
      <c r="F468" s="47" t="s">
        <v>2342</v>
      </c>
      <c r="G468" s="285" t="s">
        <v>7977</v>
      </c>
      <c r="H468" s="49" t="s">
        <v>5127</v>
      </c>
      <c r="I468" s="50"/>
      <c r="J468" s="285" t="s">
        <v>9405</v>
      </c>
      <c r="K468" s="289">
        <v>2009</v>
      </c>
      <c r="L468" s="289" t="s">
        <v>1029</v>
      </c>
      <c r="M468" s="15">
        <v>40008</v>
      </c>
      <c r="N468" s="48">
        <v>6</v>
      </c>
      <c r="O468" s="48">
        <v>22212</v>
      </c>
      <c r="P468" s="100">
        <v>22212</v>
      </c>
      <c r="Q468" s="40">
        <f t="shared" si="11"/>
        <v>0</v>
      </c>
      <c r="R468" s="285" t="s">
        <v>5071</v>
      </c>
      <c r="S468" s="15">
        <v>40008</v>
      </c>
      <c r="T468" s="285">
        <v>338</v>
      </c>
    </row>
    <row r="469" spans="1:20" ht="130.5" customHeight="1" x14ac:dyDescent="0.2">
      <c r="A469" s="289">
        <v>476</v>
      </c>
      <c r="B469" s="30" t="s">
        <v>1454</v>
      </c>
      <c r="C469" s="289" t="s">
        <v>5274</v>
      </c>
      <c r="D469" s="9" t="s">
        <v>4603</v>
      </c>
      <c r="E469" s="285"/>
      <c r="F469" s="13" t="s">
        <v>2343</v>
      </c>
      <c r="G469" s="285" t="s">
        <v>7977</v>
      </c>
      <c r="H469" s="49" t="s">
        <v>5127</v>
      </c>
      <c r="I469" s="18"/>
      <c r="J469" s="285" t="s">
        <v>9405</v>
      </c>
      <c r="K469" s="289">
        <v>2009</v>
      </c>
      <c r="L469" s="289" t="s">
        <v>1029</v>
      </c>
      <c r="M469" s="15">
        <v>40008</v>
      </c>
      <c r="N469" s="24">
        <v>6</v>
      </c>
      <c r="O469" s="17">
        <v>27480</v>
      </c>
      <c r="P469" s="40">
        <v>27480</v>
      </c>
      <c r="Q469" s="40">
        <f t="shared" si="11"/>
        <v>0</v>
      </c>
      <c r="R469" s="285" t="s">
        <v>5071</v>
      </c>
      <c r="S469" s="15">
        <v>40008</v>
      </c>
      <c r="T469" s="285">
        <v>338</v>
      </c>
    </row>
    <row r="470" spans="1:20" ht="130.5" customHeight="1" x14ac:dyDescent="0.2">
      <c r="A470" s="289">
        <v>477</v>
      </c>
      <c r="B470" s="30" t="s">
        <v>1455</v>
      </c>
      <c r="C470" s="289" t="s">
        <v>5274</v>
      </c>
      <c r="D470" s="9" t="s">
        <v>1015</v>
      </c>
      <c r="E470" s="285"/>
      <c r="F470" s="13" t="s">
        <v>1904</v>
      </c>
      <c r="G470" s="285" t="s">
        <v>7977</v>
      </c>
      <c r="H470" s="49" t="s">
        <v>5127</v>
      </c>
      <c r="I470" s="18"/>
      <c r="J470" s="285" t="s">
        <v>9405</v>
      </c>
      <c r="K470" s="289">
        <v>2009</v>
      </c>
      <c r="L470" s="289" t="s">
        <v>1029</v>
      </c>
      <c r="M470" s="15">
        <v>40008</v>
      </c>
      <c r="N470" s="24">
        <v>1</v>
      </c>
      <c r="O470" s="17">
        <v>3550</v>
      </c>
      <c r="P470" s="40">
        <v>3550</v>
      </c>
      <c r="Q470" s="40">
        <f t="shared" si="11"/>
        <v>0</v>
      </c>
      <c r="R470" s="285" t="s">
        <v>5071</v>
      </c>
      <c r="S470" s="15">
        <v>40008</v>
      </c>
      <c r="T470" s="285">
        <v>338</v>
      </c>
    </row>
    <row r="471" spans="1:20" ht="130.5" customHeight="1" x14ac:dyDescent="0.2">
      <c r="A471" s="289">
        <v>478</v>
      </c>
      <c r="B471" s="30" t="s">
        <v>1456</v>
      </c>
      <c r="C471" s="289" t="s">
        <v>5274</v>
      </c>
      <c r="D471" s="9" t="s">
        <v>1016</v>
      </c>
      <c r="E471" s="285"/>
      <c r="F471" s="13" t="s">
        <v>6335</v>
      </c>
      <c r="G471" s="285" t="s">
        <v>7977</v>
      </c>
      <c r="H471" s="49" t="s">
        <v>5127</v>
      </c>
      <c r="I471" s="18"/>
      <c r="J471" s="285" t="s">
        <v>9405</v>
      </c>
      <c r="K471" s="289">
        <v>2009</v>
      </c>
      <c r="L471" s="289" t="s">
        <v>1029</v>
      </c>
      <c r="M471" s="15">
        <v>40022</v>
      </c>
      <c r="N471" s="24">
        <v>3</v>
      </c>
      <c r="O471" s="17">
        <v>16920</v>
      </c>
      <c r="P471" s="40">
        <v>16920</v>
      </c>
      <c r="Q471" s="40">
        <f t="shared" si="11"/>
        <v>0</v>
      </c>
      <c r="R471" s="285" t="s">
        <v>5071</v>
      </c>
      <c r="S471" s="15">
        <v>40022</v>
      </c>
      <c r="T471" s="285">
        <v>75</v>
      </c>
    </row>
    <row r="472" spans="1:20" ht="130.5" customHeight="1" x14ac:dyDescent="0.2">
      <c r="A472" s="289">
        <v>479</v>
      </c>
      <c r="B472" s="30" t="s">
        <v>1457</v>
      </c>
      <c r="C472" s="289" t="s">
        <v>5274</v>
      </c>
      <c r="D472" s="9" t="s">
        <v>1645</v>
      </c>
      <c r="E472" s="285"/>
      <c r="F472" s="13" t="s">
        <v>6336</v>
      </c>
      <c r="G472" s="285" t="s">
        <v>7977</v>
      </c>
      <c r="H472" s="49" t="s">
        <v>5127</v>
      </c>
      <c r="I472" s="18"/>
      <c r="J472" s="285" t="s">
        <v>9405</v>
      </c>
      <c r="K472" s="289">
        <v>2009</v>
      </c>
      <c r="L472" s="289" t="s">
        <v>1029</v>
      </c>
      <c r="M472" s="15">
        <v>40022</v>
      </c>
      <c r="N472" s="24">
        <v>3</v>
      </c>
      <c r="O472" s="17">
        <v>12000</v>
      </c>
      <c r="P472" s="40">
        <v>12000</v>
      </c>
      <c r="Q472" s="40">
        <f t="shared" si="11"/>
        <v>0</v>
      </c>
      <c r="R472" s="285" t="s">
        <v>5071</v>
      </c>
      <c r="S472" s="15">
        <v>40022</v>
      </c>
      <c r="T472" s="285">
        <v>75</v>
      </c>
    </row>
    <row r="473" spans="1:20" ht="130.5" customHeight="1" x14ac:dyDescent="0.2">
      <c r="A473" s="289">
        <v>480</v>
      </c>
      <c r="B473" s="30" t="s">
        <v>1458</v>
      </c>
      <c r="C473" s="289" t="s">
        <v>5274</v>
      </c>
      <c r="D473" s="9" t="s">
        <v>6337</v>
      </c>
      <c r="E473" s="285"/>
      <c r="F473" s="13" t="s">
        <v>4121</v>
      </c>
      <c r="G473" s="285" t="s">
        <v>7977</v>
      </c>
      <c r="H473" s="49" t="s">
        <v>5127</v>
      </c>
      <c r="I473" s="18"/>
      <c r="J473" s="285" t="s">
        <v>9405</v>
      </c>
      <c r="K473" s="289">
        <v>2009</v>
      </c>
      <c r="L473" s="289" t="s">
        <v>1029</v>
      </c>
      <c r="M473" s="15">
        <v>40022</v>
      </c>
      <c r="N473" s="24">
        <v>5</v>
      </c>
      <c r="O473" s="17">
        <v>25000</v>
      </c>
      <c r="P473" s="40">
        <v>25000</v>
      </c>
      <c r="Q473" s="40">
        <f t="shared" si="11"/>
        <v>0</v>
      </c>
      <c r="R473" s="285" t="s">
        <v>5071</v>
      </c>
      <c r="S473" s="15">
        <v>40022</v>
      </c>
      <c r="T473" s="285">
        <v>75</v>
      </c>
    </row>
    <row r="474" spans="1:20" ht="130.5" customHeight="1" x14ac:dyDescent="0.2">
      <c r="A474" s="289">
        <v>481</v>
      </c>
      <c r="B474" s="30" t="s">
        <v>1459</v>
      </c>
      <c r="C474" s="289" t="s">
        <v>5274</v>
      </c>
      <c r="D474" s="9" t="s">
        <v>4122</v>
      </c>
      <c r="E474" s="285"/>
      <c r="F474" s="13" t="s">
        <v>3115</v>
      </c>
      <c r="G474" s="285" t="s">
        <v>7977</v>
      </c>
      <c r="H474" s="49" t="s">
        <v>5127</v>
      </c>
      <c r="I474" s="18"/>
      <c r="J474" s="285" t="s">
        <v>9405</v>
      </c>
      <c r="K474" s="289">
        <v>2009</v>
      </c>
      <c r="L474" s="289" t="s">
        <v>1029</v>
      </c>
      <c r="M474" s="15">
        <v>40022</v>
      </c>
      <c r="N474" s="24">
        <v>3</v>
      </c>
      <c r="O474" s="17">
        <v>18000</v>
      </c>
      <c r="P474" s="40">
        <v>18000</v>
      </c>
      <c r="Q474" s="40">
        <f t="shared" si="11"/>
        <v>0</v>
      </c>
      <c r="R474" s="285" t="s">
        <v>5071</v>
      </c>
      <c r="S474" s="15">
        <v>40022</v>
      </c>
      <c r="T474" s="285">
        <v>75</v>
      </c>
    </row>
    <row r="475" spans="1:20" ht="130.5" customHeight="1" x14ac:dyDescent="0.2">
      <c r="A475" s="289">
        <v>482</v>
      </c>
      <c r="B475" s="30" t="s">
        <v>1460</v>
      </c>
      <c r="C475" s="289" t="s">
        <v>5274</v>
      </c>
      <c r="D475" s="9" t="s">
        <v>3116</v>
      </c>
      <c r="E475" s="285"/>
      <c r="F475" s="13" t="s">
        <v>3117</v>
      </c>
      <c r="G475" s="285" t="s">
        <v>7977</v>
      </c>
      <c r="H475" s="49" t="s">
        <v>5127</v>
      </c>
      <c r="I475" s="18"/>
      <c r="J475" s="285" t="s">
        <v>9405</v>
      </c>
      <c r="K475" s="289">
        <v>2009</v>
      </c>
      <c r="L475" s="289" t="s">
        <v>1029</v>
      </c>
      <c r="M475" s="15">
        <v>40022</v>
      </c>
      <c r="N475" s="24">
        <v>3</v>
      </c>
      <c r="O475" s="17">
        <v>10500</v>
      </c>
      <c r="P475" s="40">
        <v>10500</v>
      </c>
      <c r="Q475" s="40">
        <f t="shared" si="11"/>
        <v>0</v>
      </c>
      <c r="R475" s="285" t="s">
        <v>5071</v>
      </c>
      <c r="S475" s="15">
        <v>40022</v>
      </c>
      <c r="T475" s="285">
        <v>75</v>
      </c>
    </row>
    <row r="476" spans="1:20" ht="130.5" customHeight="1" x14ac:dyDescent="0.2">
      <c r="A476" s="289">
        <v>483</v>
      </c>
      <c r="B476" s="30" t="s">
        <v>1461</v>
      </c>
      <c r="C476" s="289" t="s">
        <v>5274</v>
      </c>
      <c r="D476" s="9" t="s">
        <v>6326</v>
      </c>
      <c r="E476" s="285"/>
      <c r="F476" s="13" t="s">
        <v>6327</v>
      </c>
      <c r="G476" s="285" t="s">
        <v>7977</v>
      </c>
      <c r="H476" s="49" t="s">
        <v>5127</v>
      </c>
      <c r="I476" s="18"/>
      <c r="J476" s="285" t="s">
        <v>9405</v>
      </c>
      <c r="K476" s="289">
        <v>2009</v>
      </c>
      <c r="L476" s="289" t="s">
        <v>1029</v>
      </c>
      <c r="M476" s="15">
        <v>40022</v>
      </c>
      <c r="N476" s="24">
        <v>5</v>
      </c>
      <c r="O476" s="17">
        <v>30000</v>
      </c>
      <c r="P476" s="40">
        <v>30000</v>
      </c>
      <c r="Q476" s="40">
        <f t="shared" si="11"/>
        <v>0</v>
      </c>
      <c r="R476" s="285" t="s">
        <v>5071</v>
      </c>
      <c r="S476" s="15">
        <v>40022</v>
      </c>
      <c r="T476" s="285">
        <v>75</v>
      </c>
    </row>
    <row r="477" spans="1:20" ht="130.5" customHeight="1" x14ac:dyDescent="0.2">
      <c r="A477" s="289">
        <v>484</v>
      </c>
      <c r="B477" s="30" t="s">
        <v>1462</v>
      </c>
      <c r="C477" s="289" t="s">
        <v>5274</v>
      </c>
      <c r="D477" s="9" t="s">
        <v>4441</v>
      </c>
      <c r="E477" s="285"/>
      <c r="F477" s="13" t="s">
        <v>580</v>
      </c>
      <c r="G477" s="285" t="s">
        <v>7977</v>
      </c>
      <c r="H477" s="49" t="s">
        <v>5127</v>
      </c>
      <c r="I477" s="18"/>
      <c r="J477" s="285" t="s">
        <v>9405</v>
      </c>
      <c r="K477" s="289">
        <v>2009</v>
      </c>
      <c r="L477" s="289" t="s">
        <v>1029</v>
      </c>
      <c r="M477" s="15">
        <v>40022</v>
      </c>
      <c r="N477" s="24">
        <v>1</v>
      </c>
      <c r="O477" s="17">
        <v>6300</v>
      </c>
      <c r="P477" s="40">
        <v>6300</v>
      </c>
      <c r="Q477" s="40">
        <f t="shared" si="11"/>
        <v>0</v>
      </c>
      <c r="R477" s="285" t="s">
        <v>5071</v>
      </c>
      <c r="S477" s="15">
        <v>40022</v>
      </c>
      <c r="T477" s="285">
        <v>75</v>
      </c>
    </row>
    <row r="478" spans="1:20" ht="130.5" customHeight="1" x14ac:dyDescent="0.2">
      <c r="A478" s="289">
        <v>485</v>
      </c>
      <c r="B478" s="30" t="s">
        <v>1463</v>
      </c>
      <c r="C478" s="289"/>
      <c r="D478" s="9" t="s">
        <v>2294</v>
      </c>
      <c r="E478" s="285"/>
      <c r="F478" s="13" t="s">
        <v>8997</v>
      </c>
      <c r="G478" s="285" t="s">
        <v>7977</v>
      </c>
      <c r="H478" s="49" t="s">
        <v>5127</v>
      </c>
      <c r="I478" s="18"/>
      <c r="J478" s="285" t="s">
        <v>4020</v>
      </c>
      <c r="K478" s="14" t="s">
        <v>8595</v>
      </c>
      <c r="L478" s="22" t="s">
        <v>8596</v>
      </c>
      <c r="M478" s="289">
        <v>2015</v>
      </c>
      <c r="N478" s="285"/>
      <c r="O478" s="17">
        <f>13440.5+6806+21846.32+38118</f>
        <v>80210.820000000007</v>
      </c>
      <c r="P478" s="40">
        <v>80210.820000000007</v>
      </c>
      <c r="Q478" s="40">
        <f t="shared" si="11"/>
        <v>0</v>
      </c>
      <c r="R478" s="289" t="s">
        <v>5110</v>
      </c>
      <c r="S478" s="15">
        <v>42562</v>
      </c>
      <c r="T478" s="285" t="s">
        <v>7187</v>
      </c>
    </row>
    <row r="479" spans="1:20" ht="130.5" customHeight="1" x14ac:dyDescent="0.2">
      <c r="A479" s="289">
        <v>486</v>
      </c>
      <c r="B479" s="30" t="s">
        <v>1464</v>
      </c>
      <c r="C479" s="289" t="s">
        <v>5274</v>
      </c>
      <c r="D479" s="9" t="s">
        <v>2648</v>
      </c>
      <c r="E479" s="285"/>
      <c r="F479" s="13" t="s">
        <v>5099</v>
      </c>
      <c r="G479" s="285" t="s">
        <v>7977</v>
      </c>
      <c r="H479" s="49" t="s">
        <v>5127</v>
      </c>
      <c r="I479" s="18"/>
      <c r="J479" s="285" t="s">
        <v>9405</v>
      </c>
      <c r="K479" s="289">
        <v>2009</v>
      </c>
      <c r="L479" s="289" t="s">
        <v>1029</v>
      </c>
      <c r="M479" s="15">
        <v>40022</v>
      </c>
      <c r="N479" s="24">
        <v>3</v>
      </c>
      <c r="O479" s="17">
        <v>18000</v>
      </c>
      <c r="P479" s="40">
        <v>18000</v>
      </c>
      <c r="Q479" s="40">
        <f t="shared" si="11"/>
        <v>0</v>
      </c>
      <c r="R479" s="285" t="s">
        <v>5071</v>
      </c>
      <c r="S479" s="15">
        <v>40022</v>
      </c>
      <c r="T479" s="285">
        <v>75</v>
      </c>
    </row>
    <row r="480" spans="1:20" ht="130.5" customHeight="1" x14ac:dyDescent="0.2">
      <c r="A480" s="289">
        <v>487</v>
      </c>
      <c r="B480" s="30" t="s">
        <v>1465</v>
      </c>
      <c r="C480" s="289" t="s">
        <v>5274</v>
      </c>
      <c r="D480" s="9" t="s">
        <v>3832</v>
      </c>
      <c r="E480" s="285"/>
      <c r="F480" s="13" t="s">
        <v>3833</v>
      </c>
      <c r="G480" s="285" t="s">
        <v>7977</v>
      </c>
      <c r="H480" s="49" t="s">
        <v>5127</v>
      </c>
      <c r="I480" s="18"/>
      <c r="J480" s="285" t="s">
        <v>9405</v>
      </c>
      <c r="K480" s="289">
        <v>2009</v>
      </c>
      <c r="L480" s="289" t="s">
        <v>1029</v>
      </c>
      <c r="M480" s="15">
        <v>40022</v>
      </c>
      <c r="N480" s="24">
        <v>1</v>
      </c>
      <c r="O480" s="17">
        <v>5000</v>
      </c>
      <c r="P480" s="40">
        <v>5000</v>
      </c>
      <c r="Q480" s="40">
        <f t="shared" si="11"/>
        <v>0</v>
      </c>
      <c r="R480" s="285" t="s">
        <v>5071</v>
      </c>
      <c r="S480" s="15">
        <v>40022</v>
      </c>
      <c r="T480" s="285">
        <v>75</v>
      </c>
    </row>
    <row r="481" spans="1:20" ht="130.5" customHeight="1" x14ac:dyDescent="0.2">
      <c r="A481" s="289">
        <v>488</v>
      </c>
      <c r="B481" s="30" t="s">
        <v>1466</v>
      </c>
      <c r="C481" s="289" t="s">
        <v>5274</v>
      </c>
      <c r="D481" s="9" t="s">
        <v>1536</v>
      </c>
      <c r="E481" s="285"/>
      <c r="F481" s="13" t="s">
        <v>3705</v>
      </c>
      <c r="G481" s="285" t="s">
        <v>7977</v>
      </c>
      <c r="H481" s="49" t="s">
        <v>5127</v>
      </c>
      <c r="I481" s="18"/>
      <c r="J481" s="285" t="s">
        <v>9405</v>
      </c>
      <c r="K481" s="289">
        <v>2009</v>
      </c>
      <c r="L481" s="289" t="s">
        <v>1029</v>
      </c>
      <c r="M481" s="15">
        <v>40022</v>
      </c>
      <c r="N481" s="24">
        <v>3</v>
      </c>
      <c r="O481" s="17">
        <v>10500</v>
      </c>
      <c r="P481" s="40">
        <v>10500</v>
      </c>
      <c r="Q481" s="40">
        <f t="shared" si="11"/>
        <v>0</v>
      </c>
      <c r="R481" s="285" t="s">
        <v>5071</v>
      </c>
      <c r="S481" s="15">
        <v>40022</v>
      </c>
      <c r="T481" s="285">
        <v>75</v>
      </c>
    </row>
    <row r="482" spans="1:20" ht="130.5" customHeight="1" x14ac:dyDescent="0.2">
      <c r="A482" s="289">
        <v>489</v>
      </c>
      <c r="B482" s="30" t="s">
        <v>1467</v>
      </c>
      <c r="C482" s="289" t="s">
        <v>5274</v>
      </c>
      <c r="D482" s="9" t="s">
        <v>6356</v>
      </c>
      <c r="E482" s="285"/>
      <c r="F482" s="13" t="s">
        <v>1706</v>
      </c>
      <c r="G482" s="285" t="s">
        <v>7977</v>
      </c>
      <c r="H482" s="49" t="s">
        <v>5127</v>
      </c>
      <c r="I482" s="18"/>
      <c r="J482" s="285" t="s">
        <v>9405</v>
      </c>
      <c r="K482" s="289">
        <v>2009</v>
      </c>
      <c r="L482" s="289" t="s">
        <v>1029</v>
      </c>
      <c r="M482" s="15">
        <v>40039</v>
      </c>
      <c r="N482" s="24">
        <v>7</v>
      </c>
      <c r="O482" s="17">
        <v>35000</v>
      </c>
      <c r="P482" s="40">
        <v>35000</v>
      </c>
      <c r="Q482" s="40">
        <f t="shared" si="11"/>
        <v>0</v>
      </c>
      <c r="R482" s="285" t="s">
        <v>5071</v>
      </c>
      <c r="S482" s="15">
        <v>40039</v>
      </c>
      <c r="T482" s="285">
        <v>59</v>
      </c>
    </row>
    <row r="483" spans="1:20" ht="130.5" customHeight="1" x14ac:dyDescent="0.2">
      <c r="A483" s="289">
        <v>490</v>
      </c>
      <c r="B483" s="30" t="s">
        <v>1468</v>
      </c>
      <c r="C483" s="289" t="s">
        <v>5274</v>
      </c>
      <c r="D483" s="9" t="s">
        <v>1707</v>
      </c>
      <c r="E483" s="285"/>
      <c r="F483" s="13" t="s">
        <v>1940</v>
      </c>
      <c r="G483" s="285" t="s">
        <v>7977</v>
      </c>
      <c r="H483" s="49" t="s">
        <v>5127</v>
      </c>
      <c r="I483" s="18"/>
      <c r="J483" s="285" t="s">
        <v>9405</v>
      </c>
      <c r="K483" s="289">
        <v>2009</v>
      </c>
      <c r="L483" s="289" t="s">
        <v>1029</v>
      </c>
      <c r="M483" s="15">
        <v>40039</v>
      </c>
      <c r="N483" s="24">
        <v>2</v>
      </c>
      <c r="O483" s="17">
        <v>12000</v>
      </c>
      <c r="P483" s="40">
        <v>12000</v>
      </c>
      <c r="Q483" s="40">
        <f t="shared" si="11"/>
        <v>0</v>
      </c>
      <c r="R483" s="285" t="s">
        <v>5071</v>
      </c>
      <c r="S483" s="15">
        <v>40039</v>
      </c>
      <c r="T483" s="285">
        <v>59</v>
      </c>
    </row>
    <row r="484" spans="1:20" ht="130.5" customHeight="1" x14ac:dyDescent="0.2">
      <c r="A484" s="289">
        <v>491</v>
      </c>
      <c r="B484" s="30" t="s">
        <v>765</v>
      </c>
      <c r="C484" s="289" t="s">
        <v>5274</v>
      </c>
      <c r="D484" s="9" t="s">
        <v>1941</v>
      </c>
      <c r="E484" s="285"/>
      <c r="F484" s="13" t="s">
        <v>1942</v>
      </c>
      <c r="G484" s="285" t="s">
        <v>7977</v>
      </c>
      <c r="H484" s="49" t="s">
        <v>5127</v>
      </c>
      <c r="I484" s="18"/>
      <c r="J484" s="285" t="s">
        <v>9405</v>
      </c>
      <c r="K484" s="289">
        <v>2009</v>
      </c>
      <c r="L484" s="289" t="s">
        <v>1029</v>
      </c>
      <c r="M484" s="15">
        <v>40039</v>
      </c>
      <c r="N484" s="24">
        <v>2</v>
      </c>
      <c r="O484" s="17">
        <v>18000</v>
      </c>
      <c r="P484" s="40">
        <v>18000</v>
      </c>
      <c r="Q484" s="40">
        <f t="shared" si="11"/>
        <v>0</v>
      </c>
      <c r="R484" s="285" t="s">
        <v>5071</v>
      </c>
      <c r="S484" s="15">
        <v>40039</v>
      </c>
      <c r="T484" s="285">
        <v>59</v>
      </c>
    </row>
    <row r="485" spans="1:20" ht="130.5" customHeight="1" x14ac:dyDescent="0.2">
      <c r="A485" s="289">
        <v>492</v>
      </c>
      <c r="B485" s="30" t="s">
        <v>766</v>
      </c>
      <c r="C485" s="289" t="s">
        <v>5274</v>
      </c>
      <c r="D485" s="9" t="s">
        <v>2297</v>
      </c>
      <c r="E485" s="285"/>
      <c r="F485" s="13" t="s">
        <v>885</v>
      </c>
      <c r="G485" s="285" t="s">
        <v>7977</v>
      </c>
      <c r="H485" s="49" t="s">
        <v>5127</v>
      </c>
      <c r="I485" s="18"/>
      <c r="J485" s="285" t="s">
        <v>9405</v>
      </c>
      <c r="K485" s="289">
        <v>2009</v>
      </c>
      <c r="L485" s="289" t="s">
        <v>1029</v>
      </c>
      <c r="M485" s="15">
        <v>40039</v>
      </c>
      <c r="N485" s="24">
        <v>3</v>
      </c>
      <c r="O485" s="17">
        <v>21000</v>
      </c>
      <c r="P485" s="40">
        <v>21000</v>
      </c>
      <c r="Q485" s="40">
        <f t="shared" si="11"/>
        <v>0</v>
      </c>
      <c r="R485" s="285" t="s">
        <v>5071</v>
      </c>
      <c r="S485" s="15">
        <v>40039</v>
      </c>
      <c r="T485" s="285">
        <v>59</v>
      </c>
    </row>
    <row r="486" spans="1:20" ht="130.5" customHeight="1" x14ac:dyDescent="0.2">
      <c r="A486" s="289">
        <v>493</v>
      </c>
      <c r="B486" s="30" t="s">
        <v>767</v>
      </c>
      <c r="C486" s="289" t="s">
        <v>5274</v>
      </c>
      <c r="D486" s="9" t="s">
        <v>5019</v>
      </c>
      <c r="E486" s="285"/>
      <c r="F486" s="13" t="s">
        <v>2452</v>
      </c>
      <c r="G486" s="285" t="s">
        <v>7977</v>
      </c>
      <c r="H486" s="49" t="s">
        <v>5127</v>
      </c>
      <c r="I486" s="18"/>
      <c r="J486" s="285" t="s">
        <v>9405</v>
      </c>
      <c r="K486" s="289">
        <v>2009</v>
      </c>
      <c r="L486" s="289" t="s">
        <v>1029</v>
      </c>
      <c r="M486" s="15">
        <v>40039</v>
      </c>
      <c r="N486" s="24">
        <v>1</v>
      </c>
      <c r="O486" s="17">
        <v>5000</v>
      </c>
      <c r="P486" s="40">
        <v>5000</v>
      </c>
      <c r="Q486" s="40">
        <f t="shared" si="11"/>
        <v>0</v>
      </c>
      <c r="R486" s="285" t="s">
        <v>5071</v>
      </c>
      <c r="S486" s="15">
        <v>40039</v>
      </c>
      <c r="T486" s="285">
        <v>59</v>
      </c>
    </row>
    <row r="487" spans="1:20" ht="130.5" customHeight="1" x14ac:dyDescent="0.2">
      <c r="A487" s="289">
        <v>494</v>
      </c>
      <c r="B487" s="30" t="s">
        <v>768</v>
      </c>
      <c r="C487" s="289" t="s">
        <v>5274</v>
      </c>
      <c r="D487" s="9" t="s">
        <v>5265</v>
      </c>
      <c r="E487" s="285"/>
      <c r="F487" s="13" t="s">
        <v>1923</v>
      </c>
      <c r="G487" s="285" t="s">
        <v>7977</v>
      </c>
      <c r="H487" s="49" t="s">
        <v>5127</v>
      </c>
      <c r="I487" s="18"/>
      <c r="J487" s="285" t="s">
        <v>9405</v>
      </c>
      <c r="K487" s="289">
        <v>2009</v>
      </c>
      <c r="L487" s="289" t="s">
        <v>1029</v>
      </c>
      <c r="M487" s="15">
        <v>40039</v>
      </c>
      <c r="N487" s="24">
        <v>2</v>
      </c>
      <c r="O487" s="17">
        <v>8000</v>
      </c>
      <c r="P487" s="40">
        <v>8000</v>
      </c>
      <c r="Q487" s="40">
        <f t="shared" si="11"/>
        <v>0</v>
      </c>
      <c r="R487" s="285" t="s">
        <v>5071</v>
      </c>
      <c r="S487" s="15">
        <v>40039</v>
      </c>
      <c r="T487" s="285">
        <v>59</v>
      </c>
    </row>
    <row r="488" spans="1:20" ht="112.5" customHeight="1" x14ac:dyDescent="0.2">
      <c r="A488" s="289">
        <v>495</v>
      </c>
      <c r="B488" s="30" t="s">
        <v>769</v>
      </c>
      <c r="C488" s="289" t="s">
        <v>5274</v>
      </c>
      <c r="D488" s="9" t="s">
        <v>2737</v>
      </c>
      <c r="E488" s="285"/>
      <c r="F488" s="13" t="s">
        <v>874</v>
      </c>
      <c r="G488" s="285" t="s">
        <v>7977</v>
      </c>
      <c r="H488" s="49" t="s">
        <v>5127</v>
      </c>
      <c r="I488" s="18"/>
      <c r="J488" s="285" t="s">
        <v>9405</v>
      </c>
      <c r="K488" s="289">
        <v>2009</v>
      </c>
      <c r="L488" s="289" t="s">
        <v>1029</v>
      </c>
      <c r="M488" s="15">
        <v>40008</v>
      </c>
      <c r="N488" s="24">
        <v>2</v>
      </c>
      <c r="O488" s="17">
        <v>7000</v>
      </c>
      <c r="P488" s="40">
        <v>7000</v>
      </c>
      <c r="Q488" s="40">
        <f t="shared" si="11"/>
        <v>0</v>
      </c>
      <c r="R488" s="285" t="s">
        <v>5071</v>
      </c>
      <c r="S488" s="15">
        <v>40008</v>
      </c>
      <c r="T488" s="285">
        <v>10416</v>
      </c>
    </row>
    <row r="489" spans="1:20" ht="130.5" customHeight="1" x14ac:dyDescent="0.2">
      <c r="A489" s="289">
        <v>496</v>
      </c>
      <c r="B489" s="30" t="s">
        <v>770</v>
      </c>
      <c r="C489" s="289" t="s">
        <v>5274</v>
      </c>
      <c r="D489" s="9" t="s">
        <v>4390</v>
      </c>
      <c r="E489" s="285"/>
      <c r="F489" s="13" t="s">
        <v>6357</v>
      </c>
      <c r="G489" s="285" t="s">
        <v>7977</v>
      </c>
      <c r="H489" s="49" t="s">
        <v>5127</v>
      </c>
      <c r="I489" s="18"/>
      <c r="J489" s="285" t="s">
        <v>9405</v>
      </c>
      <c r="K489" s="289">
        <v>2009</v>
      </c>
      <c r="L489" s="289" t="s">
        <v>1029</v>
      </c>
      <c r="M489" s="15">
        <v>40071</v>
      </c>
      <c r="N489" s="24">
        <v>10</v>
      </c>
      <c r="O489" s="17">
        <f>3990+3990+4125+6340+6340+3960+4950+4950+3630+3960</f>
        <v>46235</v>
      </c>
      <c r="P489" s="40">
        <v>46235</v>
      </c>
      <c r="Q489" s="40">
        <f t="shared" si="11"/>
        <v>0</v>
      </c>
      <c r="R489" s="285" t="s">
        <v>5071</v>
      </c>
      <c r="S489" s="15">
        <v>40071</v>
      </c>
      <c r="T489" s="285">
        <v>274</v>
      </c>
    </row>
    <row r="490" spans="1:20" ht="130.5" customHeight="1" x14ac:dyDescent="0.2">
      <c r="A490" s="289">
        <v>497</v>
      </c>
      <c r="B490" s="30" t="s">
        <v>771</v>
      </c>
      <c r="C490" s="289" t="s">
        <v>5274</v>
      </c>
      <c r="D490" s="9" t="s">
        <v>284</v>
      </c>
      <c r="E490" s="285"/>
      <c r="F490" s="13" t="s">
        <v>42</v>
      </c>
      <c r="G490" s="285" t="s">
        <v>7977</v>
      </c>
      <c r="H490" s="49" t="s">
        <v>5127</v>
      </c>
      <c r="I490" s="18"/>
      <c r="J490" s="285" t="s">
        <v>9405</v>
      </c>
      <c r="K490" s="289">
        <v>2009</v>
      </c>
      <c r="L490" s="289" t="s">
        <v>1029</v>
      </c>
      <c r="M490" s="15">
        <v>40008</v>
      </c>
      <c r="N490" s="24">
        <v>5</v>
      </c>
      <c r="O490" s="17">
        <v>22500</v>
      </c>
      <c r="P490" s="40">
        <v>22500</v>
      </c>
      <c r="Q490" s="40">
        <f t="shared" si="11"/>
        <v>0</v>
      </c>
      <c r="R490" s="285" t="s">
        <v>5071</v>
      </c>
      <c r="S490" s="15">
        <v>40008</v>
      </c>
      <c r="T490" s="285">
        <v>10416</v>
      </c>
    </row>
    <row r="491" spans="1:20" ht="112.5" customHeight="1" x14ac:dyDescent="0.2">
      <c r="A491" s="289">
        <v>498</v>
      </c>
      <c r="B491" s="30" t="s">
        <v>772</v>
      </c>
      <c r="C491" s="289"/>
      <c r="D491" s="9" t="s">
        <v>1103</v>
      </c>
      <c r="E491" s="285"/>
      <c r="F491" s="13" t="s">
        <v>1104</v>
      </c>
      <c r="G491" s="285" t="s">
        <v>7977</v>
      </c>
      <c r="H491" s="49" t="s">
        <v>5127</v>
      </c>
      <c r="I491" s="18"/>
      <c r="J491" s="285" t="s">
        <v>3136</v>
      </c>
      <c r="K491" s="15">
        <v>41247</v>
      </c>
      <c r="L491" s="289">
        <v>1152</v>
      </c>
      <c r="M491" s="15">
        <v>41247</v>
      </c>
      <c r="N491" s="24">
        <v>1</v>
      </c>
      <c r="O491" s="17">
        <v>3960</v>
      </c>
      <c r="P491" s="40">
        <v>3960</v>
      </c>
      <c r="Q491" s="40">
        <f t="shared" si="11"/>
        <v>0</v>
      </c>
      <c r="R491" s="285" t="s">
        <v>5071</v>
      </c>
      <c r="S491" s="15">
        <v>41247</v>
      </c>
      <c r="T491" s="285" t="s">
        <v>1029</v>
      </c>
    </row>
    <row r="492" spans="1:20" ht="129.75" customHeight="1" x14ac:dyDescent="0.2">
      <c r="A492" s="289">
        <v>499</v>
      </c>
      <c r="B492" s="30" t="s">
        <v>773</v>
      </c>
      <c r="C492" s="289" t="s">
        <v>5274</v>
      </c>
      <c r="D492" s="9" t="s">
        <v>5395</v>
      </c>
      <c r="E492" s="285"/>
      <c r="F492" s="13" t="s">
        <v>1265</v>
      </c>
      <c r="G492" s="285" t="s">
        <v>7977</v>
      </c>
      <c r="H492" s="49" t="s">
        <v>5127</v>
      </c>
      <c r="I492" s="18"/>
      <c r="J492" s="285" t="s">
        <v>9405</v>
      </c>
      <c r="K492" s="289">
        <v>2011</v>
      </c>
      <c r="L492" s="289" t="s">
        <v>1029</v>
      </c>
      <c r="M492" s="15">
        <v>40786</v>
      </c>
      <c r="N492" s="24">
        <v>1</v>
      </c>
      <c r="O492" s="17">
        <v>3900</v>
      </c>
      <c r="P492" s="40">
        <v>3900</v>
      </c>
      <c r="Q492" s="40">
        <f t="shared" si="11"/>
        <v>0</v>
      </c>
      <c r="R492" s="285" t="s">
        <v>5071</v>
      </c>
      <c r="S492" s="15">
        <v>40786</v>
      </c>
      <c r="T492" s="285" t="s">
        <v>1029</v>
      </c>
    </row>
    <row r="493" spans="1:20" ht="112.5" customHeight="1" x14ac:dyDescent="0.2">
      <c r="A493" s="289">
        <v>500</v>
      </c>
      <c r="B493" s="30" t="s">
        <v>774</v>
      </c>
      <c r="C493" s="289"/>
      <c r="D493" s="9" t="s">
        <v>4950</v>
      </c>
      <c r="E493" s="285"/>
      <c r="F493" s="13" t="s">
        <v>4951</v>
      </c>
      <c r="G493" s="285" t="s">
        <v>7977</v>
      </c>
      <c r="H493" s="49" t="s">
        <v>5127</v>
      </c>
      <c r="I493" s="18"/>
      <c r="J493" s="285" t="s">
        <v>9405</v>
      </c>
      <c r="K493" s="289">
        <v>2011</v>
      </c>
      <c r="L493" s="289" t="s">
        <v>1029</v>
      </c>
      <c r="M493" s="15">
        <v>40786</v>
      </c>
      <c r="N493" s="24">
        <v>1</v>
      </c>
      <c r="O493" s="17">
        <v>3190</v>
      </c>
      <c r="P493" s="40">
        <v>3190</v>
      </c>
      <c r="Q493" s="40">
        <f t="shared" si="11"/>
        <v>0</v>
      </c>
      <c r="R493" s="285" t="s">
        <v>5071</v>
      </c>
      <c r="S493" s="15">
        <v>40786</v>
      </c>
      <c r="T493" s="285" t="s">
        <v>1029</v>
      </c>
    </row>
    <row r="494" spans="1:20" ht="127.5" customHeight="1" x14ac:dyDescent="0.2">
      <c r="A494" s="289">
        <v>501</v>
      </c>
      <c r="B494" s="30" t="s">
        <v>775</v>
      </c>
      <c r="C494" s="289"/>
      <c r="D494" s="9" t="s">
        <v>5700</v>
      </c>
      <c r="E494" s="285"/>
      <c r="F494" s="13" t="s">
        <v>2453</v>
      </c>
      <c r="G494" s="285" t="s">
        <v>7977</v>
      </c>
      <c r="H494" s="49" t="s">
        <v>5127</v>
      </c>
      <c r="I494" s="18"/>
      <c r="J494" s="285" t="s">
        <v>9405</v>
      </c>
      <c r="K494" s="289">
        <v>2011</v>
      </c>
      <c r="L494" s="289" t="s">
        <v>1029</v>
      </c>
      <c r="M494" s="15">
        <v>40786</v>
      </c>
      <c r="N494" s="24">
        <v>9</v>
      </c>
      <c r="O494" s="17">
        <f>3410+3850+3080+3025+3261+3960+3190+3036+4158</f>
        <v>30970</v>
      </c>
      <c r="P494" s="40">
        <v>30970</v>
      </c>
      <c r="Q494" s="40">
        <f t="shared" si="11"/>
        <v>0</v>
      </c>
      <c r="R494" s="285" t="s">
        <v>5071</v>
      </c>
      <c r="S494" s="15">
        <v>40786</v>
      </c>
      <c r="T494" s="285" t="s">
        <v>1029</v>
      </c>
    </row>
    <row r="495" spans="1:20" ht="112.5" customHeight="1" x14ac:dyDescent="0.2">
      <c r="A495" s="289">
        <v>502</v>
      </c>
      <c r="B495" s="30" t="s">
        <v>776</v>
      </c>
      <c r="C495" s="289" t="s">
        <v>5274</v>
      </c>
      <c r="D495" s="9" t="s">
        <v>4322</v>
      </c>
      <c r="E495" s="285"/>
      <c r="F495" s="13" t="s">
        <v>1747</v>
      </c>
      <c r="G495" s="285" t="s">
        <v>7978</v>
      </c>
      <c r="H495" s="49" t="s">
        <v>5127</v>
      </c>
      <c r="I495" s="18"/>
      <c r="J495" s="285"/>
      <c r="K495" s="289"/>
      <c r="L495" s="12"/>
      <c r="M495" s="16"/>
      <c r="N495" s="24">
        <v>1</v>
      </c>
      <c r="O495" s="17">
        <v>4300</v>
      </c>
      <c r="P495" s="40">
        <v>4300</v>
      </c>
      <c r="Q495" s="40">
        <f t="shared" si="11"/>
        <v>0</v>
      </c>
      <c r="R495" s="289"/>
      <c r="S495" s="289"/>
      <c r="T495" s="285"/>
    </row>
    <row r="496" spans="1:20" ht="112.5" customHeight="1" x14ac:dyDescent="0.2">
      <c r="A496" s="289">
        <v>503</v>
      </c>
      <c r="B496" s="30" t="s">
        <v>777</v>
      </c>
      <c r="C496" s="289" t="s">
        <v>5274</v>
      </c>
      <c r="D496" s="9" t="s">
        <v>5422</v>
      </c>
      <c r="E496" s="285"/>
      <c r="F496" s="13" t="s">
        <v>864</v>
      </c>
      <c r="G496" s="285" t="s">
        <v>7978</v>
      </c>
      <c r="H496" s="49" t="s">
        <v>5127</v>
      </c>
      <c r="I496" s="18"/>
      <c r="J496" s="285"/>
      <c r="K496" s="289"/>
      <c r="L496" s="12"/>
      <c r="M496" s="16"/>
      <c r="N496" s="17">
        <v>1</v>
      </c>
      <c r="O496" s="17">
        <v>4000</v>
      </c>
      <c r="P496" s="40">
        <v>4000</v>
      </c>
      <c r="Q496" s="40">
        <f t="shared" si="11"/>
        <v>0</v>
      </c>
      <c r="R496" s="289"/>
      <c r="S496" s="289"/>
      <c r="T496" s="285"/>
    </row>
    <row r="497" spans="1:20" ht="112.5" customHeight="1" x14ac:dyDescent="0.2">
      <c r="A497" s="289">
        <v>504</v>
      </c>
      <c r="B497" s="289" t="s">
        <v>778</v>
      </c>
      <c r="C497" s="289" t="s">
        <v>5274</v>
      </c>
      <c r="D497" s="9" t="s">
        <v>2644</v>
      </c>
      <c r="E497" s="285"/>
      <c r="F497" s="13" t="s">
        <v>1748</v>
      </c>
      <c r="G497" s="285" t="s">
        <v>7978</v>
      </c>
      <c r="H497" s="285" t="s">
        <v>5127</v>
      </c>
      <c r="I497" s="18"/>
      <c r="J497" s="285"/>
      <c r="K497" s="289"/>
      <c r="L497" s="12"/>
      <c r="M497" s="16"/>
      <c r="N497" s="17">
        <v>1</v>
      </c>
      <c r="O497" s="17">
        <v>9149</v>
      </c>
      <c r="P497" s="40">
        <v>9149</v>
      </c>
      <c r="Q497" s="40">
        <f t="shared" si="11"/>
        <v>0</v>
      </c>
      <c r="R497" s="289"/>
      <c r="S497" s="289"/>
      <c r="T497" s="285"/>
    </row>
    <row r="498" spans="1:20" ht="112.5" customHeight="1" x14ac:dyDescent="0.2">
      <c r="A498" s="289">
        <v>505</v>
      </c>
      <c r="B498" s="30" t="s">
        <v>9348</v>
      </c>
      <c r="C498" s="289" t="s">
        <v>5274</v>
      </c>
      <c r="D498" s="9" t="s">
        <v>2047</v>
      </c>
      <c r="E498" s="285"/>
      <c r="F498" s="13" t="s">
        <v>206</v>
      </c>
      <c r="G498" s="285" t="s">
        <v>7978</v>
      </c>
      <c r="H498" s="285" t="s">
        <v>5127</v>
      </c>
      <c r="K498" s="19"/>
      <c r="L498" s="12"/>
      <c r="M498" s="16"/>
      <c r="N498" s="24">
        <f>2-1</f>
        <v>1</v>
      </c>
      <c r="O498" s="17">
        <f>10360.66-5180.33</f>
        <v>5180.33</v>
      </c>
      <c r="P498" s="118">
        <f>10360.66-5180.33</f>
        <v>5180.33</v>
      </c>
      <c r="Q498" s="40">
        <v>0</v>
      </c>
    </row>
    <row r="499" spans="1:20" ht="112.5" customHeight="1" x14ac:dyDescent="0.2">
      <c r="A499" s="289">
        <v>506</v>
      </c>
      <c r="B499" s="30" t="s">
        <v>991</v>
      </c>
      <c r="C499" s="289" t="s">
        <v>5274</v>
      </c>
      <c r="D499" s="9" t="s">
        <v>4869</v>
      </c>
      <c r="E499" s="285"/>
      <c r="F499" s="13" t="s">
        <v>8284</v>
      </c>
      <c r="G499" s="285" t="s">
        <v>7978</v>
      </c>
      <c r="H499" s="285" t="s">
        <v>5127</v>
      </c>
      <c r="I499" s="18"/>
      <c r="J499" s="285"/>
      <c r="K499" s="289"/>
      <c r="L499" s="12"/>
      <c r="M499" s="16"/>
      <c r="N499" s="24">
        <f>6-2</f>
        <v>4</v>
      </c>
      <c r="O499" s="17">
        <f>22500+3880-8380</f>
        <v>18000</v>
      </c>
      <c r="P499" s="17">
        <f>22500+3880-8380</f>
        <v>18000</v>
      </c>
      <c r="Q499" s="40">
        <f t="shared" ref="Q499:Q528" si="12">O499-P499</f>
        <v>0</v>
      </c>
      <c r="R499" s="289"/>
      <c r="S499" s="289"/>
      <c r="T499" s="285"/>
    </row>
    <row r="500" spans="1:20" ht="32.25" customHeight="1" x14ac:dyDescent="0.2">
      <c r="A500" s="289">
        <v>507</v>
      </c>
      <c r="B500" s="30" t="s">
        <v>991</v>
      </c>
      <c r="C500" s="289" t="s">
        <v>5274</v>
      </c>
      <c r="D500" s="9" t="s">
        <v>4869</v>
      </c>
      <c r="E500" s="285"/>
      <c r="F500" s="13" t="s">
        <v>8283</v>
      </c>
      <c r="G500" s="285" t="s">
        <v>101</v>
      </c>
      <c r="H500" s="285" t="s">
        <v>5127</v>
      </c>
      <c r="I500" s="18"/>
      <c r="J500" s="285" t="s">
        <v>3686</v>
      </c>
      <c r="K500" s="15">
        <v>43283</v>
      </c>
      <c r="L500" s="12" t="s">
        <v>8356</v>
      </c>
      <c r="M500" s="16"/>
      <c r="N500" s="24">
        <v>2</v>
      </c>
      <c r="O500" s="17">
        <v>8380</v>
      </c>
      <c r="P500" s="17">
        <v>8380</v>
      </c>
      <c r="Q500" s="40">
        <f t="shared" si="12"/>
        <v>0</v>
      </c>
      <c r="R500" s="289"/>
      <c r="S500" s="289"/>
      <c r="T500" s="285"/>
    </row>
    <row r="501" spans="1:20" ht="112.5" customHeight="1" x14ac:dyDescent="0.2">
      <c r="A501" s="289">
        <v>508</v>
      </c>
      <c r="B501" s="30" t="s">
        <v>992</v>
      </c>
      <c r="C501" s="289" t="s">
        <v>5274</v>
      </c>
      <c r="D501" s="9" t="s">
        <v>4870</v>
      </c>
      <c r="E501" s="285"/>
      <c r="F501" s="13" t="s">
        <v>4521</v>
      </c>
      <c r="G501" s="285" t="s">
        <v>7978</v>
      </c>
      <c r="H501" s="285" t="s">
        <v>5127</v>
      </c>
      <c r="I501" s="18"/>
      <c r="J501" s="285"/>
      <c r="K501" s="289"/>
      <c r="L501" s="12"/>
      <c r="M501" s="16"/>
      <c r="N501" s="24">
        <v>1</v>
      </c>
      <c r="O501" s="17">
        <v>4500</v>
      </c>
      <c r="P501" s="17">
        <v>4500</v>
      </c>
      <c r="Q501" s="40">
        <f t="shared" si="12"/>
        <v>0</v>
      </c>
      <c r="R501" s="289"/>
      <c r="S501" s="289"/>
      <c r="T501" s="285"/>
    </row>
    <row r="502" spans="1:20" ht="112.5" customHeight="1" x14ac:dyDescent="0.2">
      <c r="A502" s="289">
        <v>509</v>
      </c>
      <c r="B502" s="30" t="s">
        <v>6120</v>
      </c>
      <c r="C502" s="289" t="s">
        <v>5274</v>
      </c>
      <c r="D502" s="9" t="s">
        <v>4355</v>
      </c>
      <c r="E502" s="285"/>
      <c r="F502" s="13" t="s">
        <v>6895</v>
      </c>
      <c r="G502" s="285" t="s">
        <v>7978</v>
      </c>
      <c r="H502" s="285" t="s">
        <v>5127</v>
      </c>
      <c r="I502" s="18"/>
      <c r="J502" s="285"/>
      <c r="K502" s="289"/>
      <c r="L502" s="12"/>
      <c r="M502" s="16"/>
      <c r="N502" s="24">
        <v>2</v>
      </c>
      <c r="O502" s="17">
        <v>10200</v>
      </c>
      <c r="P502" s="17">
        <v>10200</v>
      </c>
      <c r="Q502" s="40">
        <f t="shared" si="12"/>
        <v>0</v>
      </c>
      <c r="R502" s="289"/>
      <c r="S502" s="289"/>
      <c r="T502" s="285"/>
    </row>
    <row r="503" spans="1:20" ht="112.5" customHeight="1" x14ac:dyDescent="0.2">
      <c r="A503" s="289">
        <v>510</v>
      </c>
      <c r="B503" s="30" t="s">
        <v>6121</v>
      </c>
      <c r="C503" s="289" t="s">
        <v>5274</v>
      </c>
      <c r="D503" s="9" t="s">
        <v>1687</v>
      </c>
      <c r="E503" s="285"/>
      <c r="F503" s="13" t="s">
        <v>3322</v>
      </c>
      <c r="G503" s="285" t="s">
        <v>7978</v>
      </c>
      <c r="H503" s="285" t="s">
        <v>5127</v>
      </c>
      <c r="I503" s="18"/>
      <c r="J503" s="285"/>
      <c r="K503" s="289"/>
      <c r="L503" s="12"/>
      <c r="M503" s="16"/>
      <c r="N503" s="24">
        <v>3</v>
      </c>
      <c r="O503" s="17">
        <v>10530</v>
      </c>
      <c r="P503" s="17">
        <v>10530</v>
      </c>
      <c r="Q503" s="40">
        <f t="shared" si="12"/>
        <v>0</v>
      </c>
      <c r="R503" s="289"/>
      <c r="S503" s="289"/>
      <c r="T503" s="285"/>
    </row>
    <row r="504" spans="1:20" ht="112.5" customHeight="1" x14ac:dyDescent="0.2">
      <c r="A504" s="289">
        <v>511</v>
      </c>
      <c r="B504" s="30" t="s">
        <v>6122</v>
      </c>
      <c r="C504" s="289" t="s">
        <v>5274</v>
      </c>
      <c r="D504" s="9" t="s">
        <v>1835</v>
      </c>
      <c r="E504" s="285"/>
      <c r="F504" s="13" t="s">
        <v>1408</v>
      </c>
      <c r="G504" s="285" t="s">
        <v>7978</v>
      </c>
      <c r="H504" s="285" t="s">
        <v>5127</v>
      </c>
      <c r="I504" s="18"/>
      <c r="J504" s="285"/>
      <c r="K504" s="289"/>
      <c r="L504" s="12"/>
      <c r="M504" s="16"/>
      <c r="N504" s="24">
        <v>4</v>
      </c>
      <c r="O504" s="17">
        <v>20000</v>
      </c>
      <c r="P504" s="17">
        <v>20000</v>
      </c>
      <c r="Q504" s="40">
        <f t="shared" si="12"/>
        <v>0</v>
      </c>
      <c r="R504" s="289"/>
      <c r="S504" s="289"/>
      <c r="T504" s="285"/>
    </row>
    <row r="505" spans="1:20" ht="112.5" customHeight="1" x14ac:dyDescent="0.2">
      <c r="A505" s="289">
        <v>512</v>
      </c>
      <c r="B505" s="30" t="s">
        <v>1997</v>
      </c>
      <c r="C505" s="289" t="s">
        <v>5274</v>
      </c>
      <c r="D505" s="9" t="s">
        <v>1835</v>
      </c>
      <c r="E505" s="285"/>
      <c r="F505" s="13" t="s">
        <v>6355</v>
      </c>
      <c r="G505" s="285" t="s">
        <v>7978</v>
      </c>
      <c r="H505" s="285" t="s">
        <v>5127</v>
      </c>
      <c r="I505" s="18"/>
      <c r="J505" s="285"/>
      <c r="K505" s="289"/>
      <c r="L505" s="12"/>
      <c r="M505" s="16"/>
      <c r="N505" s="24">
        <v>5</v>
      </c>
      <c r="O505" s="17">
        <v>35000</v>
      </c>
      <c r="P505" s="17">
        <v>35000</v>
      </c>
      <c r="Q505" s="40">
        <f t="shared" si="12"/>
        <v>0</v>
      </c>
      <c r="R505" s="289"/>
      <c r="S505" s="289"/>
      <c r="T505" s="285"/>
    </row>
    <row r="506" spans="1:20" ht="112.5" customHeight="1" x14ac:dyDescent="0.2">
      <c r="A506" s="289">
        <v>513</v>
      </c>
      <c r="B506" s="30" t="s">
        <v>1998</v>
      </c>
      <c r="C506" s="289" t="s">
        <v>5274</v>
      </c>
      <c r="D506" s="9" t="s">
        <v>1835</v>
      </c>
      <c r="E506" s="285"/>
      <c r="F506" s="13" t="s">
        <v>2036</v>
      </c>
      <c r="G506" s="285" t="s">
        <v>7978</v>
      </c>
      <c r="H506" s="285" t="s">
        <v>5127</v>
      </c>
      <c r="I506" s="18"/>
      <c r="J506" s="285"/>
      <c r="K506" s="289"/>
      <c r="L506" s="12"/>
      <c r="M506" s="16"/>
      <c r="N506" s="24">
        <v>1</v>
      </c>
      <c r="O506" s="17">
        <v>8000</v>
      </c>
      <c r="P506" s="17">
        <v>8000</v>
      </c>
      <c r="Q506" s="40">
        <f t="shared" si="12"/>
        <v>0</v>
      </c>
      <c r="R506" s="289"/>
      <c r="S506" s="289"/>
      <c r="T506" s="285"/>
    </row>
    <row r="507" spans="1:20" ht="112.5" customHeight="1" x14ac:dyDescent="0.2">
      <c r="A507" s="289">
        <v>514</v>
      </c>
      <c r="B507" s="30" t="s">
        <v>1999</v>
      </c>
      <c r="C507" s="289"/>
      <c r="D507" s="9" t="s">
        <v>5700</v>
      </c>
      <c r="E507" s="285"/>
      <c r="F507" s="13" t="s">
        <v>1622</v>
      </c>
      <c r="G507" s="285" t="s">
        <v>7978</v>
      </c>
      <c r="H507" s="285" t="s">
        <v>5127</v>
      </c>
      <c r="I507" s="18"/>
      <c r="J507" s="285"/>
      <c r="K507" s="289"/>
      <c r="L507" s="12"/>
      <c r="M507" s="16"/>
      <c r="N507" s="24">
        <v>5</v>
      </c>
      <c r="O507" s="17">
        <f>4090+4490+3690+3690+3390</f>
        <v>19350</v>
      </c>
      <c r="P507" s="17">
        <f>4090+4490+3690+3690+3390</f>
        <v>19350</v>
      </c>
      <c r="Q507" s="40">
        <f t="shared" si="12"/>
        <v>0</v>
      </c>
      <c r="R507" s="289"/>
      <c r="S507" s="289"/>
      <c r="T507" s="285"/>
    </row>
    <row r="508" spans="1:20" ht="112.5" customHeight="1" x14ac:dyDescent="0.2">
      <c r="A508" s="289">
        <v>515</v>
      </c>
      <c r="B508" s="30" t="s">
        <v>2000</v>
      </c>
      <c r="C508" s="289"/>
      <c r="D508" s="9" t="s">
        <v>1835</v>
      </c>
      <c r="E508" s="285"/>
      <c r="F508" s="13" t="s">
        <v>3775</v>
      </c>
      <c r="G508" s="285" t="s">
        <v>7978</v>
      </c>
      <c r="H508" s="285" t="s">
        <v>5127</v>
      </c>
      <c r="I508" s="18"/>
      <c r="J508" s="285"/>
      <c r="K508" s="289"/>
      <c r="L508" s="12"/>
      <c r="M508" s="16"/>
      <c r="N508" s="24">
        <v>1</v>
      </c>
      <c r="O508" s="17">
        <v>8500</v>
      </c>
      <c r="P508" s="17">
        <v>8500</v>
      </c>
      <c r="Q508" s="40">
        <f t="shared" si="12"/>
        <v>0</v>
      </c>
      <c r="R508" s="289"/>
      <c r="S508" s="289"/>
      <c r="T508" s="285"/>
    </row>
    <row r="509" spans="1:20" ht="112.5" customHeight="1" x14ac:dyDescent="0.2">
      <c r="A509" s="289">
        <v>516</v>
      </c>
      <c r="B509" s="30" t="s">
        <v>2001</v>
      </c>
      <c r="C509" s="289"/>
      <c r="D509" s="9" t="s">
        <v>1835</v>
      </c>
      <c r="E509" s="285"/>
      <c r="F509" s="13" t="s">
        <v>3776</v>
      </c>
      <c r="G509" s="285" t="s">
        <v>7978</v>
      </c>
      <c r="H509" s="285" t="s">
        <v>5127</v>
      </c>
      <c r="I509" s="18"/>
      <c r="J509" s="285"/>
      <c r="K509" s="289"/>
      <c r="L509" s="12"/>
      <c r="M509" s="16"/>
      <c r="N509" s="24">
        <v>1</v>
      </c>
      <c r="O509" s="17">
        <v>4920</v>
      </c>
      <c r="P509" s="17">
        <v>4920</v>
      </c>
      <c r="Q509" s="40">
        <f t="shared" si="12"/>
        <v>0</v>
      </c>
      <c r="R509" s="289"/>
      <c r="S509" s="289"/>
      <c r="T509" s="285"/>
    </row>
    <row r="510" spans="1:20" ht="112.5" customHeight="1" x14ac:dyDescent="0.2">
      <c r="A510" s="289">
        <v>517</v>
      </c>
      <c r="B510" s="30" t="s">
        <v>2002</v>
      </c>
      <c r="C510" s="289"/>
      <c r="D510" s="9" t="s">
        <v>2294</v>
      </c>
      <c r="E510" s="285"/>
      <c r="F510" s="13" t="s">
        <v>8997</v>
      </c>
      <c r="G510" s="285" t="s">
        <v>7978</v>
      </c>
      <c r="H510" s="285" t="s">
        <v>5127</v>
      </c>
      <c r="I510" s="18"/>
      <c r="J510" s="285" t="s">
        <v>3136</v>
      </c>
      <c r="K510" s="15">
        <v>42230</v>
      </c>
      <c r="L510" s="12" t="s">
        <v>4013</v>
      </c>
      <c r="M510" s="16"/>
      <c r="N510" s="24"/>
      <c r="O510" s="17">
        <f>7939.54+56.37</f>
        <v>7995.91</v>
      </c>
      <c r="P510" s="17">
        <v>7995.91</v>
      </c>
      <c r="Q510" s="40">
        <f t="shared" si="12"/>
        <v>0</v>
      </c>
      <c r="R510" s="289"/>
      <c r="S510" s="289"/>
      <c r="T510" s="285"/>
    </row>
    <row r="511" spans="1:20" ht="84.75" customHeight="1" x14ac:dyDescent="0.2">
      <c r="A511" s="289">
        <v>518</v>
      </c>
      <c r="B511" s="289" t="s">
        <v>2003</v>
      </c>
      <c r="C511" s="289"/>
      <c r="D511" s="9" t="s">
        <v>1118</v>
      </c>
      <c r="E511" s="14">
        <v>41149</v>
      </c>
      <c r="F511" s="9"/>
      <c r="G511" s="285" t="s">
        <v>7981</v>
      </c>
      <c r="H511" s="285" t="s">
        <v>5127</v>
      </c>
      <c r="I511" s="285"/>
      <c r="J511" s="285" t="s">
        <v>3136</v>
      </c>
      <c r="K511" s="15">
        <v>42283</v>
      </c>
      <c r="L511" s="289">
        <v>841</v>
      </c>
      <c r="M511" s="15">
        <v>41149</v>
      </c>
      <c r="N511" s="16">
        <f>25-1+5</f>
        <v>29</v>
      </c>
      <c r="O511" s="17">
        <f>67305.2+13461.05-2692.21</f>
        <v>78074.039999999994</v>
      </c>
      <c r="P511" s="17">
        <v>78074.039999999994</v>
      </c>
      <c r="Q511" s="17">
        <f t="shared" si="12"/>
        <v>0</v>
      </c>
      <c r="R511" s="285" t="s">
        <v>5648</v>
      </c>
      <c r="S511" s="14" t="s">
        <v>5650</v>
      </c>
      <c r="T511" s="285" t="s">
        <v>5649</v>
      </c>
    </row>
    <row r="512" spans="1:20" ht="41.25" customHeight="1" x14ac:dyDescent="0.2">
      <c r="A512" s="289">
        <v>519</v>
      </c>
      <c r="B512" s="289" t="s">
        <v>2003</v>
      </c>
      <c r="C512" s="289"/>
      <c r="D512" s="9" t="s">
        <v>1118</v>
      </c>
      <c r="E512" s="9"/>
      <c r="F512" s="54"/>
      <c r="G512" s="285" t="s">
        <v>7917</v>
      </c>
      <c r="H512" s="285" t="s">
        <v>5127</v>
      </c>
      <c r="I512" s="285"/>
      <c r="J512" s="285" t="s">
        <v>3136</v>
      </c>
      <c r="K512" s="15">
        <v>42283</v>
      </c>
      <c r="L512" s="289">
        <v>841</v>
      </c>
      <c r="M512" s="15"/>
      <c r="N512" s="44">
        <f>50-2-5</f>
        <v>43</v>
      </c>
      <c r="O512" s="34">
        <f>134610.5-5384.42-13461.05</f>
        <v>115765.03</v>
      </c>
      <c r="P512" s="34">
        <f>134610.5-5384.42-13461.05</f>
        <v>115765.03</v>
      </c>
      <c r="Q512" s="17">
        <f t="shared" si="12"/>
        <v>0</v>
      </c>
      <c r="R512" s="285" t="s">
        <v>5648</v>
      </c>
      <c r="S512" s="14" t="s">
        <v>5650</v>
      </c>
      <c r="T512" s="285" t="s">
        <v>5649</v>
      </c>
    </row>
    <row r="513" spans="1:20" ht="84.75" customHeight="1" x14ac:dyDescent="0.2">
      <c r="A513" s="289">
        <v>520</v>
      </c>
      <c r="B513" s="289" t="s">
        <v>2003</v>
      </c>
      <c r="C513" s="289"/>
      <c r="D513" s="9" t="s">
        <v>1118</v>
      </c>
      <c r="E513" s="14">
        <v>41149</v>
      </c>
      <c r="F513" s="54"/>
      <c r="G513" s="285" t="s">
        <v>7982</v>
      </c>
      <c r="H513" s="285" t="s">
        <v>5127</v>
      </c>
      <c r="I513" s="285"/>
      <c r="J513" s="285" t="s">
        <v>3136</v>
      </c>
      <c r="K513" s="15">
        <v>42283</v>
      </c>
      <c r="L513" s="289">
        <v>841</v>
      </c>
      <c r="M513" s="15">
        <v>41149</v>
      </c>
      <c r="N513" s="16">
        <v>25</v>
      </c>
      <c r="O513" s="17">
        <v>67305.2</v>
      </c>
      <c r="P513" s="17">
        <v>67305.2</v>
      </c>
      <c r="Q513" s="17">
        <f t="shared" si="12"/>
        <v>0</v>
      </c>
      <c r="R513" s="285" t="s">
        <v>5648</v>
      </c>
      <c r="S513" s="14" t="s">
        <v>5650</v>
      </c>
      <c r="T513" s="285" t="s">
        <v>5649</v>
      </c>
    </row>
    <row r="514" spans="1:20" ht="84.75" customHeight="1" x14ac:dyDescent="0.2">
      <c r="A514" s="289">
        <v>522</v>
      </c>
      <c r="B514" s="30" t="s">
        <v>2004</v>
      </c>
      <c r="C514" s="289" t="s">
        <v>5274</v>
      </c>
      <c r="D514" s="9" t="s">
        <v>1727</v>
      </c>
      <c r="E514" s="14">
        <v>32142</v>
      </c>
      <c r="F514" s="13" t="s">
        <v>207</v>
      </c>
      <c r="G514" s="285" t="s">
        <v>7981</v>
      </c>
      <c r="H514" s="285" t="s">
        <v>5127</v>
      </c>
      <c r="I514" s="18"/>
      <c r="J514" s="22" t="s">
        <v>9411</v>
      </c>
      <c r="K514" s="15">
        <v>40544</v>
      </c>
      <c r="L514" s="289" t="s">
        <v>1029</v>
      </c>
      <c r="M514" s="15">
        <v>32142</v>
      </c>
      <c r="N514" s="24">
        <v>1</v>
      </c>
      <c r="O514" s="17">
        <v>3685.53</v>
      </c>
      <c r="P514" s="17">
        <v>3685.53</v>
      </c>
      <c r="Q514" s="17">
        <f t="shared" si="12"/>
        <v>0</v>
      </c>
      <c r="R514" s="289"/>
      <c r="S514" s="289"/>
      <c r="T514" s="285"/>
    </row>
    <row r="515" spans="1:20" ht="84.75" customHeight="1" x14ac:dyDescent="0.2">
      <c r="A515" s="289">
        <v>523</v>
      </c>
      <c r="B515" s="30" t="s">
        <v>794</v>
      </c>
      <c r="C515" s="289" t="s">
        <v>5274</v>
      </c>
      <c r="D515" s="9" t="s">
        <v>2027</v>
      </c>
      <c r="E515" s="14">
        <v>38686</v>
      </c>
      <c r="F515" s="13" t="s">
        <v>3200</v>
      </c>
      <c r="G515" s="285" t="s">
        <v>7981</v>
      </c>
      <c r="H515" s="285" t="s">
        <v>5127</v>
      </c>
      <c r="I515" s="18"/>
      <c r="J515" s="22" t="s">
        <v>9411</v>
      </c>
      <c r="K515" s="15">
        <v>40544</v>
      </c>
      <c r="L515" s="289" t="s">
        <v>1029</v>
      </c>
      <c r="M515" s="15">
        <v>37257</v>
      </c>
      <c r="N515" s="24">
        <v>1</v>
      </c>
      <c r="O515" s="17">
        <v>6480</v>
      </c>
      <c r="P515" s="17">
        <v>6480</v>
      </c>
      <c r="Q515" s="17">
        <f t="shared" si="12"/>
        <v>0</v>
      </c>
      <c r="R515" s="289"/>
      <c r="S515" s="289"/>
      <c r="T515" s="285"/>
    </row>
    <row r="516" spans="1:20" ht="84.75" customHeight="1" x14ac:dyDescent="0.2">
      <c r="A516" s="289">
        <v>524</v>
      </c>
      <c r="B516" s="30" t="s">
        <v>795</v>
      </c>
      <c r="C516" s="289" t="s">
        <v>5274</v>
      </c>
      <c r="D516" s="9" t="s">
        <v>2027</v>
      </c>
      <c r="E516" s="14">
        <v>33511</v>
      </c>
      <c r="F516" s="13" t="s">
        <v>3201</v>
      </c>
      <c r="G516" s="285" t="s">
        <v>7981</v>
      </c>
      <c r="H516" s="285" t="s">
        <v>5127</v>
      </c>
      <c r="I516" s="18"/>
      <c r="J516" s="22" t="s">
        <v>9411</v>
      </c>
      <c r="K516" s="15">
        <v>40544</v>
      </c>
      <c r="L516" s="289" t="s">
        <v>1029</v>
      </c>
      <c r="M516" s="15">
        <v>39020</v>
      </c>
      <c r="N516" s="24">
        <v>2</v>
      </c>
      <c r="O516" s="17">
        <v>9180</v>
      </c>
      <c r="P516" s="17">
        <v>9180</v>
      </c>
      <c r="Q516" s="17">
        <f t="shared" si="12"/>
        <v>0</v>
      </c>
      <c r="R516" s="289"/>
      <c r="S516" s="289"/>
      <c r="T516" s="285"/>
    </row>
    <row r="517" spans="1:20" ht="84.75" customHeight="1" x14ac:dyDescent="0.2">
      <c r="A517" s="289">
        <v>525</v>
      </c>
      <c r="B517" s="30" t="s">
        <v>796</v>
      </c>
      <c r="C517" s="289" t="s">
        <v>5274</v>
      </c>
      <c r="D517" s="9" t="s">
        <v>4687</v>
      </c>
      <c r="E517" s="14">
        <v>41272</v>
      </c>
      <c r="F517" s="13" t="s">
        <v>3202</v>
      </c>
      <c r="G517" s="285" t="s">
        <v>7981</v>
      </c>
      <c r="H517" s="285" t="s">
        <v>5127</v>
      </c>
      <c r="I517" s="18"/>
      <c r="J517" s="22" t="s">
        <v>9411</v>
      </c>
      <c r="K517" s="15">
        <v>40544</v>
      </c>
      <c r="L517" s="289" t="s">
        <v>1029</v>
      </c>
      <c r="M517" s="15">
        <v>39385</v>
      </c>
      <c r="N517" s="24">
        <v>1</v>
      </c>
      <c r="O517" s="17">
        <v>3898</v>
      </c>
      <c r="P517" s="17">
        <v>3898</v>
      </c>
      <c r="Q517" s="17">
        <f t="shared" si="12"/>
        <v>0</v>
      </c>
      <c r="R517" s="289"/>
      <c r="S517" s="289"/>
      <c r="T517" s="285"/>
    </row>
    <row r="518" spans="1:20" ht="84.75" customHeight="1" x14ac:dyDescent="0.2">
      <c r="A518" s="289">
        <v>526</v>
      </c>
      <c r="B518" s="30" t="s">
        <v>797</v>
      </c>
      <c r="C518" s="289" t="s">
        <v>5274</v>
      </c>
      <c r="D518" s="9" t="s">
        <v>960</v>
      </c>
      <c r="E518" s="14">
        <v>40057</v>
      </c>
      <c r="F518" s="13" t="s">
        <v>3203</v>
      </c>
      <c r="G518" s="285" t="s">
        <v>7981</v>
      </c>
      <c r="H518" s="285" t="s">
        <v>5127</v>
      </c>
      <c r="I518" s="18"/>
      <c r="J518" s="22" t="s">
        <v>9411</v>
      </c>
      <c r="K518" s="15">
        <v>40544</v>
      </c>
      <c r="L518" s="289" t="s">
        <v>1029</v>
      </c>
      <c r="M518" s="15">
        <v>39385</v>
      </c>
      <c r="N518" s="24">
        <v>1</v>
      </c>
      <c r="O518" s="17">
        <v>5549</v>
      </c>
      <c r="P518" s="17">
        <v>5549</v>
      </c>
      <c r="Q518" s="17">
        <f t="shared" si="12"/>
        <v>0</v>
      </c>
      <c r="R518" s="289"/>
      <c r="S518" s="289"/>
      <c r="T518" s="285"/>
    </row>
    <row r="519" spans="1:20" ht="84.75" customHeight="1" x14ac:dyDescent="0.2">
      <c r="A519" s="289">
        <v>527</v>
      </c>
      <c r="B519" s="30" t="s">
        <v>4319</v>
      </c>
      <c r="C519" s="289"/>
      <c r="D519" s="9" t="s">
        <v>4317</v>
      </c>
      <c r="E519" s="14">
        <v>41272</v>
      </c>
      <c r="F519" s="13" t="s">
        <v>7080</v>
      </c>
      <c r="G519" s="285" t="s">
        <v>7981</v>
      </c>
      <c r="H519" s="285" t="s">
        <v>5127</v>
      </c>
      <c r="I519" s="18"/>
      <c r="J519" s="37" t="s">
        <v>3136</v>
      </c>
      <c r="K519" s="15">
        <v>41272</v>
      </c>
      <c r="L519" s="12" t="s">
        <v>9491</v>
      </c>
      <c r="M519" s="15">
        <v>41272</v>
      </c>
      <c r="N519" s="24">
        <v>27</v>
      </c>
      <c r="O519" s="17">
        <v>88965</v>
      </c>
      <c r="P519" s="17">
        <v>88965</v>
      </c>
      <c r="Q519" s="17">
        <f t="shared" si="12"/>
        <v>0</v>
      </c>
      <c r="R519" s="289"/>
      <c r="S519" s="289"/>
      <c r="T519" s="285"/>
    </row>
    <row r="520" spans="1:20" ht="84.75" customHeight="1" x14ac:dyDescent="0.2">
      <c r="A520" s="289">
        <v>528</v>
      </c>
      <c r="B520" s="30" t="s">
        <v>4320</v>
      </c>
      <c r="C520" s="289"/>
      <c r="D520" s="9" t="s">
        <v>1969</v>
      </c>
      <c r="E520" s="14">
        <v>41244</v>
      </c>
      <c r="F520" s="13" t="s">
        <v>1970</v>
      </c>
      <c r="G520" s="285" t="s">
        <v>7981</v>
      </c>
      <c r="H520" s="285" t="s">
        <v>5127</v>
      </c>
      <c r="I520" s="18"/>
      <c r="J520" s="285" t="s">
        <v>9490</v>
      </c>
      <c r="K520" s="15">
        <v>41364</v>
      </c>
      <c r="L520" s="12" t="s">
        <v>1029</v>
      </c>
      <c r="M520" s="15">
        <v>41244</v>
      </c>
      <c r="N520" s="24">
        <v>1</v>
      </c>
      <c r="O520" s="17">
        <v>6483</v>
      </c>
      <c r="P520" s="17">
        <v>6483</v>
      </c>
      <c r="Q520" s="17">
        <f t="shared" si="12"/>
        <v>0</v>
      </c>
      <c r="R520" s="289" t="s">
        <v>5071</v>
      </c>
      <c r="S520" s="15">
        <v>41244</v>
      </c>
      <c r="T520" s="285">
        <v>186</v>
      </c>
    </row>
    <row r="521" spans="1:20" ht="84.75" customHeight="1" x14ac:dyDescent="0.2">
      <c r="A521" s="289">
        <v>529</v>
      </c>
      <c r="B521" s="289" t="s">
        <v>4321</v>
      </c>
      <c r="C521" s="289"/>
      <c r="D521" s="9" t="s">
        <v>2892</v>
      </c>
      <c r="E521" s="14">
        <v>41057</v>
      </c>
      <c r="F521" s="13" t="s">
        <v>3772</v>
      </c>
      <c r="G521" s="285" t="s">
        <v>7981</v>
      </c>
      <c r="H521" s="285" t="s">
        <v>5127</v>
      </c>
      <c r="I521" s="18"/>
      <c r="J521" s="285" t="s">
        <v>9490</v>
      </c>
      <c r="K521" s="15">
        <v>41090</v>
      </c>
      <c r="L521" s="12" t="s">
        <v>1029</v>
      </c>
      <c r="M521" s="15">
        <v>41057</v>
      </c>
      <c r="N521" s="24">
        <v>1</v>
      </c>
      <c r="O521" s="17">
        <v>3400</v>
      </c>
      <c r="P521" s="17">
        <v>3400</v>
      </c>
      <c r="Q521" s="17">
        <f t="shared" si="12"/>
        <v>0</v>
      </c>
      <c r="R521" s="289" t="s">
        <v>5071</v>
      </c>
      <c r="S521" s="15">
        <v>41057</v>
      </c>
      <c r="T521" s="285">
        <v>208</v>
      </c>
    </row>
    <row r="522" spans="1:20" ht="84.75" customHeight="1" x14ac:dyDescent="0.2">
      <c r="A522" s="289">
        <v>530</v>
      </c>
      <c r="B522" s="289" t="s">
        <v>3575</v>
      </c>
      <c r="C522" s="289" t="s">
        <v>5274</v>
      </c>
      <c r="D522" s="9" t="s">
        <v>9496</v>
      </c>
      <c r="E522" s="14">
        <v>39385</v>
      </c>
      <c r="F522" s="13" t="s">
        <v>273</v>
      </c>
      <c r="G522" s="285" t="s">
        <v>7981</v>
      </c>
      <c r="H522" s="285" t="s">
        <v>5127</v>
      </c>
      <c r="I522" s="18"/>
      <c r="J522" s="22" t="s">
        <v>9411</v>
      </c>
      <c r="K522" s="15">
        <v>40544</v>
      </c>
      <c r="L522" s="289" t="s">
        <v>1029</v>
      </c>
      <c r="M522" s="15">
        <v>39385</v>
      </c>
      <c r="N522" s="24">
        <v>1</v>
      </c>
      <c r="O522" s="17">
        <v>5330</v>
      </c>
      <c r="P522" s="17">
        <v>5330</v>
      </c>
      <c r="Q522" s="17">
        <f t="shared" si="12"/>
        <v>0</v>
      </c>
      <c r="R522" s="289"/>
      <c r="S522" s="289"/>
      <c r="T522" s="285"/>
    </row>
    <row r="523" spans="1:20" ht="84.75" customHeight="1" x14ac:dyDescent="0.2">
      <c r="A523" s="289">
        <v>531</v>
      </c>
      <c r="B523" s="289" t="s">
        <v>3576</v>
      </c>
      <c r="C523" s="289" t="s">
        <v>5274</v>
      </c>
      <c r="D523" s="9" t="s">
        <v>5347</v>
      </c>
      <c r="E523" s="14">
        <v>39385</v>
      </c>
      <c r="F523" s="13" t="s">
        <v>3204</v>
      </c>
      <c r="G523" s="285" t="s">
        <v>7981</v>
      </c>
      <c r="H523" s="285" t="s">
        <v>5127</v>
      </c>
      <c r="I523" s="18"/>
      <c r="J523" s="22" t="s">
        <v>9411</v>
      </c>
      <c r="K523" s="15">
        <v>40544</v>
      </c>
      <c r="L523" s="289" t="s">
        <v>1029</v>
      </c>
      <c r="M523" s="15">
        <v>39385</v>
      </c>
      <c r="N523" s="24">
        <v>1</v>
      </c>
      <c r="O523" s="17">
        <v>6720</v>
      </c>
      <c r="P523" s="17">
        <v>6720</v>
      </c>
      <c r="Q523" s="17">
        <f t="shared" si="12"/>
        <v>0</v>
      </c>
      <c r="R523" s="289"/>
      <c r="S523" s="289"/>
      <c r="T523" s="285"/>
    </row>
    <row r="524" spans="1:20" ht="84.75" customHeight="1" x14ac:dyDescent="0.2">
      <c r="A524" s="289">
        <v>533</v>
      </c>
      <c r="B524" s="289" t="s">
        <v>3577</v>
      </c>
      <c r="C524" s="289" t="s">
        <v>5274</v>
      </c>
      <c r="D524" s="9" t="s">
        <v>4146</v>
      </c>
      <c r="E524" s="14">
        <v>39813</v>
      </c>
      <c r="F524" s="13" t="s">
        <v>7081</v>
      </c>
      <c r="G524" s="285" t="s">
        <v>7981</v>
      </c>
      <c r="H524" s="285" t="s">
        <v>5127</v>
      </c>
      <c r="I524" s="18"/>
      <c r="J524" s="22" t="s">
        <v>9411</v>
      </c>
      <c r="K524" s="15">
        <v>40544</v>
      </c>
      <c r="L524" s="289" t="s">
        <v>1029</v>
      </c>
      <c r="M524" s="15">
        <v>39813</v>
      </c>
      <c r="N524" s="24">
        <v>1</v>
      </c>
      <c r="O524" s="17">
        <v>7889</v>
      </c>
      <c r="P524" s="17">
        <v>7889</v>
      </c>
      <c r="Q524" s="17">
        <f t="shared" si="12"/>
        <v>0</v>
      </c>
      <c r="R524" s="289"/>
      <c r="S524" s="289"/>
      <c r="T524" s="285"/>
    </row>
    <row r="525" spans="1:20" ht="84.75" customHeight="1" x14ac:dyDescent="0.2">
      <c r="A525" s="289">
        <v>534</v>
      </c>
      <c r="B525" s="289" t="s">
        <v>3578</v>
      </c>
      <c r="C525" s="289" t="s">
        <v>5274</v>
      </c>
      <c r="D525" s="9" t="s">
        <v>5448</v>
      </c>
      <c r="E525" s="14">
        <v>39713</v>
      </c>
      <c r="F525" s="13" t="s">
        <v>3205</v>
      </c>
      <c r="G525" s="285" t="s">
        <v>7981</v>
      </c>
      <c r="H525" s="285" t="s">
        <v>5127</v>
      </c>
      <c r="I525" s="18"/>
      <c r="J525" s="22" t="s">
        <v>9411</v>
      </c>
      <c r="K525" s="15">
        <v>40544</v>
      </c>
      <c r="L525" s="289" t="s">
        <v>1029</v>
      </c>
      <c r="M525" s="15">
        <v>39713</v>
      </c>
      <c r="N525" s="24">
        <v>1</v>
      </c>
      <c r="O525" s="17">
        <v>3160</v>
      </c>
      <c r="P525" s="17">
        <v>3160</v>
      </c>
      <c r="Q525" s="17">
        <f t="shared" si="12"/>
        <v>0</v>
      </c>
      <c r="R525" s="289"/>
      <c r="S525" s="289"/>
      <c r="T525" s="285"/>
    </row>
    <row r="526" spans="1:20" ht="84.75" customHeight="1" x14ac:dyDescent="0.2">
      <c r="A526" s="289">
        <v>535</v>
      </c>
      <c r="B526" s="289" t="s">
        <v>3579</v>
      </c>
      <c r="C526" s="289" t="s">
        <v>5274</v>
      </c>
      <c r="D526" s="9" t="s">
        <v>983</v>
      </c>
      <c r="E526" s="14">
        <v>39813</v>
      </c>
      <c r="F526" s="13" t="s">
        <v>4501</v>
      </c>
      <c r="G526" s="285" t="s">
        <v>7981</v>
      </c>
      <c r="H526" s="285" t="s">
        <v>5127</v>
      </c>
      <c r="I526" s="18"/>
      <c r="J526" s="22" t="s">
        <v>9411</v>
      </c>
      <c r="K526" s="15">
        <v>40544</v>
      </c>
      <c r="L526" s="289" t="s">
        <v>1029</v>
      </c>
      <c r="M526" s="15">
        <v>39813</v>
      </c>
      <c r="N526" s="24">
        <v>10</v>
      </c>
      <c r="O526" s="17">
        <v>62000</v>
      </c>
      <c r="P526" s="17">
        <v>62000</v>
      </c>
      <c r="Q526" s="17">
        <f t="shared" si="12"/>
        <v>0</v>
      </c>
      <c r="R526" s="289"/>
      <c r="S526" s="289"/>
      <c r="T526" s="285"/>
    </row>
    <row r="527" spans="1:20" ht="84.75" customHeight="1" x14ac:dyDescent="0.2">
      <c r="A527" s="289">
        <v>536</v>
      </c>
      <c r="B527" s="289" t="s">
        <v>3580</v>
      </c>
      <c r="C527" s="289"/>
      <c r="D527" s="9" t="s">
        <v>4502</v>
      </c>
      <c r="E527" s="14">
        <v>40087</v>
      </c>
      <c r="F527" s="13" t="s">
        <v>4192</v>
      </c>
      <c r="G527" s="285" t="s">
        <v>7981</v>
      </c>
      <c r="H527" s="285" t="s">
        <v>5127</v>
      </c>
      <c r="I527" s="18"/>
      <c r="J527" s="22" t="s">
        <v>9411</v>
      </c>
      <c r="K527" s="15">
        <v>40544</v>
      </c>
      <c r="L527" s="289" t="s">
        <v>1029</v>
      </c>
      <c r="M527" s="15">
        <v>40087</v>
      </c>
      <c r="N527" s="24">
        <v>6</v>
      </c>
      <c r="O527" s="17">
        <v>20964</v>
      </c>
      <c r="P527" s="17">
        <v>20964</v>
      </c>
      <c r="Q527" s="17">
        <f t="shared" si="12"/>
        <v>0</v>
      </c>
      <c r="R527" s="289"/>
      <c r="S527" s="289"/>
      <c r="T527" s="285"/>
    </row>
    <row r="528" spans="1:20" ht="84.75" customHeight="1" x14ac:dyDescent="0.2">
      <c r="A528" s="289">
        <v>537</v>
      </c>
      <c r="B528" s="289" t="s">
        <v>3581</v>
      </c>
      <c r="C528" s="289" t="s">
        <v>5274</v>
      </c>
      <c r="D528" s="9" t="s">
        <v>2960</v>
      </c>
      <c r="E528" s="14">
        <v>40116</v>
      </c>
      <c r="F528" s="13" t="s">
        <v>1655</v>
      </c>
      <c r="G528" s="285" t="s">
        <v>7981</v>
      </c>
      <c r="H528" s="285" t="s">
        <v>5127</v>
      </c>
      <c r="I528" s="18"/>
      <c r="J528" s="22" t="s">
        <v>9411</v>
      </c>
      <c r="K528" s="15">
        <v>40544</v>
      </c>
      <c r="L528" s="289" t="s">
        <v>1029</v>
      </c>
      <c r="M528" s="15">
        <v>40116</v>
      </c>
      <c r="N528" s="24">
        <v>1</v>
      </c>
      <c r="O528" s="17">
        <v>5700</v>
      </c>
      <c r="P528" s="17">
        <v>5700</v>
      </c>
      <c r="Q528" s="17">
        <f t="shared" si="12"/>
        <v>0</v>
      </c>
      <c r="R528" s="289"/>
      <c r="S528" s="289"/>
      <c r="T528" s="285"/>
    </row>
    <row r="529" spans="1:20" ht="84.75" customHeight="1" x14ac:dyDescent="0.2">
      <c r="A529" s="289">
        <v>538</v>
      </c>
      <c r="B529" s="289" t="s">
        <v>3582</v>
      </c>
      <c r="C529" s="289" t="s">
        <v>5274</v>
      </c>
      <c r="D529" s="9" t="s">
        <v>44</v>
      </c>
      <c r="E529" s="14">
        <v>38837</v>
      </c>
      <c r="F529" s="13" t="s">
        <v>7082</v>
      </c>
      <c r="G529" s="285" t="s">
        <v>7981</v>
      </c>
      <c r="H529" s="285" t="s">
        <v>5127</v>
      </c>
      <c r="I529" s="18"/>
      <c r="J529" s="22" t="s">
        <v>9411</v>
      </c>
      <c r="K529" s="15">
        <v>40544</v>
      </c>
      <c r="L529" s="289" t="s">
        <v>1029</v>
      </c>
      <c r="M529" s="15">
        <v>38837</v>
      </c>
      <c r="N529" s="24">
        <v>22</v>
      </c>
      <c r="O529" s="17">
        <v>67320</v>
      </c>
      <c r="P529" s="17">
        <v>67320</v>
      </c>
      <c r="Q529" s="17">
        <f t="shared" ref="Q529:Q560" si="13">O529-P529</f>
        <v>0</v>
      </c>
      <c r="R529" s="289"/>
      <c r="S529" s="289"/>
      <c r="T529" s="285"/>
    </row>
    <row r="530" spans="1:20" ht="84.75" customHeight="1" x14ac:dyDescent="0.2">
      <c r="A530" s="289">
        <v>539</v>
      </c>
      <c r="B530" s="289" t="s">
        <v>4721</v>
      </c>
      <c r="C530" s="289"/>
      <c r="D530" s="9" t="s">
        <v>2998</v>
      </c>
      <c r="E530" s="14">
        <v>39385</v>
      </c>
      <c r="F530" s="13" t="s">
        <v>4188</v>
      </c>
      <c r="G530" s="285" t="s">
        <v>7981</v>
      </c>
      <c r="H530" s="285" t="s">
        <v>5127</v>
      </c>
      <c r="I530" s="18"/>
      <c r="J530" s="22" t="s">
        <v>9411</v>
      </c>
      <c r="K530" s="15">
        <v>40544</v>
      </c>
      <c r="L530" s="289" t="s">
        <v>1029</v>
      </c>
      <c r="M530" s="15">
        <v>39385</v>
      </c>
      <c r="N530" s="24">
        <v>1</v>
      </c>
      <c r="O530" s="17">
        <v>4526</v>
      </c>
      <c r="P530" s="17">
        <v>4526</v>
      </c>
      <c r="Q530" s="17">
        <f t="shared" si="13"/>
        <v>0</v>
      </c>
      <c r="R530" s="289"/>
      <c r="S530" s="289"/>
      <c r="T530" s="285"/>
    </row>
    <row r="531" spans="1:20" ht="84.75" customHeight="1" x14ac:dyDescent="0.2">
      <c r="A531" s="289">
        <v>540</v>
      </c>
      <c r="B531" s="289" t="s">
        <v>4722</v>
      </c>
      <c r="C531" s="289"/>
      <c r="D531" s="9" t="s">
        <v>3332</v>
      </c>
      <c r="E531" s="14">
        <v>41268</v>
      </c>
      <c r="F531" s="13" t="s">
        <v>3704</v>
      </c>
      <c r="G531" s="285" t="s">
        <v>7981</v>
      </c>
      <c r="H531" s="285" t="s">
        <v>5127</v>
      </c>
      <c r="I531" s="18"/>
      <c r="J531" s="285" t="s">
        <v>9490</v>
      </c>
      <c r="K531" s="15">
        <v>41364</v>
      </c>
      <c r="L531" s="12" t="s">
        <v>1029</v>
      </c>
      <c r="M531" s="15">
        <v>41268</v>
      </c>
      <c r="N531" s="24">
        <v>2</v>
      </c>
      <c r="O531" s="17">
        <v>12491.5</v>
      </c>
      <c r="P531" s="17">
        <v>12491.5</v>
      </c>
      <c r="Q531" s="17">
        <f t="shared" si="13"/>
        <v>0</v>
      </c>
      <c r="R531" s="289" t="s">
        <v>5071</v>
      </c>
      <c r="S531" s="15">
        <v>41268</v>
      </c>
      <c r="T531" s="285">
        <v>58</v>
      </c>
    </row>
    <row r="532" spans="1:20" ht="84.75" customHeight="1" x14ac:dyDescent="0.2">
      <c r="A532" s="289">
        <v>541</v>
      </c>
      <c r="B532" s="289" t="s">
        <v>4723</v>
      </c>
      <c r="C532" s="289" t="s">
        <v>5274</v>
      </c>
      <c r="D532" s="9" t="s">
        <v>5695</v>
      </c>
      <c r="E532" s="14">
        <v>39721</v>
      </c>
      <c r="F532" s="13" t="s">
        <v>4189</v>
      </c>
      <c r="G532" s="285" t="s">
        <v>7981</v>
      </c>
      <c r="H532" s="285" t="s">
        <v>5127</v>
      </c>
      <c r="I532" s="18"/>
      <c r="J532" s="22" t="s">
        <v>9411</v>
      </c>
      <c r="K532" s="15">
        <v>40544</v>
      </c>
      <c r="L532" s="289" t="s">
        <v>1029</v>
      </c>
      <c r="M532" s="15">
        <v>39721</v>
      </c>
      <c r="N532" s="24">
        <v>1</v>
      </c>
      <c r="O532" s="17">
        <v>3130</v>
      </c>
      <c r="P532" s="17">
        <v>3130</v>
      </c>
      <c r="Q532" s="17">
        <f t="shared" si="13"/>
        <v>0</v>
      </c>
      <c r="R532" s="289"/>
      <c r="S532" s="289"/>
      <c r="T532" s="285"/>
    </row>
    <row r="533" spans="1:20" ht="87" customHeight="1" x14ac:dyDescent="0.2">
      <c r="A533" s="289">
        <v>542</v>
      </c>
      <c r="B533" s="289" t="s">
        <v>4724</v>
      </c>
      <c r="C533" s="289" t="s">
        <v>5274</v>
      </c>
      <c r="D533" s="9" t="s">
        <v>5694</v>
      </c>
      <c r="E533" s="14">
        <v>33603</v>
      </c>
      <c r="F533" s="13" t="s">
        <v>4190</v>
      </c>
      <c r="G533" s="285" t="s">
        <v>7981</v>
      </c>
      <c r="H533" s="285" t="s">
        <v>5127</v>
      </c>
      <c r="I533" s="18"/>
      <c r="J533" s="22" t="s">
        <v>9411</v>
      </c>
      <c r="K533" s="15">
        <v>40544</v>
      </c>
      <c r="L533" s="289" t="s">
        <v>1029</v>
      </c>
      <c r="M533" s="15">
        <v>33603</v>
      </c>
      <c r="N533" s="24">
        <v>1</v>
      </c>
      <c r="O533" s="17">
        <v>5537.97</v>
      </c>
      <c r="P533" s="17">
        <v>5537.97</v>
      </c>
      <c r="Q533" s="17">
        <f t="shared" si="13"/>
        <v>0</v>
      </c>
      <c r="R533" s="289"/>
      <c r="S533" s="289"/>
      <c r="T533" s="285"/>
    </row>
    <row r="534" spans="1:20" ht="87" customHeight="1" x14ac:dyDescent="0.2">
      <c r="A534" s="289">
        <v>543</v>
      </c>
      <c r="B534" s="289" t="s">
        <v>4725</v>
      </c>
      <c r="C534" s="289" t="s">
        <v>5274</v>
      </c>
      <c r="D534" s="9" t="s">
        <v>932</v>
      </c>
      <c r="E534" s="14">
        <v>40178</v>
      </c>
      <c r="F534" s="13" t="s">
        <v>3186</v>
      </c>
      <c r="G534" s="285" t="s">
        <v>7981</v>
      </c>
      <c r="H534" s="285" t="s">
        <v>5127</v>
      </c>
      <c r="I534" s="18"/>
      <c r="J534" s="22" t="s">
        <v>9411</v>
      </c>
      <c r="K534" s="15">
        <v>40544</v>
      </c>
      <c r="L534" s="289" t="s">
        <v>1029</v>
      </c>
      <c r="M534" s="15">
        <v>40178</v>
      </c>
      <c r="N534" s="24">
        <v>7</v>
      </c>
      <c r="O534" s="17">
        <v>21233.31</v>
      </c>
      <c r="P534" s="17">
        <v>21233.31</v>
      </c>
      <c r="Q534" s="17">
        <f t="shared" si="13"/>
        <v>0</v>
      </c>
      <c r="R534" s="289"/>
      <c r="S534" s="289"/>
      <c r="T534" s="285"/>
    </row>
    <row r="535" spans="1:20" ht="87" customHeight="1" x14ac:dyDescent="0.2">
      <c r="A535" s="289">
        <v>544</v>
      </c>
      <c r="B535" s="289" t="s">
        <v>1087</v>
      </c>
      <c r="C535" s="289" t="s">
        <v>5274</v>
      </c>
      <c r="D535" s="9" t="s">
        <v>3663</v>
      </c>
      <c r="E535" s="14">
        <v>38837</v>
      </c>
      <c r="F535" s="13" t="s">
        <v>4191</v>
      </c>
      <c r="G535" s="285" t="s">
        <v>7981</v>
      </c>
      <c r="H535" s="285" t="s">
        <v>5127</v>
      </c>
      <c r="I535" s="18"/>
      <c r="J535" s="22" t="s">
        <v>9411</v>
      </c>
      <c r="K535" s="15">
        <v>40544</v>
      </c>
      <c r="L535" s="289" t="s">
        <v>1029</v>
      </c>
      <c r="M535" s="15">
        <v>38837</v>
      </c>
      <c r="N535" s="24">
        <v>9</v>
      </c>
      <c r="O535" s="17">
        <v>32130</v>
      </c>
      <c r="P535" s="17">
        <v>32130</v>
      </c>
      <c r="Q535" s="17">
        <f t="shared" si="13"/>
        <v>0</v>
      </c>
      <c r="R535" s="289"/>
      <c r="S535" s="289"/>
      <c r="T535" s="285"/>
    </row>
    <row r="536" spans="1:20" ht="87" customHeight="1" x14ac:dyDescent="0.2">
      <c r="A536" s="289">
        <v>545</v>
      </c>
      <c r="B536" s="289" t="s">
        <v>3425</v>
      </c>
      <c r="C536" s="289" t="s">
        <v>5274</v>
      </c>
      <c r="D536" s="9" t="s">
        <v>6377</v>
      </c>
      <c r="E536" s="14">
        <v>41269</v>
      </c>
      <c r="F536" s="13" t="s">
        <v>5300</v>
      </c>
      <c r="G536" s="285" t="s">
        <v>7981</v>
      </c>
      <c r="H536" s="285" t="s">
        <v>5127</v>
      </c>
      <c r="I536" s="18"/>
      <c r="J536" s="285" t="s">
        <v>9490</v>
      </c>
      <c r="K536" s="15">
        <v>41639</v>
      </c>
      <c r="L536" s="12" t="s">
        <v>1029</v>
      </c>
      <c r="M536" s="15">
        <v>41269</v>
      </c>
      <c r="N536" s="24">
        <v>1</v>
      </c>
      <c r="O536" s="17">
        <v>3775.19</v>
      </c>
      <c r="P536" s="17">
        <v>3775.19</v>
      </c>
      <c r="Q536" s="17">
        <f t="shared" si="13"/>
        <v>0</v>
      </c>
      <c r="R536" s="285" t="s">
        <v>5299</v>
      </c>
      <c r="S536" s="15">
        <v>41269</v>
      </c>
      <c r="T536" s="285">
        <v>919</v>
      </c>
    </row>
    <row r="537" spans="1:20" ht="87" customHeight="1" x14ac:dyDescent="0.2">
      <c r="A537" s="289">
        <v>546</v>
      </c>
      <c r="B537" s="289" t="s">
        <v>3426</v>
      </c>
      <c r="C537" s="289" t="s">
        <v>5274</v>
      </c>
      <c r="D537" s="9" t="s">
        <v>4945</v>
      </c>
      <c r="E537" s="14">
        <v>41269</v>
      </c>
      <c r="F537" s="13" t="s">
        <v>4193</v>
      </c>
      <c r="G537" s="285" t="s">
        <v>7981</v>
      </c>
      <c r="H537" s="285" t="s">
        <v>5127</v>
      </c>
      <c r="I537" s="9"/>
      <c r="J537" s="285" t="s">
        <v>9497</v>
      </c>
      <c r="K537" s="285">
        <v>2012</v>
      </c>
      <c r="L537" s="22"/>
      <c r="M537" s="15">
        <v>41269</v>
      </c>
      <c r="N537" s="24">
        <v>1</v>
      </c>
      <c r="O537" s="17">
        <v>3460</v>
      </c>
      <c r="P537" s="17">
        <v>3460</v>
      </c>
      <c r="Q537" s="17">
        <f t="shared" si="13"/>
        <v>0</v>
      </c>
      <c r="R537" s="285" t="s">
        <v>5299</v>
      </c>
      <c r="S537" s="15">
        <v>41269</v>
      </c>
      <c r="T537" s="285">
        <v>919</v>
      </c>
    </row>
    <row r="538" spans="1:20" ht="87" customHeight="1" x14ac:dyDescent="0.2">
      <c r="A538" s="289">
        <v>547</v>
      </c>
      <c r="B538" s="289" t="s">
        <v>3427</v>
      </c>
      <c r="C538" s="289"/>
      <c r="D538" s="9" t="s">
        <v>1700</v>
      </c>
      <c r="E538" s="14">
        <v>41244</v>
      </c>
      <c r="F538" s="13" t="s">
        <v>3341</v>
      </c>
      <c r="G538" s="285" t="s">
        <v>7981</v>
      </c>
      <c r="H538" s="285" t="s">
        <v>5127</v>
      </c>
      <c r="I538" s="18"/>
      <c r="J538" s="285" t="s">
        <v>9490</v>
      </c>
      <c r="K538" s="15">
        <v>41364</v>
      </c>
      <c r="L538" s="12" t="s">
        <v>1029</v>
      </c>
      <c r="M538" s="15">
        <v>41244</v>
      </c>
      <c r="N538" s="24">
        <v>3</v>
      </c>
      <c r="O538" s="17">
        <v>17688</v>
      </c>
      <c r="P538" s="17">
        <v>17688</v>
      </c>
      <c r="Q538" s="17">
        <f t="shared" si="13"/>
        <v>0</v>
      </c>
      <c r="R538" s="285" t="s">
        <v>5299</v>
      </c>
      <c r="S538" s="15">
        <v>41244</v>
      </c>
      <c r="T538" s="285">
        <v>186</v>
      </c>
    </row>
    <row r="539" spans="1:20" ht="87" customHeight="1" x14ac:dyDescent="0.2">
      <c r="A539" s="289">
        <v>548</v>
      </c>
      <c r="B539" s="289" t="s">
        <v>3428</v>
      </c>
      <c r="C539" s="289" t="s">
        <v>5274</v>
      </c>
      <c r="D539" s="9" t="s">
        <v>284</v>
      </c>
      <c r="E539" s="14">
        <v>39813</v>
      </c>
      <c r="F539" s="13" t="s">
        <v>3187</v>
      </c>
      <c r="G539" s="285" t="s">
        <v>7981</v>
      </c>
      <c r="H539" s="285" t="s">
        <v>5127</v>
      </c>
      <c r="I539" s="18"/>
      <c r="J539" s="22" t="s">
        <v>9411</v>
      </c>
      <c r="K539" s="15">
        <v>40544</v>
      </c>
      <c r="L539" s="289" t="s">
        <v>1029</v>
      </c>
      <c r="M539" s="15">
        <v>39813</v>
      </c>
      <c r="N539" s="24">
        <v>1</v>
      </c>
      <c r="O539" s="17">
        <v>4100</v>
      </c>
      <c r="P539" s="17">
        <v>4100</v>
      </c>
      <c r="Q539" s="17">
        <f t="shared" si="13"/>
        <v>0</v>
      </c>
      <c r="R539" s="289"/>
      <c r="S539" s="289"/>
      <c r="T539" s="285"/>
    </row>
    <row r="540" spans="1:20" ht="87" customHeight="1" x14ac:dyDescent="0.2">
      <c r="A540" s="289">
        <v>549</v>
      </c>
      <c r="B540" s="289" t="s">
        <v>3429</v>
      </c>
      <c r="C540" s="289" t="s">
        <v>5274</v>
      </c>
      <c r="D540" s="9" t="s">
        <v>2644</v>
      </c>
      <c r="E540" s="14">
        <v>40422</v>
      </c>
      <c r="F540" s="13" t="s">
        <v>2645</v>
      </c>
      <c r="G540" s="285" t="s">
        <v>7981</v>
      </c>
      <c r="H540" s="285" t="s">
        <v>5127</v>
      </c>
      <c r="I540" s="18"/>
      <c r="J540" s="22" t="s">
        <v>9411</v>
      </c>
      <c r="K540" s="15">
        <v>40544</v>
      </c>
      <c r="L540" s="289" t="s">
        <v>1029</v>
      </c>
      <c r="M540" s="15">
        <v>40422</v>
      </c>
      <c r="N540" s="24">
        <v>1</v>
      </c>
      <c r="O540" s="17">
        <v>9149</v>
      </c>
      <c r="P540" s="17">
        <v>9149</v>
      </c>
      <c r="Q540" s="17">
        <f t="shared" si="13"/>
        <v>0</v>
      </c>
      <c r="R540" s="289"/>
      <c r="S540" s="289"/>
      <c r="T540" s="285"/>
    </row>
    <row r="541" spans="1:20" ht="87" customHeight="1" x14ac:dyDescent="0.2">
      <c r="A541" s="289">
        <v>550</v>
      </c>
      <c r="B541" s="289" t="s">
        <v>3430</v>
      </c>
      <c r="C541" s="289" t="s">
        <v>5274</v>
      </c>
      <c r="D541" s="9" t="s">
        <v>2766</v>
      </c>
      <c r="E541" s="14">
        <v>41269</v>
      </c>
      <c r="F541" s="13" t="s">
        <v>4194</v>
      </c>
      <c r="G541" s="285" t="s">
        <v>7981</v>
      </c>
      <c r="H541" s="285" t="s">
        <v>5127</v>
      </c>
      <c r="I541" s="18"/>
      <c r="J541" s="285" t="s">
        <v>9497</v>
      </c>
      <c r="K541" s="285">
        <v>2012</v>
      </c>
      <c r="L541" s="12"/>
      <c r="M541" s="15">
        <v>41269</v>
      </c>
      <c r="N541" s="24">
        <v>2</v>
      </c>
      <c r="O541" s="17">
        <v>9200</v>
      </c>
      <c r="P541" s="17">
        <v>9200</v>
      </c>
      <c r="Q541" s="17">
        <f t="shared" si="13"/>
        <v>0</v>
      </c>
      <c r="R541" s="289"/>
      <c r="S541" s="289"/>
      <c r="T541" s="285"/>
    </row>
    <row r="542" spans="1:20" ht="164.25" customHeight="1" x14ac:dyDescent="0.2">
      <c r="A542" s="289">
        <v>551</v>
      </c>
      <c r="B542" s="289" t="s">
        <v>3431</v>
      </c>
      <c r="C542" s="289"/>
      <c r="D542" s="9" t="s">
        <v>2767</v>
      </c>
      <c r="E542" s="14">
        <v>41435</v>
      </c>
      <c r="F542" s="9" t="s">
        <v>7083</v>
      </c>
      <c r="G542" s="285" t="s">
        <v>7981</v>
      </c>
      <c r="H542" s="285" t="s">
        <v>5127</v>
      </c>
      <c r="I542" s="18"/>
      <c r="J542" s="285" t="s">
        <v>9490</v>
      </c>
      <c r="K542" s="15">
        <v>41639</v>
      </c>
      <c r="L542" s="12" t="s">
        <v>1029</v>
      </c>
      <c r="M542" s="15">
        <v>41435</v>
      </c>
      <c r="N542" s="24">
        <v>14</v>
      </c>
      <c r="O542" s="17">
        <v>74192.31</v>
      </c>
      <c r="P542" s="17">
        <v>74192.31</v>
      </c>
      <c r="Q542" s="17">
        <f t="shared" si="13"/>
        <v>0</v>
      </c>
      <c r="R542" s="285" t="s">
        <v>2770</v>
      </c>
      <c r="S542" s="285" t="s">
        <v>2768</v>
      </c>
      <c r="T542" s="285" t="s">
        <v>2769</v>
      </c>
    </row>
    <row r="543" spans="1:20" ht="87" customHeight="1" x14ac:dyDescent="0.2">
      <c r="A543" s="289">
        <v>552</v>
      </c>
      <c r="B543" s="289" t="s">
        <v>3432</v>
      </c>
      <c r="C543" s="289"/>
      <c r="D543" s="9" t="s">
        <v>3361</v>
      </c>
      <c r="E543" s="14">
        <v>41435</v>
      </c>
      <c r="F543" s="13" t="s">
        <v>699</v>
      </c>
      <c r="G543" s="285" t="s">
        <v>7981</v>
      </c>
      <c r="H543" s="285" t="s">
        <v>5127</v>
      </c>
      <c r="I543" s="18"/>
      <c r="J543" s="285" t="s">
        <v>9490</v>
      </c>
      <c r="K543" s="15">
        <v>41639</v>
      </c>
      <c r="L543" s="12" t="s">
        <v>1029</v>
      </c>
      <c r="M543" s="15">
        <v>41435</v>
      </c>
      <c r="N543" s="24">
        <v>1</v>
      </c>
      <c r="O543" s="17">
        <v>3700</v>
      </c>
      <c r="P543" s="17">
        <v>3700</v>
      </c>
      <c r="Q543" s="17">
        <f t="shared" si="13"/>
        <v>0</v>
      </c>
      <c r="R543" s="285" t="s">
        <v>2770</v>
      </c>
      <c r="S543" s="285" t="s">
        <v>2768</v>
      </c>
      <c r="T543" s="285" t="s">
        <v>2769</v>
      </c>
    </row>
    <row r="544" spans="1:20" ht="87" customHeight="1" x14ac:dyDescent="0.2">
      <c r="A544" s="289">
        <v>553</v>
      </c>
      <c r="B544" s="289" t="s">
        <v>3052</v>
      </c>
      <c r="C544" s="289"/>
      <c r="D544" s="9" t="s">
        <v>3362</v>
      </c>
      <c r="E544" s="14">
        <v>41435</v>
      </c>
      <c r="F544" s="13" t="s">
        <v>6091</v>
      </c>
      <c r="G544" s="285" t="s">
        <v>7981</v>
      </c>
      <c r="H544" s="285" t="s">
        <v>5127</v>
      </c>
      <c r="I544" s="18"/>
      <c r="J544" s="285" t="s">
        <v>9490</v>
      </c>
      <c r="K544" s="15">
        <v>41639</v>
      </c>
      <c r="L544" s="12" t="s">
        <v>1029</v>
      </c>
      <c r="M544" s="15">
        <v>41435</v>
      </c>
      <c r="N544" s="24">
        <v>1</v>
      </c>
      <c r="O544" s="17">
        <v>5500</v>
      </c>
      <c r="P544" s="17">
        <v>5500</v>
      </c>
      <c r="Q544" s="17">
        <f t="shared" si="13"/>
        <v>0</v>
      </c>
      <c r="R544" s="285" t="s">
        <v>2770</v>
      </c>
      <c r="S544" s="285" t="s">
        <v>2768</v>
      </c>
      <c r="T544" s="285" t="s">
        <v>2769</v>
      </c>
    </row>
    <row r="545" spans="1:20" ht="87" customHeight="1" x14ac:dyDescent="0.2">
      <c r="A545" s="289">
        <v>554</v>
      </c>
      <c r="B545" s="289" t="s">
        <v>3053</v>
      </c>
      <c r="C545" s="289" t="s">
        <v>5274</v>
      </c>
      <c r="D545" s="9" t="s">
        <v>2981</v>
      </c>
      <c r="E545" s="14">
        <v>39721</v>
      </c>
      <c r="F545" s="13" t="s">
        <v>6092</v>
      </c>
      <c r="G545" s="285" t="s">
        <v>7981</v>
      </c>
      <c r="H545" s="285" t="s">
        <v>5127</v>
      </c>
      <c r="I545" s="18"/>
      <c r="J545" s="22" t="s">
        <v>9411</v>
      </c>
      <c r="K545" s="15">
        <v>40544</v>
      </c>
      <c r="L545" s="289" t="s">
        <v>1029</v>
      </c>
      <c r="M545" s="15">
        <v>39721</v>
      </c>
      <c r="N545" s="24">
        <v>1</v>
      </c>
      <c r="O545" s="17">
        <v>4001.99</v>
      </c>
      <c r="P545" s="17">
        <v>4001.99</v>
      </c>
      <c r="Q545" s="17">
        <f t="shared" si="13"/>
        <v>0</v>
      </c>
      <c r="R545" s="289"/>
      <c r="S545" s="289"/>
      <c r="T545" s="285"/>
    </row>
    <row r="546" spans="1:20" ht="87" customHeight="1" x14ac:dyDescent="0.2">
      <c r="A546" s="289">
        <v>555</v>
      </c>
      <c r="B546" s="289" t="s">
        <v>3054</v>
      </c>
      <c r="C546" s="289"/>
      <c r="D546" s="9" t="s">
        <v>2982</v>
      </c>
      <c r="E546" s="14">
        <v>38382</v>
      </c>
      <c r="F546" s="13" t="s">
        <v>6093</v>
      </c>
      <c r="G546" s="285" t="s">
        <v>7981</v>
      </c>
      <c r="H546" s="285" t="s">
        <v>5127</v>
      </c>
      <c r="I546" s="18"/>
      <c r="J546" s="22" t="s">
        <v>9411</v>
      </c>
      <c r="K546" s="15">
        <v>40544</v>
      </c>
      <c r="L546" s="289" t="s">
        <v>1029</v>
      </c>
      <c r="M546" s="15">
        <v>38382</v>
      </c>
      <c r="N546" s="24">
        <v>1</v>
      </c>
      <c r="O546" s="17">
        <v>3873.4</v>
      </c>
      <c r="P546" s="17">
        <v>3873.4</v>
      </c>
      <c r="Q546" s="17">
        <f t="shared" si="13"/>
        <v>0</v>
      </c>
      <c r="R546" s="289"/>
      <c r="S546" s="289"/>
      <c r="T546" s="285"/>
    </row>
    <row r="547" spans="1:20" ht="87" customHeight="1" x14ac:dyDescent="0.2">
      <c r="A547" s="289">
        <v>556</v>
      </c>
      <c r="B547" s="289" t="s">
        <v>3055</v>
      </c>
      <c r="C547" s="289" t="s">
        <v>5274</v>
      </c>
      <c r="D547" s="9" t="s">
        <v>3886</v>
      </c>
      <c r="E547" s="14">
        <v>34058</v>
      </c>
      <c r="F547" s="13" t="s">
        <v>7084</v>
      </c>
      <c r="G547" s="285" t="s">
        <v>7981</v>
      </c>
      <c r="H547" s="285" t="s">
        <v>5127</v>
      </c>
      <c r="I547" s="18"/>
      <c r="J547" s="22" t="s">
        <v>9411</v>
      </c>
      <c r="K547" s="15">
        <v>40544</v>
      </c>
      <c r="L547" s="289" t="s">
        <v>1029</v>
      </c>
      <c r="M547" s="15">
        <v>34058</v>
      </c>
      <c r="N547" s="24">
        <v>1</v>
      </c>
      <c r="O547" s="17">
        <v>4370.3999999999996</v>
      </c>
      <c r="P547" s="17">
        <v>4370.3999999999996</v>
      </c>
      <c r="Q547" s="17">
        <f t="shared" si="13"/>
        <v>0</v>
      </c>
      <c r="R547" s="289"/>
      <c r="S547" s="289"/>
      <c r="T547" s="285"/>
    </row>
    <row r="548" spans="1:20" ht="87" customHeight="1" x14ac:dyDescent="0.2">
      <c r="A548" s="289">
        <v>557</v>
      </c>
      <c r="B548" s="289" t="s">
        <v>3056</v>
      </c>
      <c r="C548" s="289" t="s">
        <v>5274</v>
      </c>
      <c r="D548" s="9" t="s">
        <v>3585</v>
      </c>
      <c r="E548" s="14">
        <v>39785</v>
      </c>
      <c r="F548" s="13" t="s">
        <v>3586</v>
      </c>
      <c r="G548" s="285" t="s">
        <v>7981</v>
      </c>
      <c r="H548" s="285" t="s">
        <v>5127</v>
      </c>
      <c r="I548" s="18"/>
      <c r="J548" s="22" t="s">
        <v>9411</v>
      </c>
      <c r="K548" s="15">
        <v>40544</v>
      </c>
      <c r="L548" s="289" t="s">
        <v>1029</v>
      </c>
      <c r="M548" s="15">
        <v>39785</v>
      </c>
      <c r="N548" s="24">
        <v>1</v>
      </c>
      <c r="O548" s="17">
        <v>4100</v>
      </c>
      <c r="P548" s="17">
        <v>4100</v>
      </c>
      <c r="Q548" s="17">
        <f t="shared" si="13"/>
        <v>0</v>
      </c>
      <c r="R548" s="289"/>
      <c r="S548" s="289"/>
      <c r="T548" s="285"/>
    </row>
    <row r="549" spans="1:20" ht="87" customHeight="1" x14ac:dyDescent="0.2">
      <c r="A549" s="289">
        <v>558</v>
      </c>
      <c r="B549" s="289" t="s">
        <v>3057</v>
      </c>
      <c r="C549" s="289" t="s">
        <v>5274</v>
      </c>
      <c r="D549" s="9" t="s">
        <v>1771</v>
      </c>
      <c r="E549" s="14">
        <v>40057</v>
      </c>
      <c r="F549" s="13" t="s">
        <v>1879</v>
      </c>
      <c r="G549" s="285" t="s">
        <v>7981</v>
      </c>
      <c r="H549" s="285" t="s">
        <v>5127</v>
      </c>
      <c r="I549" s="18"/>
      <c r="J549" s="22" t="s">
        <v>9411</v>
      </c>
      <c r="K549" s="15">
        <v>40544</v>
      </c>
      <c r="L549" s="289" t="s">
        <v>1029</v>
      </c>
      <c r="M549" s="15">
        <v>40057</v>
      </c>
      <c r="N549" s="24">
        <v>1</v>
      </c>
      <c r="O549" s="17">
        <v>3810</v>
      </c>
      <c r="P549" s="17">
        <v>3810</v>
      </c>
      <c r="Q549" s="17">
        <f t="shared" si="13"/>
        <v>0</v>
      </c>
      <c r="R549" s="289"/>
      <c r="S549" s="289"/>
      <c r="T549" s="285"/>
    </row>
    <row r="550" spans="1:20" ht="87" customHeight="1" x14ac:dyDescent="0.2">
      <c r="A550" s="289">
        <v>559</v>
      </c>
      <c r="B550" s="289" t="s">
        <v>3058</v>
      </c>
      <c r="C550" s="289" t="s">
        <v>5274</v>
      </c>
      <c r="D550" s="9" t="s">
        <v>3394</v>
      </c>
      <c r="E550" s="14">
        <v>39813</v>
      </c>
      <c r="F550" s="13" t="s">
        <v>4195</v>
      </c>
      <c r="G550" s="285" t="s">
        <v>7981</v>
      </c>
      <c r="H550" s="285" t="s">
        <v>5127</v>
      </c>
      <c r="I550" s="18"/>
      <c r="J550" s="285" t="s">
        <v>5056</v>
      </c>
      <c r="K550" s="285">
        <v>2008</v>
      </c>
      <c r="L550" s="12" t="s">
        <v>1029</v>
      </c>
      <c r="M550" s="15">
        <v>39813</v>
      </c>
      <c r="N550" s="24">
        <v>3</v>
      </c>
      <c r="O550" s="17">
        <v>21900</v>
      </c>
      <c r="P550" s="17">
        <v>21900</v>
      </c>
      <c r="Q550" s="17">
        <f t="shared" si="13"/>
        <v>0</v>
      </c>
      <c r="R550" s="289"/>
      <c r="S550" s="289"/>
      <c r="T550" s="285"/>
    </row>
    <row r="551" spans="1:20" ht="87" customHeight="1" x14ac:dyDescent="0.2">
      <c r="A551" s="289">
        <v>560</v>
      </c>
      <c r="B551" s="289" t="s">
        <v>3059</v>
      </c>
      <c r="C551" s="289" t="s">
        <v>5274</v>
      </c>
      <c r="D551" s="9" t="s">
        <v>2325</v>
      </c>
      <c r="E551" s="14">
        <v>39962</v>
      </c>
      <c r="F551" s="13" t="s">
        <v>1763</v>
      </c>
      <c r="G551" s="285" t="s">
        <v>7981</v>
      </c>
      <c r="H551" s="285" t="s">
        <v>5127</v>
      </c>
      <c r="I551" s="18"/>
      <c r="J551" s="22" t="s">
        <v>9411</v>
      </c>
      <c r="K551" s="15">
        <v>40544</v>
      </c>
      <c r="L551" s="289" t="s">
        <v>1029</v>
      </c>
      <c r="M551" s="15">
        <v>39962</v>
      </c>
      <c r="N551" s="24">
        <v>1</v>
      </c>
      <c r="O551" s="17">
        <v>5080</v>
      </c>
      <c r="P551" s="17">
        <v>5080</v>
      </c>
      <c r="Q551" s="17">
        <f t="shared" si="13"/>
        <v>0</v>
      </c>
      <c r="R551" s="289"/>
      <c r="S551" s="289"/>
      <c r="T551" s="285"/>
    </row>
    <row r="552" spans="1:20" ht="87" customHeight="1" x14ac:dyDescent="0.2">
      <c r="A552" s="289">
        <v>561</v>
      </c>
      <c r="B552" s="289" t="s">
        <v>3060</v>
      </c>
      <c r="C552" s="289" t="s">
        <v>5274</v>
      </c>
      <c r="D552" s="9" t="s">
        <v>3802</v>
      </c>
      <c r="E552" s="14">
        <v>39813</v>
      </c>
      <c r="F552" s="13" t="s">
        <v>7085</v>
      </c>
      <c r="G552" s="285" t="s">
        <v>7981</v>
      </c>
      <c r="H552" s="285" t="s">
        <v>5127</v>
      </c>
      <c r="I552" s="18"/>
      <c r="J552" s="285" t="s">
        <v>5056</v>
      </c>
      <c r="K552" s="285">
        <v>2008</v>
      </c>
      <c r="L552" s="12" t="s">
        <v>1029</v>
      </c>
      <c r="M552" s="15">
        <v>39813</v>
      </c>
      <c r="N552" s="24">
        <v>2</v>
      </c>
      <c r="O552" s="17">
        <v>7100</v>
      </c>
      <c r="P552" s="17">
        <v>7100</v>
      </c>
      <c r="Q552" s="17">
        <f t="shared" si="13"/>
        <v>0</v>
      </c>
      <c r="R552" s="289"/>
      <c r="S552" s="289"/>
      <c r="T552" s="285"/>
    </row>
    <row r="553" spans="1:20" ht="87" customHeight="1" x14ac:dyDescent="0.2">
      <c r="A553" s="289">
        <v>562</v>
      </c>
      <c r="B553" s="289" t="s">
        <v>3061</v>
      </c>
      <c r="C553" s="289" t="s">
        <v>5274</v>
      </c>
      <c r="D553" s="9" t="s">
        <v>1770</v>
      </c>
      <c r="E553" s="14">
        <v>39962</v>
      </c>
      <c r="F553" s="13" t="s">
        <v>1617</v>
      </c>
      <c r="G553" s="285" t="s">
        <v>7981</v>
      </c>
      <c r="H553" s="285" t="s">
        <v>5127</v>
      </c>
      <c r="I553" s="18"/>
      <c r="J553" s="22" t="s">
        <v>9411</v>
      </c>
      <c r="K553" s="15">
        <v>40544</v>
      </c>
      <c r="L553" s="289" t="s">
        <v>1029</v>
      </c>
      <c r="M553" s="15">
        <v>39962</v>
      </c>
      <c r="N553" s="24">
        <v>1</v>
      </c>
      <c r="O553" s="17">
        <v>6220</v>
      </c>
      <c r="P553" s="17">
        <v>6220</v>
      </c>
      <c r="Q553" s="17">
        <f t="shared" si="13"/>
        <v>0</v>
      </c>
      <c r="R553" s="289"/>
      <c r="S553" s="289"/>
      <c r="T553" s="285"/>
    </row>
    <row r="554" spans="1:20" ht="87" customHeight="1" x14ac:dyDescent="0.2">
      <c r="A554" s="289">
        <v>563</v>
      </c>
      <c r="B554" s="289" t="s">
        <v>3062</v>
      </c>
      <c r="C554" s="289" t="s">
        <v>5274</v>
      </c>
      <c r="D554" s="9" t="s">
        <v>3758</v>
      </c>
      <c r="E554" s="14">
        <v>39813</v>
      </c>
      <c r="F554" s="13" t="s">
        <v>2720</v>
      </c>
      <c r="G554" s="285" t="s">
        <v>7981</v>
      </c>
      <c r="H554" s="285" t="s">
        <v>5127</v>
      </c>
      <c r="I554" s="18"/>
      <c r="J554" s="22" t="s">
        <v>9411</v>
      </c>
      <c r="K554" s="15">
        <v>40544</v>
      </c>
      <c r="L554" s="289" t="s">
        <v>1029</v>
      </c>
      <c r="M554" s="15">
        <v>39813</v>
      </c>
      <c r="N554" s="24">
        <v>2</v>
      </c>
      <c r="O554" s="17">
        <v>10000</v>
      </c>
      <c r="P554" s="17">
        <v>10000</v>
      </c>
      <c r="Q554" s="17">
        <f t="shared" si="13"/>
        <v>0</v>
      </c>
      <c r="R554" s="289"/>
      <c r="S554" s="289"/>
      <c r="T554" s="285"/>
    </row>
    <row r="555" spans="1:20" ht="87" customHeight="1" x14ac:dyDescent="0.2">
      <c r="A555" s="289">
        <v>564</v>
      </c>
      <c r="B555" s="289" t="s">
        <v>3063</v>
      </c>
      <c r="C555" s="289" t="s">
        <v>5274</v>
      </c>
      <c r="D555" s="9" t="s">
        <v>5717</v>
      </c>
      <c r="E555" s="14">
        <v>39446</v>
      </c>
      <c r="F555" s="13" t="s">
        <v>527</v>
      </c>
      <c r="G555" s="285" t="s">
        <v>7981</v>
      </c>
      <c r="H555" s="285" t="s">
        <v>5127</v>
      </c>
      <c r="I555" s="18"/>
      <c r="J555" s="22" t="s">
        <v>9411</v>
      </c>
      <c r="K555" s="15">
        <v>40544</v>
      </c>
      <c r="L555" s="289" t="s">
        <v>1029</v>
      </c>
      <c r="M555" s="15">
        <v>39446</v>
      </c>
      <c r="N555" s="24">
        <v>3</v>
      </c>
      <c r="O555" s="17">
        <v>20000</v>
      </c>
      <c r="P555" s="17">
        <v>20000</v>
      </c>
      <c r="Q555" s="17">
        <f t="shared" si="13"/>
        <v>0</v>
      </c>
      <c r="R555" s="289"/>
      <c r="S555" s="289"/>
      <c r="T555" s="285"/>
    </row>
    <row r="556" spans="1:20" ht="87" customHeight="1" x14ac:dyDescent="0.2">
      <c r="A556" s="289">
        <v>565</v>
      </c>
      <c r="B556" s="289" t="s">
        <v>3064</v>
      </c>
      <c r="C556" s="289" t="s">
        <v>5274</v>
      </c>
      <c r="D556" s="9" t="s">
        <v>5991</v>
      </c>
      <c r="E556" s="14">
        <v>39721</v>
      </c>
      <c r="F556" s="13" t="s">
        <v>528</v>
      </c>
      <c r="G556" s="285" t="s">
        <v>7981</v>
      </c>
      <c r="H556" s="285" t="s">
        <v>5127</v>
      </c>
      <c r="I556" s="18"/>
      <c r="J556" s="22" t="s">
        <v>9411</v>
      </c>
      <c r="K556" s="15">
        <v>40544</v>
      </c>
      <c r="L556" s="289" t="s">
        <v>1029</v>
      </c>
      <c r="M556" s="15">
        <v>39721</v>
      </c>
      <c r="N556" s="24">
        <v>1</v>
      </c>
      <c r="O556" s="17">
        <v>3700</v>
      </c>
      <c r="P556" s="17">
        <v>3700</v>
      </c>
      <c r="Q556" s="17">
        <f t="shared" si="13"/>
        <v>0</v>
      </c>
      <c r="R556" s="289"/>
      <c r="S556" s="289"/>
      <c r="T556" s="285"/>
    </row>
    <row r="557" spans="1:20" ht="87" customHeight="1" x14ac:dyDescent="0.2">
      <c r="A557" s="289">
        <v>566</v>
      </c>
      <c r="B557" s="289" t="s">
        <v>3065</v>
      </c>
      <c r="C557" s="289" t="s">
        <v>5274</v>
      </c>
      <c r="D557" s="9" t="s">
        <v>6148</v>
      </c>
      <c r="E557" s="14">
        <v>39385</v>
      </c>
      <c r="F557" s="13" t="s">
        <v>529</v>
      </c>
      <c r="G557" s="285" t="s">
        <v>7981</v>
      </c>
      <c r="H557" s="285" t="s">
        <v>5127</v>
      </c>
      <c r="I557" s="18"/>
      <c r="J557" s="22" t="s">
        <v>9411</v>
      </c>
      <c r="K557" s="15">
        <v>40544</v>
      </c>
      <c r="L557" s="289" t="s">
        <v>1029</v>
      </c>
      <c r="M557" s="15">
        <v>39385</v>
      </c>
      <c r="N557" s="24">
        <v>2</v>
      </c>
      <c r="O557" s="17">
        <v>7660</v>
      </c>
      <c r="P557" s="17">
        <v>7660</v>
      </c>
      <c r="Q557" s="17">
        <f t="shared" si="13"/>
        <v>0</v>
      </c>
      <c r="R557" s="289"/>
      <c r="S557" s="289"/>
      <c r="T557" s="285"/>
    </row>
    <row r="558" spans="1:20" ht="87" customHeight="1" x14ac:dyDescent="0.2">
      <c r="A558" s="289">
        <v>567</v>
      </c>
      <c r="B558" s="289" t="s">
        <v>3066</v>
      </c>
      <c r="C558" s="289" t="s">
        <v>5274</v>
      </c>
      <c r="D558" s="9" t="s">
        <v>4697</v>
      </c>
      <c r="E558" s="14">
        <v>39385</v>
      </c>
      <c r="F558" s="13" t="s">
        <v>2144</v>
      </c>
      <c r="G558" s="285" t="s">
        <v>7981</v>
      </c>
      <c r="H558" s="285" t="s">
        <v>5127</v>
      </c>
      <c r="I558" s="18"/>
      <c r="J558" s="22" t="s">
        <v>9411</v>
      </c>
      <c r="K558" s="15">
        <v>40544</v>
      </c>
      <c r="L558" s="289" t="s">
        <v>1029</v>
      </c>
      <c r="M558" s="15">
        <v>39385</v>
      </c>
      <c r="N558" s="24">
        <v>1</v>
      </c>
      <c r="O558" s="17">
        <v>5639</v>
      </c>
      <c r="P558" s="17">
        <v>5639</v>
      </c>
      <c r="Q558" s="17">
        <f t="shared" si="13"/>
        <v>0</v>
      </c>
      <c r="R558" s="289"/>
      <c r="S558" s="289"/>
      <c r="T558" s="285"/>
    </row>
    <row r="559" spans="1:20" ht="87" customHeight="1" x14ac:dyDescent="0.2">
      <c r="A559" s="289">
        <v>568</v>
      </c>
      <c r="B559" s="289" t="s">
        <v>3067</v>
      </c>
      <c r="C559" s="289" t="s">
        <v>5274</v>
      </c>
      <c r="D559" s="9" t="s">
        <v>9498</v>
      </c>
      <c r="E559" s="14">
        <v>30316</v>
      </c>
      <c r="F559" s="13" t="s">
        <v>2414</v>
      </c>
      <c r="G559" s="285" t="s">
        <v>7981</v>
      </c>
      <c r="H559" s="285" t="s">
        <v>5127</v>
      </c>
      <c r="I559" s="18"/>
      <c r="J559" s="22" t="s">
        <v>9411</v>
      </c>
      <c r="K559" s="15">
        <v>40544</v>
      </c>
      <c r="L559" s="289" t="s">
        <v>1029</v>
      </c>
      <c r="M559" s="15">
        <v>30316</v>
      </c>
      <c r="N559" s="24">
        <v>1</v>
      </c>
      <c r="O559" s="17">
        <v>7609.8</v>
      </c>
      <c r="P559" s="17">
        <v>7609.8</v>
      </c>
      <c r="Q559" s="17">
        <f t="shared" si="13"/>
        <v>0</v>
      </c>
      <c r="R559" s="289"/>
      <c r="S559" s="289"/>
      <c r="T559" s="285"/>
    </row>
    <row r="560" spans="1:20" ht="87" customHeight="1" x14ac:dyDescent="0.2">
      <c r="A560" s="289">
        <v>569</v>
      </c>
      <c r="B560" s="289" t="s">
        <v>3068</v>
      </c>
      <c r="C560" s="289" t="s">
        <v>5274</v>
      </c>
      <c r="D560" s="9" t="s">
        <v>9499</v>
      </c>
      <c r="E560" s="14">
        <v>39227</v>
      </c>
      <c r="F560" s="13" t="s">
        <v>2415</v>
      </c>
      <c r="G560" s="285" t="s">
        <v>7981</v>
      </c>
      <c r="H560" s="285" t="s">
        <v>5127</v>
      </c>
      <c r="I560" s="18"/>
      <c r="J560" s="22" t="s">
        <v>9411</v>
      </c>
      <c r="K560" s="15">
        <v>40544</v>
      </c>
      <c r="L560" s="289" t="s">
        <v>1029</v>
      </c>
      <c r="M560" s="15">
        <v>39227</v>
      </c>
      <c r="N560" s="24">
        <v>1</v>
      </c>
      <c r="O560" s="17">
        <v>6500</v>
      </c>
      <c r="P560" s="17">
        <v>6500</v>
      </c>
      <c r="Q560" s="17">
        <f t="shared" si="13"/>
        <v>0</v>
      </c>
      <c r="R560" s="289"/>
      <c r="S560" s="289"/>
      <c r="T560" s="285"/>
    </row>
    <row r="561" spans="1:20" ht="21" customHeight="1" x14ac:dyDescent="0.2">
      <c r="A561" s="289">
        <v>570</v>
      </c>
      <c r="B561" s="289" t="s">
        <v>3069</v>
      </c>
      <c r="C561" s="289" t="s">
        <v>5274</v>
      </c>
      <c r="D561" s="9" t="s">
        <v>2647</v>
      </c>
      <c r="E561" s="14">
        <v>33358</v>
      </c>
      <c r="F561" s="13" t="s">
        <v>4586</v>
      </c>
      <c r="G561" s="285" t="s">
        <v>7981</v>
      </c>
      <c r="H561" s="285" t="s">
        <v>5127</v>
      </c>
      <c r="I561" s="18"/>
      <c r="J561" s="22" t="s">
        <v>9411</v>
      </c>
      <c r="K561" s="15">
        <v>40544</v>
      </c>
      <c r="L561" s="289" t="s">
        <v>1029</v>
      </c>
      <c r="M561" s="15">
        <v>33358</v>
      </c>
      <c r="N561" s="24">
        <v>1</v>
      </c>
      <c r="O561" s="17">
        <v>7570.47</v>
      </c>
      <c r="P561" s="17">
        <v>7570.47</v>
      </c>
      <c r="Q561" s="17">
        <f t="shared" ref="Q561:Q592" si="14">O561-P561</f>
        <v>0</v>
      </c>
      <c r="R561" s="289"/>
      <c r="S561" s="289"/>
      <c r="T561" s="285"/>
    </row>
    <row r="562" spans="1:20" ht="21" customHeight="1" x14ac:dyDescent="0.2">
      <c r="A562" s="289">
        <v>571</v>
      </c>
      <c r="B562" s="289" t="s">
        <v>3070</v>
      </c>
      <c r="C562" s="289" t="s">
        <v>5274</v>
      </c>
      <c r="D562" s="9" t="s">
        <v>6098</v>
      </c>
      <c r="E562" s="14">
        <v>40057</v>
      </c>
      <c r="F562" s="13" t="s">
        <v>814</v>
      </c>
      <c r="G562" s="285" t="s">
        <v>7981</v>
      </c>
      <c r="H562" s="285" t="s">
        <v>5127</v>
      </c>
      <c r="I562" s="18"/>
      <c r="J562" s="22" t="s">
        <v>9411</v>
      </c>
      <c r="K562" s="15">
        <v>40544</v>
      </c>
      <c r="L562" s="289" t="s">
        <v>1029</v>
      </c>
      <c r="M562" s="15">
        <v>40057</v>
      </c>
      <c r="N562" s="24">
        <v>2</v>
      </c>
      <c r="O562" s="17">
        <v>10000</v>
      </c>
      <c r="P562" s="17">
        <v>10000</v>
      </c>
      <c r="Q562" s="17">
        <f t="shared" si="14"/>
        <v>0</v>
      </c>
      <c r="R562" s="289"/>
      <c r="S562" s="289"/>
      <c r="T562" s="285"/>
    </row>
    <row r="563" spans="1:20" ht="31.5" customHeight="1" x14ac:dyDescent="0.2">
      <c r="A563" s="289">
        <v>572</v>
      </c>
      <c r="B563" s="289" t="s">
        <v>6003</v>
      </c>
      <c r="C563" s="289" t="s">
        <v>5274</v>
      </c>
      <c r="D563" s="9" t="s">
        <v>1947</v>
      </c>
      <c r="E563" s="14">
        <v>39713</v>
      </c>
      <c r="F563" s="13" t="s">
        <v>7086</v>
      </c>
      <c r="G563" s="285" t="s">
        <v>7981</v>
      </c>
      <c r="H563" s="285" t="s">
        <v>5127</v>
      </c>
      <c r="I563" s="18"/>
      <c r="J563" s="22" t="s">
        <v>9411</v>
      </c>
      <c r="K563" s="15">
        <v>40544</v>
      </c>
      <c r="L563" s="289" t="s">
        <v>1029</v>
      </c>
      <c r="M563" s="15">
        <v>39713</v>
      </c>
      <c r="N563" s="24">
        <v>15</v>
      </c>
      <c r="O563" s="17">
        <v>89089.18</v>
      </c>
      <c r="P563" s="17">
        <v>89089.18</v>
      </c>
      <c r="Q563" s="17">
        <f t="shared" si="14"/>
        <v>0</v>
      </c>
      <c r="R563" s="289"/>
      <c r="S563" s="289"/>
      <c r="T563" s="285"/>
    </row>
    <row r="564" spans="1:20" ht="21" customHeight="1" x14ac:dyDescent="0.2">
      <c r="A564" s="289">
        <v>573</v>
      </c>
      <c r="B564" s="289" t="s">
        <v>6004</v>
      </c>
      <c r="C564" s="289" t="s">
        <v>5274</v>
      </c>
      <c r="D564" s="9" t="s">
        <v>3886</v>
      </c>
      <c r="E564" s="14">
        <v>34058</v>
      </c>
      <c r="F564" s="13" t="s">
        <v>4587</v>
      </c>
      <c r="G564" s="285" t="s">
        <v>7981</v>
      </c>
      <c r="H564" s="285" t="s">
        <v>5127</v>
      </c>
      <c r="I564" s="18"/>
      <c r="J564" s="22" t="s">
        <v>9411</v>
      </c>
      <c r="K564" s="15">
        <v>40544</v>
      </c>
      <c r="L564" s="289" t="s">
        <v>1029</v>
      </c>
      <c r="M564" s="15">
        <v>34058</v>
      </c>
      <c r="N564" s="24">
        <v>1</v>
      </c>
      <c r="O564" s="17">
        <v>3846.83</v>
      </c>
      <c r="P564" s="17">
        <v>3846.83</v>
      </c>
      <c r="Q564" s="17">
        <f t="shared" si="14"/>
        <v>0</v>
      </c>
      <c r="R564" s="289"/>
      <c r="S564" s="289"/>
      <c r="T564" s="285"/>
    </row>
    <row r="565" spans="1:20" ht="21" customHeight="1" x14ac:dyDescent="0.2">
      <c r="A565" s="289">
        <v>574</v>
      </c>
      <c r="B565" s="289" t="s">
        <v>5513</v>
      </c>
      <c r="C565" s="289" t="s">
        <v>5274</v>
      </c>
      <c r="D565" s="9" t="s">
        <v>3709</v>
      </c>
      <c r="E565" s="14">
        <v>40827</v>
      </c>
      <c r="F565" s="13" t="s">
        <v>6157</v>
      </c>
      <c r="G565" s="285" t="s">
        <v>7981</v>
      </c>
      <c r="H565" s="285" t="s">
        <v>5127</v>
      </c>
      <c r="I565" s="18"/>
      <c r="J565" s="285" t="s">
        <v>9490</v>
      </c>
      <c r="K565" s="15">
        <v>40908</v>
      </c>
      <c r="L565" s="12" t="s">
        <v>1029</v>
      </c>
      <c r="M565" s="15">
        <v>40827</v>
      </c>
      <c r="N565" s="24">
        <v>1</v>
      </c>
      <c r="O565" s="17">
        <v>6000</v>
      </c>
      <c r="P565" s="17">
        <v>6000</v>
      </c>
      <c r="Q565" s="17">
        <f t="shared" si="14"/>
        <v>0</v>
      </c>
      <c r="R565" s="285" t="s">
        <v>5299</v>
      </c>
      <c r="S565" s="15">
        <v>40827</v>
      </c>
      <c r="T565" s="285">
        <v>573</v>
      </c>
    </row>
    <row r="566" spans="1:20" ht="21" customHeight="1" x14ac:dyDescent="0.2">
      <c r="A566" s="289">
        <v>575</v>
      </c>
      <c r="B566" s="289" t="s">
        <v>5514</v>
      </c>
      <c r="C566" s="289" t="s">
        <v>5274</v>
      </c>
      <c r="D566" s="9" t="s">
        <v>4797</v>
      </c>
      <c r="E566" s="14">
        <v>40178</v>
      </c>
      <c r="F566" s="13" t="s">
        <v>5084</v>
      </c>
      <c r="G566" s="285" t="s">
        <v>7981</v>
      </c>
      <c r="H566" s="285" t="s">
        <v>5127</v>
      </c>
      <c r="I566" s="18"/>
      <c r="J566" s="22" t="s">
        <v>9411</v>
      </c>
      <c r="K566" s="15">
        <v>40544</v>
      </c>
      <c r="L566" s="289" t="s">
        <v>1029</v>
      </c>
      <c r="M566" s="15">
        <v>40178</v>
      </c>
      <c r="N566" s="24">
        <v>1</v>
      </c>
      <c r="O566" s="17">
        <v>3500</v>
      </c>
      <c r="P566" s="17">
        <v>3500</v>
      </c>
      <c r="Q566" s="17">
        <f t="shared" si="14"/>
        <v>0</v>
      </c>
      <c r="R566" s="285" t="s">
        <v>5083</v>
      </c>
      <c r="S566" s="15">
        <v>40148</v>
      </c>
      <c r="T566" s="285">
        <v>1974</v>
      </c>
    </row>
    <row r="567" spans="1:20" ht="31.5" customHeight="1" x14ac:dyDescent="0.2">
      <c r="A567" s="289">
        <v>576</v>
      </c>
      <c r="B567" s="289" t="s">
        <v>5515</v>
      </c>
      <c r="C567" s="289" t="s">
        <v>5274</v>
      </c>
      <c r="D567" s="9" t="s">
        <v>958</v>
      </c>
      <c r="E567" s="14">
        <v>40178</v>
      </c>
      <c r="F567" s="13" t="s">
        <v>5085</v>
      </c>
      <c r="G567" s="285" t="s">
        <v>7981</v>
      </c>
      <c r="H567" s="285" t="s">
        <v>5127</v>
      </c>
      <c r="I567" s="18"/>
      <c r="J567" s="22" t="s">
        <v>9411</v>
      </c>
      <c r="K567" s="15">
        <v>40544</v>
      </c>
      <c r="L567" s="289" t="s">
        <v>1029</v>
      </c>
      <c r="M567" s="15">
        <v>40178</v>
      </c>
      <c r="N567" s="24">
        <v>1</v>
      </c>
      <c r="O567" s="17">
        <v>3660</v>
      </c>
      <c r="P567" s="17">
        <v>3660</v>
      </c>
      <c r="Q567" s="17">
        <f t="shared" si="14"/>
        <v>0</v>
      </c>
      <c r="R567" s="285" t="s">
        <v>5083</v>
      </c>
      <c r="S567" s="15">
        <v>40148</v>
      </c>
      <c r="T567" s="285">
        <v>1974</v>
      </c>
    </row>
    <row r="568" spans="1:20" ht="21" customHeight="1" x14ac:dyDescent="0.2">
      <c r="A568" s="289">
        <v>577</v>
      </c>
      <c r="B568" s="289" t="s">
        <v>5516</v>
      </c>
      <c r="C568" s="289" t="s">
        <v>5274</v>
      </c>
      <c r="D568" s="9" t="s">
        <v>959</v>
      </c>
      <c r="E568" s="14">
        <v>40148</v>
      </c>
      <c r="F568" s="13" t="s">
        <v>5086</v>
      </c>
      <c r="G568" s="285" t="s">
        <v>7981</v>
      </c>
      <c r="H568" s="285" t="s">
        <v>5127</v>
      </c>
      <c r="I568" s="18"/>
      <c r="J568" s="285" t="s">
        <v>9473</v>
      </c>
      <c r="K568" s="15">
        <v>40148</v>
      </c>
      <c r="L568" s="12" t="s">
        <v>9474</v>
      </c>
      <c r="M568" s="15">
        <v>40148</v>
      </c>
      <c r="N568" s="24">
        <v>1</v>
      </c>
      <c r="O568" s="17">
        <v>3980</v>
      </c>
      <c r="P568" s="17">
        <v>3980</v>
      </c>
      <c r="Q568" s="17">
        <f t="shared" si="14"/>
        <v>0</v>
      </c>
      <c r="R568" s="285" t="s">
        <v>5083</v>
      </c>
      <c r="S568" s="15">
        <v>40148</v>
      </c>
      <c r="T568" s="285">
        <v>1974</v>
      </c>
    </row>
    <row r="569" spans="1:20" ht="21" customHeight="1" x14ac:dyDescent="0.2">
      <c r="A569" s="289">
        <v>578</v>
      </c>
      <c r="B569" s="289" t="s">
        <v>5517</v>
      </c>
      <c r="C569" s="289" t="s">
        <v>5274</v>
      </c>
      <c r="D569" s="9" t="s">
        <v>1292</v>
      </c>
      <c r="E569" s="14">
        <v>40555</v>
      </c>
      <c r="F569" s="13" t="s">
        <v>1293</v>
      </c>
      <c r="G569" s="285" t="s">
        <v>7981</v>
      </c>
      <c r="H569" s="285" t="s">
        <v>5127</v>
      </c>
      <c r="I569" s="18"/>
      <c r="J569" s="285" t="s">
        <v>9490</v>
      </c>
      <c r="K569" s="15">
        <v>41364</v>
      </c>
      <c r="L569" s="12" t="s">
        <v>1029</v>
      </c>
      <c r="M569" s="15">
        <v>40555</v>
      </c>
      <c r="N569" s="24">
        <v>1</v>
      </c>
      <c r="O569" s="17">
        <v>3980</v>
      </c>
      <c r="P569" s="17">
        <v>3980</v>
      </c>
      <c r="Q569" s="17">
        <f t="shared" si="14"/>
        <v>0</v>
      </c>
      <c r="R569" s="285" t="s">
        <v>5299</v>
      </c>
      <c r="S569" s="15">
        <v>40555</v>
      </c>
      <c r="T569" s="285">
        <v>278</v>
      </c>
    </row>
    <row r="570" spans="1:20" ht="21" customHeight="1" x14ac:dyDescent="0.2">
      <c r="A570" s="289">
        <v>579</v>
      </c>
      <c r="B570" s="289" t="s">
        <v>5518</v>
      </c>
      <c r="C570" s="289"/>
      <c r="D570" s="9" t="s">
        <v>5232</v>
      </c>
      <c r="E570" s="14">
        <v>41181</v>
      </c>
      <c r="F570" s="13" t="s">
        <v>2464</v>
      </c>
      <c r="G570" s="285" t="s">
        <v>7934</v>
      </c>
      <c r="H570" s="285" t="s">
        <v>5127</v>
      </c>
      <c r="I570" s="18"/>
      <c r="J570" s="285" t="s">
        <v>3136</v>
      </c>
      <c r="K570" s="15">
        <v>42453</v>
      </c>
      <c r="L570" s="12" t="s">
        <v>590</v>
      </c>
      <c r="M570" s="15">
        <v>41181</v>
      </c>
      <c r="N570" s="24">
        <v>2</v>
      </c>
      <c r="O570" s="17">
        <v>8268</v>
      </c>
      <c r="P570" s="17">
        <v>8268</v>
      </c>
      <c r="Q570" s="17">
        <f t="shared" si="14"/>
        <v>0</v>
      </c>
      <c r="R570" s="289"/>
      <c r="S570" s="289"/>
      <c r="T570" s="285"/>
    </row>
    <row r="571" spans="1:20" ht="21" customHeight="1" x14ac:dyDescent="0.2">
      <c r="A571" s="289">
        <v>580</v>
      </c>
      <c r="B571" s="289" t="s">
        <v>5519</v>
      </c>
      <c r="C571" s="289"/>
      <c r="D571" s="9" t="s">
        <v>2149</v>
      </c>
      <c r="E571" s="14">
        <v>41170</v>
      </c>
      <c r="F571" s="13" t="s">
        <v>2150</v>
      </c>
      <c r="G571" s="285" t="s">
        <v>7981</v>
      </c>
      <c r="H571" s="285" t="s">
        <v>5127</v>
      </c>
      <c r="I571" s="18"/>
      <c r="J571" s="285" t="s">
        <v>9490</v>
      </c>
      <c r="K571" s="15">
        <v>41182</v>
      </c>
      <c r="L571" s="12" t="s">
        <v>1029</v>
      </c>
      <c r="M571" s="15">
        <v>41170</v>
      </c>
      <c r="N571" s="24">
        <v>1</v>
      </c>
      <c r="O571" s="17">
        <v>7739</v>
      </c>
      <c r="P571" s="17">
        <v>7739</v>
      </c>
      <c r="Q571" s="17">
        <f t="shared" si="14"/>
        <v>0</v>
      </c>
      <c r="R571" s="285" t="s">
        <v>5299</v>
      </c>
      <c r="S571" s="15">
        <v>41170</v>
      </c>
      <c r="T571" s="285">
        <v>185</v>
      </c>
    </row>
    <row r="572" spans="1:20" ht="21" customHeight="1" x14ac:dyDescent="0.2">
      <c r="A572" s="289">
        <v>581</v>
      </c>
      <c r="B572" s="289" t="s">
        <v>5520</v>
      </c>
      <c r="C572" s="289"/>
      <c r="D572" s="9" t="s">
        <v>4641</v>
      </c>
      <c r="E572" s="14">
        <v>41214</v>
      </c>
      <c r="F572" s="13" t="s">
        <v>920</v>
      </c>
      <c r="G572" s="285" t="s">
        <v>7981</v>
      </c>
      <c r="H572" s="285" t="s">
        <v>5127</v>
      </c>
      <c r="I572" s="18"/>
      <c r="J572" s="285" t="s">
        <v>9490</v>
      </c>
      <c r="K572" s="15">
        <v>41364</v>
      </c>
      <c r="L572" s="12" t="s">
        <v>1029</v>
      </c>
      <c r="M572" s="15">
        <v>41214</v>
      </c>
      <c r="N572" s="24">
        <v>2</v>
      </c>
      <c r="O572" s="17">
        <v>10000</v>
      </c>
      <c r="P572" s="17">
        <v>10000</v>
      </c>
      <c r="Q572" s="17">
        <f t="shared" si="14"/>
        <v>0</v>
      </c>
      <c r="R572" s="285" t="s">
        <v>5299</v>
      </c>
      <c r="S572" s="15">
        <v>41214</v>
      </c>
      <c r="T572" s="285">
        <v>11</v>
      </c>
    </row>
    <row r="573" spans="1:20" ht="21" customHeight="1" x14ac:dyDescent="0.2">
      <c r="A573" s="289">
        <v>582</v>
      </c>
      <c r="B573" s="289" t="s">
        <v>4588</v>
      </c>
      <c r="C573" s="289"/>
      <c r="D573" s="9" t="s">
        <v>4641</v>
      </c>
      <c r="E573" s="14">
        <v>41214</v>
      </c>
      <c r="F573" s="13" t="s">
        <v>5842</v>
      </c>
      <c r="G573" s="285" t="s">
        <v>7981</v>
      </c>
      <c r="H573" s="285" t="s">
        <v>5127</v>
      </c>
      <c r="I573" s="18"/>
      <c r="J573" s="285" t="s">
        <v>9490</v>
      </c>
      <c r="K573" s="15">
        <v>41364</v>
      </c>
      <c r="L573" s="12" t="s">
        <v>1029</v>
      </c>
      <c r="M573" s="15">
        <v>41214</v>
      </c>
      <c r="N573" s="24">
        <v>1</v>
      </c>
      <c r="O573" s="17">
        <v>7000</v>
      </c>
      <c r="P573" s="17">
        <v>7000</v>
      </c>
      <c r="Q573" s="17">
        <f t="shared" si="14"/>
        <v>0</v>
      </c>
      <c r="R573" s="285" t="s">
        <v>5299</v>
      </c>
      <c r="S573" s="15">
        <v>41214</v>
      </c>
      <c r="T573" s="285">
        <v>11</v>
      </c>
    </row>
    <row r="574" spans="1:20" ht="21" customHeight="1" x14ac:dyDescent="0.2">
      <c r="A574" s="289">
        <v>583</v>
      </c>
      <c r="B574" s="289" t="s">
        <v>4589</v>
      </c>
      <c r="C574" s="289"/>
      <c r="D574" s="9" t="s">
        <v>2717</v>
      </c>
      <c r="E574" s="14">
        <v>41170</v>
      </c>
      <c r="F574" s="13" t="s">
        <v>2151</v>
      </c>
      <c r="G574" s="285" t="s">
        <v>7981</v>
      </c>
      <c r="H574" s="285" t="s">
        <v>5127</v>
      </c>
      <c r="I574" s="18"/>
      <c r="J574" s="285" t="s">
        <v>9490</v>
      </c>
      <c r="K574" s="15">
        <v>41182</v>
      </c>
      <c r="L574" s="12" t="s">
        <v>1029</v>
      </c>
      <c r="M574" s="15">
        <v>41170</v>
      </c>
      <c r="N574" s="24">
        <v>4</v>
      </c>
      <c r="O574" s="17">
        <v>14840</v>
      </c>
      <c r="P574" s="17">
        <v>14840</v>
      </c>
      <c r="Q574" s="17">
        <f t="shared" si="14"/>
        <v>0</v>
      </c>
      <c r="R574" s="285" t="s">
        <v>5299</v>
      </c>
      <c r="S574" s="15">
        <v>41170</v>
      </c>
      <c r="T574" s="285">
        <v>185</v>
      </c>
    </row>
    <row r="575" spans="1:20" ht="108.75" customHeight="1" x14ac:dyDescent="0.2">
      <c r="A575" s="289">
        <v>584</v>
      </c>
      <c r="B575" s="289" t="s">
        <v>1368</v>
      </c>
      <c r="C575" s="289" t="s">
        <v>6487</v>
      </c>
      <c r="D575" s="9" t="s">
        <v>2294</v>
      </c>
      <c r="E575" s="285">
        <v>2015</v>
      </c>
      <c r="F575" s="13"/>
      <c r="G575" s="285" t="s">
        <v>7981</v>
      </c>
      <c r="H575" s="285" t="s">
        <v>5127</v>
      </c>
      <c r="I575" s="18"/>
      <c r="J575" s="285" t="s">
        <v>4020</v>
      </c>
      <c r="K575" s="14" t="s">
        <v>11962</v>
      </c>
      <c r="L575" s="22" t="s">
        <v>11963</v>
      </c>
      <c r="M575" s="15">
        <v>42359</v>
      </c>
      <c r="N575" s="24"/>
      <c r="O575" s="17">
        <f>1533874.39+112463.71+103861.11+71400+993.83+67783.76+143433.73+35216.24+1574.2+610.42+35751.3-610.42-246.4+108768+6668.52+1216.34+142742.15-230337.9+161.67-92716.55-99870.8+70649.15+83590+133515+806.66+1946+24895.85+474.25+388+496.66+225087.06+219981+1776+15600+75.81+75.81+2305.16+306.15+753+161450.3+288225.94+11940+75.8+83.6+85.71+71.86+252.13+698.4+257.54+271.1+218.75+350.23+12606-73307-123261+85.16+286.14+212.5+85.16+509615.81+71.87+85.19+311.05-402989+40195+581898.9</f>
        <v>3735336</v>
      </c>
      <c r="P575" s="17">
        <f>O575</f>
        <v>3735336</v>
      </c>
      <c r="Q575" s="17">
        <f t="shared" si="14"/>
        <v>0</v>
      </c>
      <c r="R575" s="285" t="s">
        <v>12012</v>
      </c>
      <c r="S575" s="285" t="s">
        <v>12013</v>
      </c>
      <c r="T575" s="285" t="s">
        <v>12014</v>
      </c>
    </row>
    <row r="576" spans="1:20" ht="79.5" customHeight="1" x14ac:dyDescent="0.2">
      <c r="A576" s="289">
        <v>585</v>
      </c>
      <c r="B576" s="30" t="s">
        <v>1369</v>
      </c>
      <c r="C576" s="289"/>
      <c r="D576" s="41" t="s">
        <v>323</v>
      </c>
      <c r="E576" s="53">
        <v>41565</v>
      </c>
      <c r="F576" s="47" t="s">
        <v>4174</v>
      </c>
      <c r="G576" s="285" t="s">
        <v>7981</v>
      </c>
      <c r="H576" s="49" t="s">
        <v>5127</v>
      </c>
      <c r="I576" s="50"/>
      <c r="J576" s="285" t="s">
        <v>9490</v>
      </c>
      <c r="K576" s="15">
        <v>41639</v>
      </c>
      <c r="L576" s="12" t="s">
        <v>1029</v>
      </c>
      <c r="M576" s="51">
        <v>41565</v>
      </c>
      <c r="N576" s="52">
        <v>1</v>
      </c>
      <c r="O576" s="48">
        <v>9104.24</v>
      </c>
      <c r="P576" s="48">
        <v>9104.24</v>
      </c>
      <c r="Q576" s="17">
        <f t="shared" si="14"/>
        <v>0</v>
      </c>
      <c r="R576" s="49" t="s">
        <v>1914</v>
      </c>
      <c r="S576" s="51">
        <v>41565</v>
      </c>
      <c r="T576" s="49">
        <v>1375</v>
      </c>
    </row>
    <row r="577" spans="1:20" ht="34.5" customHeight="1" x14ac:dyDescent="0.2">
      <c r="A577" s="289">
        <v>586</v>
      </c>
      <c r="B577" s="30" t="s">
        <v>3789</v>
      </c>
      <c r="C577" s="289" t="s">
        <v>5274</v>
      </c>
      <c r="D577" s="9" t="s">
        <v>2027</v>
      </c>
      <c r="E577" s="285"/>
      <c r="F577" s="13" t="s">
        <v>417</v>
      </c>
      <c r="G577" s="285" t="s">
        <v>7917</v>
      </c>
      <c r="H577" s="49" t="s">
        <v>5127</v>
      </c>
      <c r="I577" s="18"/>
      <c r="J577" s="285"/>
      <c r="K577" s="289"/>
      <c r="L577" s="12"/>
      <c r="M577" s="16"/>
      <c r="N577" s="17">
        <v>3</v>
      </c>
      <c r="O577" s="17">
        <v>13770</v>
      </c>
      <c r="P577" s="17">
        <v>13770</v>
      </c>
      <c r="Q577" s="17">
        <f t="shared" si="14"/>
        <v>0</v>
      </c>
      <c r="R577" s="289"/>
      <c r="S577" s="289"/>
      <c r="T577" s="285"/>
    </row>
    <row r="578" spans="1:20" ht="30" customHeight="1" x14ac:dyDescent="0.2">
      <c r="A578" s="289">
        <v>587</v>
      </c>
      <c r="B578" s="30" t="s">
        <v>3790</v>
      </c>
      <c r="C578" s="289"/>
      <c r="D578" s="9" t="s">
        <v>1370</v>
      </c>
      <c r="E578" s="285"/>
      <c r="F578" s="13" t="s">
        <v>5427</v>
      </c>
      <c r="G578" s="285" t="s">
        <v>7917</v>
      </c>
      <c r="H578" s="49" t="s">
        <v>5127</v>
      </c>
      <c r="I578" s="18"/>
      <c r="J578" s="285"/>
      <c r="K578" s="289"/>
      <c r="L578" s="12"/>
      <c r="M578" s="16"/>
      <c r="N578" s="17">
        <v>1</v>
      </c>
      <c r="O578" s="17">
        <v>3600</v>
      </c>
      <c r="P578" s="17">
        <v>3600</v>
      </c>
      <c r="Q578" s="17">
        <f t="shared" si="14"/>
        <v>0</v>
      </c>
      <c r="R578" s="289"/>
      <c r="S578" s="289"/>
      <c r="T578" s="285"/>
    </row>
    <row r="579" spans="1:20" ht="29.25" customHeight="1" x14ac:dyDescent="0.2">
      <c r="A579" s="289">
        <v>588</v>
      </c>
      <c r="B579" s="30" t="s">
        <v>3791</v>
      </c>
      <c r="C579" s="289"/>
      <c r="D579" s="9" t="s">
        <v>1371</v>
      </c>
      <c r="E579" s="285"/>
      <c r="F579" s="13" t="s">
        <v>1372</v>
      </c>
      <c r="G579" s="285" t="s">
        <v>7917</v>
      </c>
      <c r="H579" s="49" t="s">
        <v>5127</v>
      </c>
      <c r="I579" s="18"/>
      <c r="J579" s="285"/>
      <c r="K579" s="289"/>
      <c r="L579" s="12"/>
      <c r="M579" s="16"/>
      <c r="N579" s="17">
        <v>1</v>
      </c>
      <c r="O579" s="17">
        <v>3600</v>
      </c>
      <c r="P579" s="17">
        <v>3600</v>
      </c>
      <c r="Q579" s="17">
        <f t="shared" si="14"/>
        <v>0</v>
      </c>
      <c r="R579" s="289"/>
      <c r="S579" s="289"/>
      <c r="T579" s="285"/>
    </row>
    <row r="580" spans="1:20" ht="35.25" customHeight="1" x14ac:dyDescent="0.2">
      <c r="A580" s="289">
        <v>589</v>
      </c>
      <c r="B580" s="30" t="s">
        <v>2399</v>
      </c>
      <c r="C580" s="289"/>
      <c r="D580" s="9" t="s">
        <v>1019</v>
      </c>
      <c r="E580" s="285"/>
      <c r="F580" s="13" t="s">
        <v>1020</v>
      </c>
      <c r="G580" s="285" t="s">
        <v>7917</v>
      </c>
      <c r="H580" s="49" t="s">
        <v>5127</v>
      </c>
      <c r="I580" s="18"/>
      <c r="J580" s="285"/>
      <c r="K580" s="289"/>
      <c r="L580" s="12"/>
      <c r="M580" s="16"/>
      <c r="N580" s="17">
        <v>1</v>
      </c>
      <c r="O580" s="17">
        <v>3600</v>
      </c>
      <c r="P580" s="17">
        <v>3600</v>
      </c>
      <c r="Q580" s="17">
        <f t="shared" si="14"/>
        <v>0</v>
      </c>
      <c r="R580" s="289"/>
      <c r="S580" s="289"/>
      <c r="T580" s="285"/>
    </row>
    <row r="581" spans="1:20" ht="34.5" customHeight="1" x14ac:dyDescent="0.2">
      <c r="A581" s="289">
        <v>590</v>
      </c>
      <c r="B581" s="30" t="s">
        <v>2400</v>
      </c>
      <c r="C581" s="289"/>
      <c r="D581" s="9" t="s">
        <v>6053</v>
      </c>
      <c r="E581" s="285"/>
      <c r="F581" s="13" t="s">
        <v>6872</v>
      </c>
      <c r="G581" s="285" t="s">
        <v>7917</v>
      </c>
      <c r="H581" s="49" t="s">
        <v>5127</v>
      </c>
      <c r="I581" s="18"/>
      <c r="J581" s="285"/>
      <c r="K581" s="289"/>
      <c r="L581" s="12"/>
      <c r="M581" s="16"/>
      <c r="N581" s="17">
        <v>1</v>
      </c>
      <c r="O581" s="17">
        <v>3600</v>
      </c>
      <c r="P581" s="17">
        <v>3600</v>
      </c>
      <c r="Q581" s="17">
        <f t="shared" si="14"/>
        <v>0</v>
      </c>
      <c r="R581" s="289"/>
      <c r="S581" s="289"/>
      <c r="T581" s="285"/>
    </row>
    <row r="582" spans="1:20" ht="38.25" customHeight="1" x14ac:dyDescent="0.2">
      <c r="A582" s="289">
        <v>591</v>
      </c>
      <c r="B582" s="30" t="s">
        <v>4304</v>
      </c>
      <c r="C582" s="289" t="s">
        <v>5274</v>
      </c>
      <c r="D582" s="9" t="s">
        <v>4520</v>
      </c>
      <c r="E582" s="285"/>
      <c r="F582" s="13" t="s">
        <v>6873</v>
      </c>
      <c r="G582" s="285" t="s">
        <v>7917</v>
      </c>
      <c r="H582" s="49" t="s">
        <v>5127</v>
      </c>
      <c r="I582" s="18"/>
      <c r="J582" s="285"/>
      <c r="K582" s="289"/>
      <c r="L582" s="12"/>
      <c r="M582" s="16"/>
      <c r="N582" s="17">
        <v>1</v>
      </c>
      <c r="O582" s="17">
        <v>8460</v>
      </c>
      <c r="P582" s="17">
        <v>8460</v>
      </c>
      <c r="Q582" s="17">
        <f t="shared" si="14"/>
        <v>0</v>
      </c>
      <c r="R582" s="289"/>
      <c r="S582" s="289"/>
      <c r="T582" s="285"/>
    </row>
    <row r="583" spans="1:20" ht="34.5" customHeight="1" x14ac:dyDescent="0.2">
      <c r="A583" s="289">
        <v>592</v>
      </c>
      <c r="B583" s="30" t="s">
        <v>4305</v>
      </c>
      <c r="C583" s="289"/>
      <c r="D583" s="9" t="s">
        <v>1969</v>
      </c>
      <c r="E583" s="285"/>
      <c r="F583" s="13" t="s">
        <v>6055</v>
      </c>
      <c r="G583" s="285" t="s">
        <v>7917</v>
      </c>
      <c r="H583" s="49" t="s">
        <v>5127</v>
      </c>
      <c r="I583" s="18"/>
      <c r="J583" s="285"/>
      <c r="K583" s="289"/>
      <c r="L583" s="12"/>
      <c r="M583" s="16"/>
      <c r="N583" s="17">
        <v>1</v>
      </c>
      <c r="O583" s="17">
        <v>6483</v>
      </c>
      <c r="P583" s="17">
        <v>6483</v>
      </c>
      <c r="Q583" s="17">
        <f t="shared" si="14"/>
        <v>0</v>
      </c>
      <c r="R583" s="289"/>
      <c r="S583" s="289"/>
      <c r="T583" s="285"/>
    </row>
    <row r="584" spans="1:20" ht="33.75" customHeight="1" x14ac:dyDescent="0.2">
      <c r="A584" s="289">
        <v>593</v>
      </c>
      <c r="B584" s="30" t="s">
        <v>4306</v>
      </c>
      <c r="C584" s="289"/>
      <c r="D584" s="9" t="s">
        <v>6874</v>
      </c>
      <c r="E584" s="285"/>
      <c r="F584" s="13" t="s">
        <v>416</v>
      </c>
      <c r="G584" s="285" t="s">
        <v>7917</v>
      </c>
      <c r="H584" s="49" t="s">
        <v>5127</v>
      </c>
      <c r="I584" s="18"/>
      <c r="J584" s="285"/>
      <c r="K584" s="289"/>
      <c r="L584" s="12"/>
      <c r="M584" s="16"/>
      <c r="N584" s="17">
        <v>1</v>
      </c>
      <c r="O584" s="17">
        <v>6229.41</v>
      </c>
      <c r="P584" s="17">
        <v>6229.41</v>
      </c>
      <c r="Q584" s="17">
        <f t="shared" si="14"/>
        <v>0</v>
      </c>
      <c r="R584" s="289"/>
      <c r="S584" s="289"/>
      <c r="T584" s="285"/>
    </row>
    <row r="585" spans="1:20" ht="31.5" customHeight="1" x14ac:dyDescent="0.2">
      <c r="A585" s="289">
        <v>594</v>
      </c>
      <c r="B585" s="30" t="s">
        <v>4307</v>
      </c>
      <c r="C585" s="289" t="s">
        <v>5274</v>
      </c>
      <c r="D585" s="9" t="s">
        <v>1032</v>
      </c>
      <c r="E585" s="285"/>
      <c r="F585" s="13" t="s">
        <v>5609</v>
      </c>
      <c r="G585" s="285" t="s">
        <v>7917</v>
      </c>
      <c r="H585" s="49" t="s">
        <v>5127</v>
      </c>
      <c r="I585" s="18"/>
      <c r="J585" s="285"/>
      <c r="K585" s="289"/>
      <c r="L585" s="12"/>
      <c r="M585" s="16"/>
      <c r="N585" s="17">
        <v>3</v>
      </c>
      <c r="O585" s="17">
        <v>23262</v>
      </c>
      <c r="P585" s="17">
        <v>23262</v>
      </c>
      <c r="Q585" s="17">
        <f t="shared" si="14"/>
        <v>0</v>
      </c>
      <c r="R585" s="289"/>
      <c r="S585" s="289"/>
      <c r="T585" s="285"/>
    </row>
    <row r="586" spans="1:20" ht="31.5" customHeight="1" x14ac:dyDescent="0.2">
      <c r="A586" s="289">
        <v>595</v>
      </c>
      <c r="B586" s="30" t="s">
        <v>4308</v>
      </c>
      <c r="C586" s="289" t="s">
        <v>5274</v>
      </c>
      <c r="D586" s="9" t="s">
        <v>983</v>
      </c>
      <c r="E586" s="285"/>
      <c r="F586" s="13" t="s">
        <v>2952</v>
      </c>
      <c r="G586" s="285" t="s">
        <v>7917</v>
      </c>
      <c r="H586" s="49" t="s">
        <v>5127</v>
      </c>
      <c r="I586" s="18"/>
      <c r="J586" s="285"/>
      <c r="K586" s="289"/>
      <c r="L586" s="12"/>
      <c r="M586" s="16"/>
      <c r="N586" s="17">
        <v>5</v>
      </c>
      <c r="O586" s="17">
        <v>31000</v>
      </c>
      <c r="P586" s="17">
        <v>31000</v>
      </c>
      <c r="Q586" s="17">
        <f t="shared" si="14"/>
        <v>0</v>
      </c>
      <c r="R586" s="289"/>
      <c r="S586" s="289"/>
      <c r="T586" s="285"/>
    </row>
    <row r="587" spans="1:20" ht="36.75" customHeight="1" x14ac:dyDescent="0.2">
      <c r="A587" s="289">
        <v>596</v>
      </c>
      <c r="B587" s="30" t="s">
        <v>4309</v>
      </c>
      <c r="C587" s="289" t="s">
        <v>5274</v>
      </c>
      <c r="D587" s="9" t="s">
        <v>3709</v>
      </c>
      <c r="E587" s="285"/>
      <c r="F587" s="13" t="s">
        <v>2723</v>
      </c>
      <c r="G587" s="285" t="s">
        <v>7917</v>
      </c>
      <c r="H587" s="49" t="s">
        <v>5127</v>
      </c>
      <c r="I587" s="18"/>
      <c r="J587" s="285"/>
      <c r="K587" s="289"/>
      <c r="L587" s="12"/>
      <c r="M587" s="16"/>
      <c r="N587" s="17">
        <v>5</v>
      </c>
      <c r="O587" s="17">
        <v>30000</v>
      </c>
      <c r="P587" s="17">
        <v>30000</v>
      </c>
      <c r="Q587" s="17">
        <f t="shared" si="14"/>
        <v>0</v>
      </c>
      <c r="R587" s="289"/>
      <c r="S587" s="289"/>
      <c r="T587" s="285"/>
    </row>
    <row r="588" spans="1:20" ht="30" customHeight="1" x14ac:dyDescent="0.2">
      <c r="A588" s="289">
        <v>597</v>
      </c>
      <c r="B588" s="30" t="s">
        <v>4310</v>
      </c>
      <c r="C588" s="289" t="s">
        <v>5274</v>
      </c>
      <c r="D588" s="9" t="s">
        <v>44</v>
      </c>
      <c r="E588" s="285"/>
      <c r="F588" s="13" t="s">
        <v>5012</v>
      </c>
      <c r="G588" s="285" t="s">
        <v>7917</v>
      </c>
      <c r="H588" s="49" t="s">
        <v>5127</v>
      </c>
      <c r="I588" s="18"/>
      <c r="J588" s="285"/>
      <c r="K588" s="289"/>
      <c r="L588" s="12"/>
      <c r="M588" s="16"/>
      <c r="N588" s="17">
        <v>25</v>
      </c>
      <c r="O588" s="17">
        <v>76500</v>
      </c>
      <c r="P588" s="17">
        <v>76500</v>
      </c>
      <c r="Q588" s="17">
        <f t="shared" si="14"/>
        <v>0</v>
      </c>
      <c r="R588" s="289"/>
      <c r="S588" s="289"/>
      <c r="T588" s="285"/>
    </row>
    <row r="589" spans="1:20" ht="34.5" customHeight="1" x14ac:dyDescent="0.2">
      <c r="A589" s="289">
        <v>598</v>
      </c>
      <c r="B589" s="30" t="s">
        <v>4311</v>
      </c>
      <c r="C589" s="289"/>
      <c r="D589" s="9" t="s">
        <v>6324</v>
      </c>
      <c r="E589" s="285"/>
      <c r="F589" s="13" t="s">
        <v>5013</v>
      </c>
      <c r="G589" s="285" t="s">
        <v>7917</v>
      </c>
      <c r="H589" s="49" t="s">
        <v>5127</v>
      </c>
      <c r="I589" s="18"/>
      <c r="J589" s="285"/>
      <c r="K589" s="289"/>
      <c r="L589" s="12"/>
      <c r="M589" s="16"/>
      <c r="N589" s="17">
        <v>1</v>
      </c>
      <c r="O589" s="17">
        <v>3393</v>
      </c>
      <c r="P589" s="17">
        <v>3393</v>
      </c>
      <c r="Q589" s="17">
        <f t="shared" si="14"/>
        <v>0</v>
      </c>
      <c r="R589" s="289"/>
      <c r="S589" s="289"/>
      <c r="T589" s="285"/>
    </row>
    <row r="590" spans="1:20" ht="33" customHeight="1" x14ac:dyDescent="0.2">
      <c r="A590" s="289">
        <v>599</v>
      </c>
      <c r="B590" s="30" t="s">
        <v>4312</v>
      </c>
      <c r="C590" s="289" t="s">
        <v>5274</v>
      </c>
      <c r="D590" s="9" t="s">
        <v>3876</v>
      </c>
      <c r="E590" s="285"/>
      <c r="F590" s="13" t="s">
        <v>5014</v>
      </c>
      <c r="G590" s="285" t="s">
        <v>7917</v>
      </c>
      <c r="H590" s="49" t="s">
        <v>5127</v>
      </c>
      <c r="I590" s="18"/>
      <c r="J590" s="285"/>
      <c r="K590" s="289"/>
      <c r="L590" s="12"/>
      <c r="M590" s="16"/>
      <c r="N590" s="17">
        <v>5</v>
      </c>
      <c r="O590" s="17">
        <v>15300</v>
      </c>
      <c r="P590" s="17">
        <v>15300</v>
      </c>
      <c r="Q590" s="17">
        <f t="shared" si="14"/>
        <v>0</v>
      </c>
      <c r="R590" s="289"/>
      <c r="S590" s="289"/>
      <c r="T590" s="285"/>
    </row>
    <row r="591" spans="1:20" ht="34.5" customHeight="1" x14ac:dyDescent="0.2">
      <c r="A591" s="289">
        <v>600</v>
      </c>
      <c r="B591" s="30" t="s">
        <v>1072</v>
      </c>
      <c r="C591" s="289" t="s">
        <v>5274</v>
      </c>
      <c r="D591" s="9" t="s">
        <v>932</v>
      </c>
      <c r="E591" s="285"/>
      <c r="F591" s="13" t="s">
        <v>5109</v>
      </c>
      <c r="G591" s="285" t="s">
        <v>7917</v>
      </c>
      <c r="H591" s="49" t="s">
        <v>5127</v>
      </c>
      <c r="I591" s="18"/>
      <c r="J591" s="285"/>
      <c r="K591" s="289"/>
      <c r="L591" s="12"/>
      <c r="M591" s="16"/>
      <c r="N591" s="17">
        <v>8</v>
      </c>
      <c r="O591" s="17">
        <v>24266.639999999999</v>
      </c>
      <c r="P591" s="17">
        <v>24266.639999999999</v>
      </c>
      <c r="Q591" s="17">
        <f t="shared" si="14"/>
        <v>0</v>
      </c>
      <c r="R591" s="289"/>
      <c r="S591" s="289"/>
      <c r="T591" s="285"/>
    </row>
    <row r="592" spans="1:20" ht="34.5" customHeight="1" x14ac:dyDescent="0.2">
      <c r="A592" s="289">
        <v>601</v>
      </c>
      <c r="B592" s="30" t="s">
        <v>1073</v>
      </c>
      <c r="C592" s="289" t="s">
        <v>5274</v>
      </c>
      <c r="D592" s="9" t="s">
        <v>6875</v>
      </c>
      <c r="E592" s="285"/>
      <c r="F592" s="13" t="s">
        <v>6876</v>
      </c>
      <c r="G592" s="285" t="s">
        <v>7917</v>
      </c>
      <c r="H592" s="49" t="s">
        <v>5127</v>
      </c>
      <c r="I592" s="18"/>
      <c r="J592" s="285"/>
      <c r="K592" s="289"/>
      <c r="L592" s="12"/>
      <c r="M592" s="16"/>
      <c r="N592" s="17">
        <v>2</v>
      </c>
      <c r="O592" s="17">
        <v>10200</v>
      </c>
      <c r="P592" s="17">
        <v>10200</v>
      </c>
      <c r="Q592" s="17">
        <f t="shared" si="14"/>
        <v>0</v>
      </c>
      <c r="R592" s="289"/>
      <c r="S592" s="289"/>
      <c r="T592" s="285"/>
    </row>
    <row r="593" spans="1:20" ht="33" customHeight="1" x14ac:dyDescent="0.2">
      <c r="A593" s="289">
        <v>602</v>
      </c>
      <c r="B593" s="30" t="s">
        <v>6005</v>
      </c>
      <c r="C593" s="289" t="s">
        <v>5274</v>
      </c>
      <c r="D593" s="9" t="s">
        <v>3663</v>
      </c>
      <c r="E593" s="285"/>
      <c r="F593" s="13" t="s">
        <v>5015</v>
      </c>
      <c r="G593" s="285" t="s">
        <v>7917</v>
      </c>
      <c r="H593" s="49" t="s">
        <v>5127</v>
      </c>
      <c r="I593" s="18"/>
      <c r="J593" s="285"/>
      <c r="K593" s="289"/>
      <c r="L593" s="12"/>
      <c r="M593" s="16"/>
      <c r="N593" s="17">
        <v>7</v>
      </c>
      <c r="O593" s="17">
        <v>24990</v>
      </c>
      <c r="P593" s="17">
        <v>24990</v>
      </c>
      <c r="Q593" s="17">
        <f t="shared" ref="Q593:Q624" si="15">O593-P593</f>
        <v>0</v>
      </c>
      <c r="R593" s="289"/>
      <c r="S593" s="289"/>
      <c r="T593" s="285"/>
    </row>
    <row r="594" spans="1:20" ht="33" customHeight="1" x14ac:dyDescent="0.2">
      <c r="A594" s="289">
        <v>603</v>
      </c>
      <c r="B594" s="30" t="s">
        <v>220</v>
      </c>
      <c r="C594" s="289" t="s">
        <v>5274</v>
      </c>
      <c r="D594" s="9" t="s">
        <v>74</v>
      </c>
      <c r="E594" s="285"/>
      <c r="F594" s="13" t="s">
        <v>6086</v>
      </c>
      <c r="G594" s="285" t="s">
        <v>7917</v>
      </c>
      <c r="H594" s="49" t="s">
        <v>5127</v>
      </c>
      <c r="I594" s="18"/>
      <c r="J594" s="285"/>
      <c r="K594" s="289"/>
      <c r="L594" s="12"/>
      <c r="M594" s="16"/>
      <c r="N594" s="17">
        <v>10</v>
      </c>
      <c r="O594" s="17">
        <v>39000</v>
      </c>
      <c r="P594" s="17">
        <v>39000</v>
      </c>
      <c r="Q594" s="17">
        <f t="shared" si="15"/>
        <v>0</v>
      </c>
      <c r="R594" s="289"/>
      <c r="S594" s="289"/>
      <c r="T594" s="285"/>
    </row>
    <row r="595" spans="1:20" ht="34.5" customHeight="1" x14ac:dyDescent="0.2">
      <c r="A595" s="289">
        <v>604</v>
      </c>
      <c r="B595" s="30" t="s">
        <v>221</v>
      </c>
      <c r="C595" s="289" t="s">
        <v>5274</v>
      </c>
      <c r="D595" s="9" t="s">
        <v>2471</v>
      </c>
      <c r="E595" s="285"/>
      <c r="F595" s="13" t="s">
        <v>5016</v>
      </c>
      <c r="G595" s="285" t="s">
        <v>7917</v>
      </c>
      <c r="H595" s="49" t="s">
        <v>5127</v>
      </c>
      <c r="I595" s="18"/>
      <c r="J595" s="285"/>
      <c r="K595" s="289"/>
      <c r="L595" s="12"/>
      <c r="M595" s="16"/>
      <c r="N595" s="17">
        <v>1</v>
      </c>
      <c r="O595" s="17">
        <v>3322</v>
      </c>
      <c r="P595" s="17">
        <v>3322</v>
      </c>
      <c r="Q595" s="17">
        <f t="shared" si="15"/>
        <v>0</v>
      </c>
      <c r="R595" s="289"/>
      <c r="S595" s="289"/>
      <c r="T595" s="285"/>
    </row>
    <row r="596" spans="1:20" ht="34.5" customHeight="1" x14ac:dyDescent="0.2">
      <c r="A596" s="289">
        <v>605</v>
      </c>
      <c r="B596" s="30" t="s">
        <v>222</v>
      </c>
      <c r="C596" s="289" t="s">
        <v>5274</v>
      </c>
      <c r="D596" s="9" t="s">
        <v>4371</v>
      </c>
      <c r="E596" s="285"/>
      <c r="F596" s="13" t="s">
        <v>5753</v>
      </c>
      <c r="G596" s="285" t="s">
        <v>7917</v>
      </c>
      <c r="H596" s="49" t="s">
        <v>5127</v>
      </c>
      <c r="I596" s="18"/>
      <c r="J596" s="285"/>
      <c r="K596" s="289"/>
      <c r="L596" s="12"/>
      <c r="M596" s="16"/>
      <c r="N596" s="17">
        <v>1</v>
      </c>
      <c r="O596" s="17">
        <v>4725</v>
      </c>
      <c r="P596" s="17">
        <v>4725</v>
      </c>
      <c r="Q596" s="17">
        <f t="shared" si="15"/>
        <v>0</v>
      </c>
      <c r="R596" s="289"/>
      <c r="S596" s="289"/>
      <c r="T596" s="285"/>
    </row>
    <row r="597" spans="1:20" ht="38.25" customHeight="1" x14ac:dyDescent="0.2">
      <c r="A597" s="289">
        <v>606</v>
      </c>
      <c r="B597" s="30" t="s">
        <v>223</v>
      </c>
      <c r="C597" s="289" t="s">
        <v>5274</v>
      </c>
      <c r="D597" s="9" t="s">
        <v>1735</v>
      </c>
      <c r="E597" s="285"/>
      <c r="F597" s="13" t="s">
        <v>414</v>
      </c>
      <c r="G597" s="285" t="s">
        <v>7917</v>
      </c>
      <c r="H597" s="49" t="s">
        <v>5127</v>
      </c>
      <c r="I597" s="18"/>
      <c r="J597" s="285"/>
      <c r="K597" s="289"/>
      <c r="L597" s="12"/>
      <c r="M597" s="16"/>
      <c r="N597" s="17">
        <v>1</v>
      </c>
      <c r="O597" s="17">
        <v>4542</v>
      </c>
      <c r="P597" s="17">
        <v>4542</v>
      </c>
      <c r="Q597" s="17">
        <f t="shared" si="15"/>
        <v>0</v>
      </c>
      <c r="R597" s="289"/>
      <c r="S597" s="289"/>
      <c r="T597" s="285"/>
    </row>
    <row r="598" spans="1:20" ht="32.25" customHeight="1" x14ac:dyDescent="0.2">
      <c r="A598" s="289">
        <v>607</v>
      </c>
      <c r="B598" s="30" t="s">
        <v>224</v>
      </c>
      <c r="C598" s="289" t="s">
        <v>5274</v>
      </c>
      <c r="D598" s="9" t="s">
        <v>2312</v>
      </c>
      <c r="E598" s="285"/>
      <c r="F598" s="13" t="s">
        <v>4900</v>
      </c>
      <c r="G598" s="285" t="s">
        <v>7917</v>
      </c>
      <c r="H598" s="49" t="s">
        <v>5127</v>
      </c>
      <c r="I598" s="18"/>
      <c r="J598" s="285"/>
      <c r="K598" s="289"/>
      <c r="L598" s="12"/>
      <c r="M598" s="16"/>
      <c r="N598" s="17">
        <v>1</v>
      </c>
      <c r="O598" s="17">
        <v>7848</v>
      </c>
      <c r="P598" s="17">
        <v>7848</v>
      </c>
      <c r="Q598" s="17">
        <f t="shared" si="15"/>
        <v>0</v>
      </c>
      <c r="R598" s="289"/>
      <c r="S598" s="289"/>
      <c r="T598" s="285"/>
    </row>
    <row r="599" spans="1:20" ht="40.5" customHeight="1" x14ac:dyDescent="0.2">
      <c r="A599" s="289">
        <v>608</v>
      </c>
      <c r="B599" s="30" t="s">
        <v>225</v>
      </c>
      <c r="C599" s="289" t="s">
        <v>5274</v>
      </c>
      <c r="D599" s="9" t="s">
        <v>2251</v>
      </c>
      <c r="E599" s="285"/>
      <c r="F599" s="13" t="s">
        <v>415</v>
      </c>
      <c r="G599" s="285" t="s">
        <v>7917</v>
      </c>
      <c r="H599" s="49" t="s">
        <v>5127</v>
      </c>
      <c r="I599" s="18"/>
      <c r="J599" s="285"/>
      <c r="K599" s="289"/>
      <c r="L599" s="12"/>
      <c r="M599" s="16"/>
      <c r="N599" s="17">
        <v>1</v>
      </c>
      <c r="O599" s="17">
        <v>6609</v>
      </c>
      <c r="P599" s="17">
        <v>6609</v>
      </c>
      <c r="Q599" s="17">
        <f t="shared" si="15"/>
        <v>0</v>
      </c>
      <c r="R599" s="289"/>
      <c r="S599" s="289"/>
      <c r="T599" s="285"/>
    </row>
    <row r="600" spans="1:20" ht="37.5" customHeight="1" x14ac:dyDescent="0.2">
      <c r="A600" s="289">
        <v>609</v>
      </c>
      <c r="B600" s="30" t="s">
        <v>226</v>
      </c>
      <c r="C600" s="289" t="s">
        <v>5274</v>
      </c>
      <c r="D600" s="9" t="s">
        <v>4930</v>
      </c>
      <c r="E600" s="285"/>
      <c r="F600" s="13" t="s">
        <v>4931</v>
      </c>
      <c r="G600" s="285" t="s">
        <v>7917</v>
      </c>
      <c r="H600" s="49" t="s">
        <v>5127</v>
      </c>
      <c r="I600" s="18"/>
      <c r="J600" s="285"/>
      <c r="K600" s="289"/>
      <c r="L600" s="12"/>
      <c r="M600" s="16"/>
      <c r="N600" s="17">
        <v>1</v>
      </c>
      <c r="O600" s="17">
        <v>3322</v>
      </c>
      <c r="P600" s="17">
        <v>3322</v>
      </c>
      <c r="Q600" s="17">
        <f t="shared" si="15"/>
        <v>0</v>
      </c>
      <c r="R600" s="289"/>
      <c r="S600" s="289"/>
      <c r="T600" s="285"/>
    </row>
    <row r="601" spans="1:20" ht="33.75" customHeight="1" x14ac:dyDescent="0.2">
      <c r="A601" s="289">
        <v>610</v>
      </c>
      <c r="B601" s="30" t="s">
        <v>227</v>
      </c>
      <c r="C601" s="289" t="s">
        <v>5274</v>
      </c>
      <c r="D601" s="9" t="s">
        <v>4522</v>
      </c>
      <c r="E601" s="285"/>
      <c r="F601" s="13" t="s">
        <v>1690</v>
      </c>
      <c r="G601" s="285" t="s">
        <v>7917</v>
      </c>
      <c r="H601" s="49" t="s">
        <v>5127</v>
      </c>
      <c r="I601" s="18"/>
      <c r="J601" s="285"/>
      <c r="K601" s="289"/>
      <c r="L601" s="12"/>
      <c r="M601" s="16"/>
      <c r="N601" s="17">
        <v>1</v>
      </c>
      <c r="O601" s="17">
        <v>3800</v>
      </c>
      <c r="P601" s="17">
        <v>3800</v>
      </c>
      <c r="Q601" s="17">
        <f t="shared" si="15"/>
        <v>0</v>
      </c>
      <c r="R601" s="289"/>
      <c r="S601" s="289"/>
      <c r="T601" s="285"/>
    </row>
    <row r="602" spans="1:20" ht="36" customHeight="1" x14ac:dyDescent="0.2">
      <c r="A602" s="289">
        <v>611</v>
      </c>
      <c r="B602" s="30" t="s">
        <v>228</v>
      </c>
      <c r="C602" s="289" t="s">
        <v>5274</v>
      </c>
      <c r="D602" s="9" t="s">
        <v>4355</v>
      </c>
      <c r="E602" s="285"/>
      <c r="F602" s="13" t="s">
        <v>6172</v>
      </c>
      <c r="G602" s="285" t="s">
        <v>7917</v>
      </c>
      <c r="H602" s="49" t="s">
        <v>5127</v>
      </c>
      <c r="I602" s="18"/>
      <c r="J602" s="285"/>
      <c r="K602" s="289"/>
      <c r="L602" s="12"/>
      <c r="M602" s="16"/>
      <c r="N602" s="17">
        <v>1</v>
      </c>
      <c r="O602" s="17">
        <v>4100</v>
      </c>
      <c r="P602" s="17">
        <v>4100</v>
      </c>
      <c r="Q602" s="17">
        <f t="shared" si="15"/>
        <v>0</v>
      </c>
      <c r="R602" s="289"/>
      <c r="S602" s="289"/>
      <c r="T602" s="285"/>
    </row>
    <row r="603" spans="1:20" ht="36" customHeight="1" x14ac:dyDescent="0.2">
      <c r="A603" s="289">
        <v>612</v>
      </c>
      <c r="B603" s="30" t="s">
        <v>229</v>
      </c>
      <c r="C603" s="289" t="s">
        <v>5274</v>
      </c>
      <c r="D603" s="9" t="s">
        <v>2644</v>
      </c>
      <c r="E603" s="285"/>
      <c r="F603" s="13" t="s">
        <v>5136</v>
      </c>
      <c r="G603" s="285" t="s">
        <v>7917</v>
      </c>
      <c r="H603" s="49" t="s">
        <v>5127</v>
      </c>
      <c r="I603" s="18"/>
      <c r="J603" s="285"/>
      <c r="K603" s="289"/>
      <c r="L603" s="12"/>
      <c r="M603" s="16"/>
      <c r="N603" s="17">
        <v>1</v>
      </c>
      <c r="O603" s="17">
        <v>9149</v>
      </c>
      <c r="P603" s="17">
        <v>9149</v>
      </c>
      <c r="Q603" s="17">
        <f t="shared" si="15"/>
        <v>0</v>
      </c>
      <c r="R603" s="289"/>
      <c r="S603" s="289"/>
      <c r="T603" s="285"/>
    </row>
    <row r="604" spans="1:20" ht="43.5" customHeight="1" x14ac:dyDescent="0.2">
      <c r="A604" s="289">
        <v>613</v>
      </c>
      <c r="B604" s="30" t="s">
        <v>230</v>
      </c>
      <c r="C604" s="289" t="s">
        <v>5274</v>
      </c>
      <c r="D604" s="9" t="s">
        <v>6879</v>
      </c>
      <c r="E604" s="285"/>
      <c r="F604" s="13" t="s">
        <v>1413</v>
      </c>
      <c r="G604" s="285" t="s">
        <v>7917</v>
      </c>
      <c r="H604" s="49" t="s">
        <v>5127</v>
      </c>
      <c r="I604" s="18"/>
      <c r="J604" s="285"/>
      <c r="K604" s="289"/>
      <c r="L604" s="12"/>
      <c r="M604" s="16"/>
      <c r="N604" s="17">
        <v>1</v>
      </c>
      <c r="O604" s="17">
        <v>3040</v>
      </c>
      <c r="P604" s="17">
        <v>3040</v>
      </c>
      <c r="Q604" s="17">
        <f t="shared" si="15"/>
        <v>0</v>
      </c>
      <c r="R604" s="289"/>
      <c r="S604" s="289"/>
      <c r="T604" s="285"/>
    </row>
    <row r="605" spans="1:20" ht="40.5" customHeight="1" x14ac:dyDescent="0.2">
      <c r="A605" s="289">
        <v>614</v>
      </c>
      <c r="B605" s="30" t="s">
        <v>2078</v>
      </c>
      <c r="C605" s="289" t="s">
        <v>5274</v>
      </c>
      <c r="D605" s="9" t="s">
        <v>6880</v>
      </c>
      <c r="E605" s="285"/>
      <c r="F605" s="13" t="s">
        <v>1688</v>
      </c>
      <c r="G605" s="285" t="s">
        <v>7917</v>
      </c>
      <c r="H605" s="49" t="s">
        <v>5127</v>
      </c>
      <c r="I605" s="18"/>
      <c r="J605" s="285"/>
      <c r="K605" s="289"/>
      <c r="L605" s="12"/>
      <c r="M605" s="16"/>
      <c r="N605" s="17">
        <v>1</v>
      </c>
      <c r="O605" s="17">
        <v>3040</v>
      </c>
      <c r="P605" s="17">
        <v>3040</v>
      </c>
      <c r="Q605" s="17">
        <f t="shared" si="15"/>
        <v>0</v>
      </c>
      <c r="R605" s="289"/>
      <c r="S605" s="289"/>
      <c r="T605" s="285"/>
    </row>
    <row r="606" spans="1:20" ht="42" customHeight="1" x14ac:dyDescent="0.2">
      <c r="A606" s="289">
        <v>615</v>
      </c>
      <c r="B606" s="30" t="s">
        <v>2079</v>
      </c>
      <c r="C606" s="289"/>
      <c r="D606" s="9" t="s">
        <v>6878</v>
      </c>
      <c r="E606" s="285"/>
      <c r="F606" s="13" t="s">
        <v>285</v>
      </c>
      <c r="G606" s="285" t="s">
        <v>7917</v>
      </c>
      <c r="H606" s="49" t="s">
        <v>5127</v>
      </c>
      <c r="I606" s="18"/>
      <c r="J606" s="285"/>
      <c r="K606" s="289"/>
      <c r="L606" s="12"/>
      <c r="M606" s="16"/>
      <c r="N606" s="17">
        <v>1</v>
      </c>
      <c r="O606" s="17">
        <v>3040</v>
      </c>
      <c r="P606" s="17">
        <v>3040</v>
      </c>
      <c r="Q606" s="17">
        <f t="shared" si="15"/>
        <v>0</v>
      </c>
      <c r="R606" s="289"/>
      <c r="S606" s="289"/>
      <c r="T606" s="285"/>
    </row>
    <row r="607" spans="1:20" ht="43.5" customHeight="1" x14ac:dyDescent="0.2">
      <c r="A607" s="289">
        <v>616</v>
      </c>
      <c r="B607" s="30" t="s">
        <v>955</v>
      </c>
      <c r="C607" s="289" t="s">
        <v>5274</v>
      </c>
      <c r="D607" s="9" t="s">
        <v>6877</v>
      </c>
      <c r="E607" s="285"/>
      <c r="F607" s="13" t="s">
        <v>999</v>
      </c>
      <c r="G607" s="285" t="s">
        <v>7917</v>
      </c>
      <c r="H607" s="49" t="s">
        <v>5127</v>
      </c>
      <c r="I607" s="18"/>
      <c r="J607" s="285"/>
      <c r="K607" s="289"/>
      <c r="L607" s="12"/>
      <c r="M607" s="16"/>
      <c r="N607" s="17">
        <v>1</v>
      </c>
      <c r="O607" s="17">
        <v>3040</v>
      </c>
      <c r="P607" s="17">
        <v>3040</v>
      </c>
      <c r="Q607" s="17">
        <f t="shared" si="15"/>
        <v>0</v>
      </c>
      <c r="R607" s="289"/>
      <c r="S607" s="289"/>
      <c r="T607" s="285"/>
    </row>
    <row r="608" spans="1:20" ht="34.5" customHeight="1" x14ac:dyDescent="0.2">
      <c r="A608" s="289">
        <v>617</v>
      </c>
      <c r="B608" s="30" t="s">
        <v>956</v>
      </c>
      <c r="C608" s="289"/>
      <c r="D608" s="9" t="s">
        <v>4317</v>
      </c>
      <c r="E608" s="285"/>
      <c r="F608" s="13" t="s">
        <v>6078</v>
      </c>
      <c r="G608" s="285" t="s">
        <v>7917</v>
      </c>
      <c r="H608" s="49" t="s">
        <v>5127</v>
      </c>
      <c r="I608" s="18"/>
      <c r="J608" s="285"/>
      <c r="K608" s="289"/>
      <c r="L608" s="12"/>
      <c r="M608" s="16"/>
      <c r="N608" s="17">
        <v>28</v>
      </c>
      <c r="O608" s="17">
        <v>92260</v>
      </c>
      <c r="P608" s="17">
        <v>92260</v>
      </c>
      <c r="Q608" s="17">
        <f t="shared" si="15"/>
        <v>0</v>
      </c>
      <c r="R608" s="289"/>
      <c r="S608" s="289"/>
      <c r="T608" s="285"/>
    </row>
    <row r="609" spans="1:20" ht="43.5" customHeight="1" x14ac:dyDescent="0.2">
      <c r="A609" s="289">
        <v>618</v>
      </c>
      <c r="B609" s="30" t="s">
        <v>957</v>
      </c>
      <c r="C609" s="289" t="s">
        <v>5274</v>
      </c>
      <c r="D609" s="9" t="s">
        <v>199</v>
      </c>
      <c r="E609" s="285"/>
      <c r="F609" s="13" t="s">
        <v>200</v>
      </c>
      <c r="G609" s="285" t="s">
        <v>7917</v>
      </c>
      <c r="H609" s="49" t="s">
        <v>5127</v>
      </c>
      <c r="I609" s="18"/>
      <c r="J609" s="285"/>
      <c r="K609" s="289"/>
      <c r="L609" s="12"/>
      <c r="M609" s="16"/>
      <c r="N609" s="17">
        <v>1</v>
      </c>
      <c r="O609" s="17">
        <v>3040</v>
      </c>
      <c r="P609" s="17">
        <v>3040</v>
      </c>
      <c r="Q609" s="17">
        <f t="shared" si="15"/>
        <v>0</v>
      </c>
      <c r="R609" s="289"/>
      <c r="S609" s="289"/>
      <c r="T609" s="285"/>
    </row>
    <row r="610" spans="1:20" ht="45" customHeight="1" x14ac:dyDescent="0.2">
      <c r="A610" s="289">
        <v>619</v>
      </c>
      <c r="B610" s="30" t="s">
        <v>2057</v>
      </c>
      <c r="C610" s="289" t="s">
        <v>5274</v>
      </c>
      <c r="D610" s="9" t="s">
        <v>1262</v>
      </c>
      <c r="E610" s="285"/>
      <c r="F610" s="13" t="s">
        <v>1263</v>
      </c>
      <c r="G610" s="285" t="s">
        <v>7917</v>
      </c>
      <c r="H610" s="49" t="s">
        <v>5127</v>
      </c>
      <c r="I610" s="18"/>
      <c r="J610" s="285"/>
      <c r="K610" s="289"/>
      <c r="L610" s="12"/>
      <c r="M610" s="16"/>
      <c r="N610" s="17">
        <v>1</v>
      </c>
      <c r="O610" s="17">
        <v>9640.7999999999993</v>
      </c>
      <c r="P610" s="17">
        <v>9640.7999999999993</v>
      </c>
      <c r="Q610" s="17">
        <f t="shared" si="15"/>
        <v>0</v>
      </c>
      <c r="R610" s="289"/>
      <c r="S610" s="289"/>
      <c r="T610" s="285"/>
    </row>
    <row r="611" spans="1:20" ht="150.75" customHeight="1" x14ac:dyDescent="0.2">
      <c r="A611" s="289">
        <v>620</v>
      </c>
      <c r="B611" s="30" t="s">
        <v>2058</v>
      </c>
      <c r="C611" s="289" t="s">
        <v>5274</v>
      </c>
      <c r="D611" s="9" t="s">
        <v>262</v>
      </c>
      <c r="E611" s="22"/>
      <c r="F611" s="13" t="s">
        <v>1028</v>
      </c>
      <c r="G611" s="285" t="s">
        <v>9194</v>
      </c>
      <c r="H611" s="49" t="s">
        <v>5127</v>
      </c>
      <c r="I611" s="18"/>
      <c r="J611" s="285" t="s">
        <v>3136</v>
      </c>
      <c r="K611" s="15">
        <v>42087</v>
      </c>
      <c r="L611" s="12" t="s">
        <v>1166</v>
      </c>
      <c r="M611" s="15">
        <v>42055</v>
      </c>
      <c r="N611" s="24">
        <v>1</v>
      </c>
      <c r="O611" s="17">
        <v>30000</v>
      </c>
      <c r="P611" s="17">
        <v>30000</v>
      </c>
      <c r="Q611" s="17">
        <f t="shared" si="15"/>
        <v>0</v>
      </c>
      <c r="R611" s="289"/>
      <c r="S611" s="289"/>
      <c r="T611" s="285"/>
    </row>
    <row r="612" spans="1:20" ht="44.25" customHeight="1" x14ac:dyDescent="0.2">
      <c r="A612" s="289">
        <v>621</v>
      </c>
      <c r="B612" s="30" t="s">
        <v>2059</v>
      </c>
      <c r="C612" s="289"/>
      <c r="D612" s="9" t="s">
        <v>2024</v>
      </c>
      <c r="E612" s="285"/>
      <c r="F612" s="13" t="s">
        <v>3721</v>
      </c>
      <c r="G612" s="285" t="s">
        <v>7917</v>
      </c>
      <c r="H612" s="49" t="s">
        <v>5127</v>
      </c>
      <c r="I612" s="18"/>
      <c r="J612" s="285"/>
      <c r="K612" s="289"/>
      <c r="L612" s="12"/>
      <c r="M612" s="16"/>
      <c r="N612" s="24">
        <v>18</v>
      </c>
      <c r="O612" s="17">
        <v>75600</v>
      </c>
      <c r="P612" s="17">
        <v>75600</v>
      </c>
      <c r="Q612" s="17">
        <f t="shared" si="15"/>
        <v>0</v>
      </c>
      <c r="R612" s="289"/>
      <c r="S612" s="289"/>
      <c r="T612" s="285"/>
    </row>
    <row r="613" spans="1:20" ht="35.25" customHeight="1" x14ac:dyDescent="0.2">
      <c r="A613" s="289">
        <v>622</v>
      </c>
      <c r="B613" s="30" t="s">
        <v>2060</v>
      </c>
      <c r="C613" s="289" t="s">
        <v>5274</v>
      </c>
      <c r="D613" s="9" t="s">
        <v>653</v>
      </c>
      <c r="E613" s="285"/>
      <c r="F613" s="13" t="s">
        <v>4313</v>
      </c>
      <c r="G613" s="285" t="s">
        <v>7917</v>
      </c>
      <c r="H613" s="49" t="s">
        <v>5127</v>
      </c>
      <c r="I613" s="18"/>
      <c r="J613" s="285"/>
      <c r="K613" s="289"/>
      <c r="L613" s="12"/>
      <c r="M613" s="16"/>
      <c r="N613" s="24">
        <v>1</v>
      </c>
      <c r="O613" s="17">
        <v>6979.35</v>
      </c>
      <c r="P613" s="17">
        <v>6979.35</v>
      </c>
      <c r="Q613" s="17">
        <f t="shared" si="15"/>
        <v>0</v>
      </c>
      <c r="R613" s="289"/>
      <c r="S613" s="289"/>
      <c r="T613" s="285"/>
    </row>
    <row r="614" spans="1:20" ht="32.25" customHeight="1" x14ac:dyDescent="0.2">
      <c r="A614" s="289">
        <v>623</v>
      </c>
      <c r="B614" s="30" t="s">
        <v>2061</v>
      </c>
      <c r="C614" s="289" t="s">
        <v>5274</v>
      </c>
      <c r="D614" s="9" t="s">
        <v>3199</v>
      </c>
      <c r="E614" s="285"/>
      <c r="F614" s="13" t="s">
        <v>4314</v>
      </c>
      <c r="G614" s="285" t="s">
        <v>7917</v>
      </c>
      <c r="H614" s="49" t="s">
        <v>5127</v>
      </c>
      <c r="I614" s="18"/>
      <c r="J614" s="285"/>
      <c r="K614" s="289"/>
      <c r="L614" s="12"/>
      <c r="M614" s="16"/>
      <c r="N614" s="24">
        <v>1</v>
      </c>
      <c r="O614" s="17">
        <v>4662</v>
      </c>
      <c r="P614" s="17">
        <v>4662</v>
      </c>
      <c r="Q614" s="17">
        <f t="shared" si="15"/>
        <v>0</v>
      </c>
      <c r="R614" s="289"/>
      <c r="S614" s="289"/>
      <c r="T614" s="285"/>
    </row>
    <row r="615" spans="1:20" ht="43.5" customHeight="1" x14ac:dyDescent="0.2">
      <c r="A615" s="289">
        <v>624</v>
      </c>
      <c r="B615" s="30" t="s">
        <v>2062</v>
      </c>
      <c r="C615" s="289" t="s">
        <v>5274</v>
      </c>
      <c r="D615" s="9" t="s">
        <v>6881</v>
      </c>
      <c r="E615" s="285"/>
      <c r="F615" s="13" t="s">
        <v>5052</v>
      </c>
      <c r="G615" s="285" t="s">
        <v>7917</v>
      </c>
      <c r="H615" s="49" t="s">
        <v>5127</v>
      </c>
      <c r="I615" s="18"/>
      <c r="J615" s="285"/>
      <c r="K615" s="289"/>
      <c r="L615" s="12"/>
      <c r="M615" s="16"/>
      <c r="N615" s="24">
        <v>1</v>
      </c>
      <c r="O615" s="17">
        <v>3040</v>
      </c>
      <c r="P615" s="17">
        <v>3040</v>
      </c>
      <c r="Q615" s="17">
        <f t="shared" si="15"/>
        <v>0</v>
      </c>
      <c r="R615" s="289"/>
      <c r="S615" s="289"/>
      <c r="T615" s="285"/>
    </row>
    <row r="616" spans="1:20" ht="33.75" customHeight="1" x14ac:dyDescent="0.2">
      <c r="A616" s="289">
        <v>625</v>
      </c>
      <c r="B616" s="30" t="s">
        <v>2063</v>
      </c>
      <c r="C616" s="289" t="s">
        <v>5274</v>
      </c>
      <c r="D616" s="9" t="s">
        <v>2413</v>
      </c>
      <c r="E616" s="285"/>
      <c r="F616" s="13" t="s">
        <v>449</v>
      </c>
      <c r="G616" s="285" t="s">
        <v>7917</v>
      </c>
      <c r="H616" s="49" t="s">
        <v>5127</v>
      </c>
      <c r="I616" s="18"/>
      <c r="J616" s="285"/>
      <c r="K616" s="289"/>
      <c r="L616" s="12"/>
      <c r="M616" s="16"/>
      <c r="N616" s="24">
        <v>1</v>
      </c>
      <c r="O616" s="17">
        <v>8660</v>
      </c>
      <c r="P616" s="17">
        <v>8660</v>
      </c>
      <c r="Q616" s="17">
        <f t="shared" si="15"/>
        <v>0</v>
      </c>
      <c r="R616" s="289"/>
      <c r="S616" s="289"/>
      <c r="T616" s="285"/>
    </row>
    <row r="617" spans="1:20" ht="34.5" customHeight="1" x14ac:dyDescent="0.2">
      <c r="A617" s="289">
        <v>626</v>
      </c>
      <c r="B617" s="30" t="s">
        <v>2064</v>
      </c>
      <c r="C617" s="289" t="s">
        <v>5274</v>
      </c>
      <c r="D617" s="9" t="s">
        <v>6882</v>
      </c>
      <c r="E617" s="285"/>
      <c r="F617" s="13" t="s">
        <v>545</v>
      </c>
      <c r="G617" s="285" t="s">
        <v>7917</v>
      </c>
      <c r="H617" s="49" t="s">
        <v>5127</v>
      </c>
      <c r="I617" s="18"/>
      <c r="J617" s="285"/>
      <c r="K617" s="289"/>
      <c r="L617" s="12"/>
      <c r="M617" s="16"/>
      <c r="N617" s="24">
        <v>1</v>
      </c>
      <c r="O617" s="17">
        <v>5029</v>
      </c>
      <c r="P617" s="17">
        <v>5029</v>
      </c>
      <c r="Q617" s="17">
        <f t="shared" si="15"/>
        <v>0</v>
      </c>
      <c r="R617" s="289"/>
      <c r="S617" s="289"/>
      <c r="T617" s="285"/>
    </row>
    <row r="618" spans="1:20" ht="150.75" customHeight="1" x14ac:dyDescent="0.2">
      <c r="A618" s="289">
        <v>627</v>
      </c>
      <c r="B618" s="30" t="s">
        <v>2065</v>
      </c>
      <c r="C618" s="289" t="s">
        <v>5274</v>
      </c>
      <c r="D618" s="9" t="s">
        <v>5643</v>
      </c>
      <c r="E618" s="285"/>
      <c r="F618" s="13" t="s">
        <v>4315</v>
      </c>
      <c r="G618" s="285" t="s">
        <v>7917</v>
      </c>
      <c r="H618" s="49" t="s">
        <v>5127</v>
      </c>
      <c r="I618" s="18"/>
      <c r="J618" s="285"/>
      <c r="K618" s="289"/>
      <c r="L618" s="12"/>
      <c r="M618" s="16"/>
      <c r="N618" s="17">
        <v>1</v>
      </c>
      <c r="O618" s="17">
        <v>4487.04</v>
      </c>
      <c r="P618" s="17">
        <v>4487.04</v>
      </c>
      <c r="Q618" s="17">
        <f t="shared" si="15"/>
        <v>0</v>
      </c>
      <c r="R618" s="289"/>
      <c r="S618" s="289"/>
      <c r="T618" s="285"/>
    </row>
    <row r="619" spans="1:20" ht="58.5" customHeight="1" x14ac:dyDescent="0.2">
      <c r="A619" s="289">
        <v>628</v>
      </c>
      <c r="B619" s="30" t="s">
        <v>2066</v>
      </c>
      <c r="C619" s="289" t="s">
        <v>5274</v>
      </c>
      <c r="D619" s="9" t="s">
        <v>5446</v>
      </c>
      <c r="E619" s="285"/>
      <c r="F619" s="13" t="s">
        <v>6883</v>
      </c>
      <c r="G619" s="285" t="s">
        <v>7917</v>
      </c>
      <c r="H619" s="49" t="s">
        <v>5127</v>
      </c>
      <c r="I619" s="18"/>
      <c r="J619" s="285"/>
      <c r="K619" s="289"/>
      <c r="L619" s="12"/>
      <c r="M619" s="16"/>
      <c r="N619" s="17">
        <v>15</v>
      </c>
      <c r="O619" s="17">
        <v>89553.75</v>
      </c>
      <c r="P619" s="17">
        <v>89553.75</v>
      </c>
      <c r="Q619" s="17">
        <f t="shared" si="15"/>
        <v>0</v>
      </c>
      <c r="R619" s="289"/>
      <c r="S619" s="289"/>
      <c r="T619" s="285"/>
    </row>
    <row r="620" spans="1:20" ht="36.75" customHeight="1" x14ac:dyDescent="0.2">
      <c r="A620" s="289">
        <v>629</v>
      </c>
      <c r="B620" s="30" t="s">
        <v>2067</v>
      </c>
      <c r="C620" s="289" t="s">
        <v>5274</v>
      </c>
      <c r="D620" s="9" t="s">
        <v>5434</v>
      </c>
      <c r="E620" s="285"/>
      <c r="F620" s="13" t="s">
        <v>780</v>
      </c>
      <c r="G620" s="285" t="s">
        <v>7917</v>
      </c>
      <c r="H620" s="49" t="s">
        <v>5127</v>
      </c>
      <c r="I620" s="18"/>
      <c r="J620" s="285"/>
      <c r="K620" s="289"/>
      <c r="L620" s="12"/>
      <c r="M620" s="16"/>
      <c r="N620" s="17">
        <v>1</v>
      </c>
      <c r="O620" s="17">
        <v>4757</v>
      </c>
      <c r="P620" s="17">
        <v>4757</v>
      </c>
      <c r="Q620" s="17">
        <f t="shared" si="15"/>
        <v>0</v>
      </c>
      <c r="R620" s="289"/>
      <c r="S620" s="289"/>
      <c r="T620" s="285"/>
    </row>
    <row r="621" spans="1:20" ht="36.75" customHeight="1" x14ac:dyDescent="0.2">
      <c r="A621" s="289">
        <v>630</v>
      </c>
      <c r="B621" s="30" t="s">
        <v>6343</v>
      </c>
      <c r="C621" s="289" t="s">
        <v>5274</v>
      </c>
      <c r="D621" s="9" t="s">
        <v>4152</v>
      </c>
      <c r="E621" s="285"/>
      <c r="F621" s="13" t="s">
        <v>830</v>
      </c>
      <c r="G621" s="285" t="s">
        <v>7917</v>
      </c>
      <c r="H621" s="49" t="s">
        <v>5127</v>
      </c>
      <c r="I621" s="18"/>
      <c r="J621" s="285"/>
      <c r="K621" s="289"/>
      <c r="L621" s="12"/>
      <c r="M621" s="16"/>
      <c r="N621" s="17">
        <v>1</v>
      </c>
      <c r="O621" s="17">
        <v>5320</v>
      </c>
      <c r="P621" s="17">
        <v>5320</v>
      </c>
      <c r="Q621" s="17">
        <f t="shared" si="15"/>
        <v>0</v>
      </c>
      <c r="R621" s="289"/>
      <c r="S621" s="289"/>
      <c r="T621" s="285"/>
    </row>
    <row r="622" spans="1:20" ht="37.5" customHeight="1" x14ac:dyDescent="0.2">
      <c r="A622" s="289">
        <v>631</v>
      </c>
      <c r="B622" s="30" t="s">
        <v>6344</v>
      </c>
      <c r="C622" s="289" t="s">
        <v>5274</v>
      </c>
      <c r="D622" s="9" t="s">
        <v>2295</v>
      </c>
      <c r="E622" s="285"/>
      <c r="F622" s="13" t="s">
        <v>864</v>
      </c>
      <c r="G622" s="285" t="s">
        <v>7917</v>
      </c>
      <c r="H622" s="49" t="s">
        <v>5127</v>
      </c>
      <c r="I622" s="18"/>
      <c r="J622" s="285"/>
      <c r="K622" s="289"/>
      <c r="L622" s="12"/>
      <c r="M622" s="16"/>
      <c r="N622" s="17">
        <v>1</v>
      </c>
      <c r="O622" s="17">
        <v>4520</v>
      </c>
      <c r="P622" s="17">
        <v>4520</v>
      </c>
      <c r="Q622" s="17">
        <f t="shared" si="15"/>
        <v>0</v>
      </c>
      <c r="R622" s="289"/>
      <c r="S622" s="289"/>
      <c r="T622" s="285"/>
    </row>
    <row r="623" spans="1:20" ht="36.75" customHeight="1" x14ac:dyDescent="0.2">
      <c r="A623" s="289">
        <v>632</v>
      </c>
      <c r="B623" s="30" t="s">
        <v>6345</v>
      </c>
      <c r="C623" s="289" t="s">
        <v>5274</v>
      </c>
      <c r="D623" s="9" t="s">
        <v>4999</v>
      </c>
      <c r="E623" s="285"/>
      <c r="F623" s="13" t="s">
        <v>5008</v>
      </c>
      <c r="G623" s="285" t="s">
        <v>7917</v>
      </c>
      <c r="H623" s="49" t="s">
        <v>5127</v>
      </c>
      <c r="I623" s="18"/>
      <c r="J623" s="285"/>
      <c r="K623" s="289"/>
      <c r="L623" s="12"/>
      <c r="M623" s="16"/>
      <c r="N623" s="17">
        <v>1</v>
      </c>
      <c r="O623" s="17">
        <v>9890</v>
      </c>
      <c r="P623" s="17">
        <v>9890</v>
      </c>
      <c r="Q623" s="17">
        <f t="shared" si="15"/>
        <v>0</v>
      </c>
      <c r="R623" s="289"/>
      <c r="S623" s="289"/>
      <c r="T623" s="285"/>
    </row>
    <row r="624" spans="1:20" ht="36.75" customHeight="1" x14ac:dyDescent="0.2">
      <c r="A624" s="289">
        <v>633</v>
      </c>
      <c r="B624" s="30" t="s">
        <v>6346</v>
      </c>
      <c r="C624" s="289" t="s">
        <v>5274</v>
      </c>
      <c r="D624" s="9" t="s">
        <v>1781</v>
      </c>
      <c r="E624" s="285"/>
      <c r="F624" s="13" t="s">
        <v>4848</v>
      </c>
      <c r="G624" s="285" t="s">
        <v>7917</v>
      </c>
      <c r="H624" s="49" t="s">
        <v>5127</v>
      </c>
      <c r="I624" s="18"/>
      <c r="J624" s="285"/>
      <c r="K624" s="289"/>
      <c r="L624" s="12"/>
      <c r="M624" s="16"/>
      <c r="N624" s="17">
        <v>1</v>
      </c>
      <c r="O624" s="17">
        <v>6130</v>
      </c>
      <c r="P624" s="17">
        <v>6130</v>
      </c>
      <c r="Q624" s="17">
        <f t="shared" si="15"/>
        <v>0</v>
      </c>
      <c r="R624" s="289"/>
      <c r="S624" s="289"/>
      <c r="T624" s="285"/>
    </row>
    <row r="625" spans="1:20" ht="30.75" customHeight="1" x14ac:dyDescent="0.2">
      <c r="A625" s="289">
        <v>634</v>
      </c>
      <c r="B625" s="30" t="s">
        <v>6347</v>
      </c>
      <c r="C625" s="289" t="s">
        <v>5274</v>
      </c>
      <c r="D625" s="9" t="s">
        <v>4849</v>
      </c>
      <c r="E625" s="285"/>
      <c r="F625" s="13" t="s">
        <v>4850</v>
      </c>
      <c r="G625" s="285" t="s">
        <v>7917</v>
      </c>
      <c r="H625" s="49" t="s">
        <v>5127</v>
      </c>
      <c r="I625" s="18"/>
      <c r="J625" s="285"/>
      <c r="K625" s="289"/>
      <c r="L625" s="12"/>
      <c r="M625" s="16"/>
      <c r="N625" s="17">
        <v>1</v>
      </c>
      <c r="O625" s="17">
        <v>6980</v>
      </c>
      <c r="P625" s="17">
        <v>6980</v>
      </c>
      <c r="Q625" s="17">
        <f t="shared" ref="Q625:Q656" si="16">O625-P625</f>
        <v>0</v>
      </c>
      <c r="R625" s="289"/>
      <c r="S625" s="289"/>
      <c r="T625" s="285"/>
    </row>
    <row r="626" spans="1:20" ht="36" customHeight="1" x14ac:dyDescent="0.2">
      <c r="A626" s="289">
        <v>635</v>
      </c>
      <c r="B626" s="30" t="s">
        <v>6348</v>
      </c>
      <c r="C626" s="289"/>
      <c r="D626" s="9" t="s">
        <v>2671</v>
      </c>
      <c r="E626" s="285"/>
      <c r="F626" s="13" t="s">
        <v>3848</v>
      </c>
      <c r="G626" s="285" t="s">
        <v>7917</v>
      </c>
      <c r="H626" s="49" t="s">
        <v>5127</v>
      </c>
      <c r="I626" s="18"/>
      <c r="J626" s="285"/>
      <c r="K626" s="289"/>
      <c r="L626" s="12"/>
      <c r="M626" s="16"/>
      <c r="N626" s="17">
        <v>1</v>
      </c>
      <c r="O626" s="17">
        <v>3829.05</v>
      </c>
      <c r="P626" s="17">
        <v>3829.05</v>
      </c>
      <c r="Q626" s="17">
        <f t="shared" si="16"/>
        <v>0</v>
      </c>
      <c r="R626" s="289"/>
      <c r="S626" s="289"/>
      <c r="T626" s="285"/>
    </row>
    <row r="627" spans="1:20" ht="40.5" customHeight="1" x14ac:dyDescent="0.2">
      <c r="A627" s="289">
        <v>636</v>
      </c>
      <c r="B627" s="30" t="s">
        <v>6349</v>
      </c>
      <c r="C627" s="289" t="s">
        <v>5274</v>
      </c>
      <c r="D627" s="9" t="s">
        <v>6056</v>
      </c>
      <c r="E627" s="285"/>
      <c r="F627" s="13" t="s">
        <v>4196</v>
      </c>
      <c r="G627" s="285" t="s">
        <v>7917</v>
      </c>
      <c r="H627" s="49" t="s">
        <v>5127</v>
      </c>
      <c r="I627" s="18"/>
      <c r="J627" s="285"/>
      <c r="K627" s="289"/>
      <c r="L627" s="12"/>
      <c r="M627" s="16"/>
      <c r="N627" s="17">
        <v>1</v>
      </c>
      <c r="O627" s="17">
        <v>9050</v>
      </c>
      <c r="P627" s="17">
        <v>9050</v>
      </c>
      <c r="Q627" s="17">
        <f t="shared" si="16"/>
        <v>0</v>
      </c>
      <c r="R627" s="289"/>
      <c r="S627" s="289"/>
      <c r="T627" s="285"/>
    </row>
    <row r="628" spans="1:20" ht="36" customHeight="1" x14ac:dyDescent="0.2">
      <c r="A628" s="289">
        <v>637</v>
      </c>
      <c r="B628" s="30" t="s">
        <v>6350</v>
      </c>
      <c r="C628" s="289" t="s">
        <v>5274</v>
      </c>
      <c r="D628" s="9" t="s">
        <v>6115</v>
      </c>
      <c r="E628" s="285"/>
      <c r="F628" s="13" t="s">
        <v>2646</v>
      </c>
      <c r="G628" s="285" t="s">
        <v>7917</v>
      </c>
      <c r="H628" s="49" t="s">
        <v>5127</v>
      </c>
      <c r="I628" s="18"/>
      <c r="J628" s="285"/>
      <c r="K628" s="289"/>
      <c r="L628" s="12"/>
      <c r="M628" s="16"/>
      <c r="N628" s="17">
        <v>1</v>
      </c>
      <c r="O628" s="17">
        <v>5980</v>
      </c>
      <c r="P628" s="17">
        <v>5980</v>
      </c>
      <c r="Q628" s="17">
        <f t="shared" si="16"/>
        <v>0</v>
      </c>
      <c r="R628" s="289"/>
      <c r="S628" s="289"/>
      <c r="T628" s="285"/>
    </row>
    <row r="629" spans="1:20" ht="36.75" customHeight="1" x14ac:dyDescent="0.2">
      <c r="A629" s="289">
        <v>638</v>
      </c>
      <c r="B629" s="30" t="s">
        <v>6351</v>
      </c>
      <c r="C629" s="289" t="s">
        <v>5274</v>
      </c>
      <c r="D629" s="9" t="s">
        <v>1679</v>
      </c>
      <c r="E629" s="285"/>
      <c r="F629" s="13" t="s">
        <v>3204</v>
      </c>
      <c r="G629" s="285" t="s">
        <v>7917</v>
      </c>
      <c r="H629" s="49" t="s">
        <v>5127</v>
      </c>
      <c r="I629" s="18"/>
      <c r="J629" s="285"/>
      <c r="K629" s="289"/>
      <c r="L629" s="12"/>
      <c r="M629" s="16"/>
      <c r="N629" s="17">
        <v>1</v>
      </c>
      <c r="O629" s="17">
        <v>3250</v>
      </c>
      <c r="P629" s="17">
        <v>3250</v>
      </c>
      <c r="Q629" s="17">
        <f t="shared" si="16"/>
        <v>0</v>
      </c>
      <c r="R629" s="289"/>
      <c r="S629" s="289"/>
      <c r="T629" s="285"/>
    </row>
    <row r="630" spans="1:20" ht="34.5" customHeight="1" x14ac:dyDescent="0.2">
      <c r="A630" s="289">
        <v>639</v>
      </c>
      <c r="B630" s="30" t="s">
        <v>6352</v>
      </c>
      <c r="C630" s="289" t="s">
        <v>5274</v>
      </c>
      <c r="D630" s="9" t="s">
        <v>1976</v>
      </c>
      <c r="E630" s="285"/>
      <c r="F630" s="13" t="s">
        <v>1977</v>
      </c>
      <c r="G630" s="285" t="s">
        <v>7917</v>
      </c>
      <c r="H630" s="49" t="s">
        <v>5127</v>
      </c>
      <c r="I630" s="18"/>
      <c r="J630" s="285"/>
      <c r="K630" s="289"/>
      <c r="L630" s="12"/>
      <c r="M630" s="16"/>
      <c r="N630" s="17">
        <v>2</v>
      </c>
      <c r="O630" s="17">
        <v>11200</v>
      </c>
      <c r="P630" s="17">
        <v>11200</v>
      </c>
      <c r="Q630" s="17">
        <f t="shared" si="16"/>
        <v>0</v>
      </c>
      <c r="R630" s="289"/>
      <c r="S630" s="289"/>
      <c r="T630" s="285"/>
    </row>
    <row r="631" spans="1:20" ht="33.75" customHeight="1" x14ac:dyDescent="0.2">
      <c r="A631" s="289">
        <v>640</v>
      </c>
      <c r="B631" s="289" t="s">
        <v>4976</v>
      </c>
      <c r="C631" s="289"/>
      <c r="D631" s="9" t="s">
        <v>3773</v>
      </c>
      <c r="E631" s="285"/>
      <c r="F631" s="13" t="s">
        <v>3774</v>
      </c>
      <c r="G631" s="285" t="s">
        <v>7917</v>
      </c>
      <c r="H631" s="49" t="s">
        <v>5127</v>
      </c>
      <c r="I631" s="18"/>
      <c r="J631" s="285"/>
      <c r="K631" s="289"/>
      <c r="L631" s="12"/>
      <c r="M631" s="16"/>
      <c r="N631" s="17">
        <v>1</v>
      </c>
      <c r="O631" s="17">
        <v>4800</v>
      </c>
      <c r="P631" s="17">
        <v>4800</v>
      </c>
      <c r="Q631" s="17">
        <f t="shared" si="16"/>
        <v>0</v>
      </c>
      <c r="R631" s="289"/>
      <c r="S631" s="289"/>
      <c r="T631" s="285"/>
    </row>
    <row r="632" spans="1:20" ht="35.25" customHeight="1" x14ac:dyDescent="0.2">
      <c r="A632" s="289">
        <v>641</v>
      </c>
      <c r="B632" s="289" t="s">
        <v>2156</v>
      </c>
      <c r="C632" s="289" t="s">
        <v>6492</v>
      </c>
      <c r="D632" s="9" t="s">
        <v>2294</v>
      </c>
      <c r="E632" s="285"/>
      <c r="F632" s="13" t="s">
        <v>4450</v>
      </c>
      <c r="G632" s="285" t="s">
        <v>7917</v>
      </c>
      <c r="H632" s="49" t="s">
        <v>5127</v>
      </c>
      <c r="I632" s="18"/>
      <c r="J632" s="285" t="s">
        <v>3136</v>
      </c>
      <c r="K632" s="14" t="s">
        <v>12206</v>
      </c>
      <c r="L632" s="22" t="s">
        <v>12207</v>
      </c>
      <c r="M632" s="16"/>
      <c r="N632" s="17"/>
      <c r="O632" s="17">
        <f>1371799.68+131626.78+115600+218970+999.16+117000-10.86+297550+610.42+51481.86-89.1-777-610.42+78300+6618.44+4533.09+36542-131948.37+866.08+159043.56-652.6+340703.9+806.66+12995+1946+15729.92+250+388+479.62+105.75+77466+45606.59+354014.34+1646+44200+1096.13+2305.16+290+33389.4+18941+7686+411304.52+11940+504.26+1396.8+271.1+437.5+700.46+12582.9+71.86+321.35+212.5+71.86+465738.68+34685.31+29053+622.1+7317.64+51931.55+536497.5+5893.8</f>
        <v>4989052.8799999971</v>
      </c>
      <c r="P632" s="17">
        <f>O632</f>
        <v>4989052.8799999971</v>
      </c>
      <c r="Q632" s="17">
        <f t="shared" si="16"/>
        <v>0</v>
      </c>
      <c r="R632" s="285" t="s">
        <v>11976</v>
      </c>
      <c r="S632" s="14" t="s">
        <v>11977</v>
      </c>
      <c r="T632" s="285" t="s">
        <v>11978</v>
      </c>
    </row>
    <row r="633" spans="1:20" ht="77.25" customHeight="1" x14ac:dyDescent="0.2">
      <c r="A633" s="289">
        <v>642</v>
      </c>
      <c r="B633" s="289" t="s">
        <v>2157</v>
      </c>
      <c r="C633" s="289"/>
      <c r="D633" s="9" t="s">
        <v>323</v>
      </c>
      <c r="E633" s="285"/>
      <c r="F633" s="13" t="s">
        <v>779</v>
      </c>
      <c r="G633" s="285" t="s">
        <v>7917</v>
      </c>
      <c r="H633" s="49" t="s">
        <v>5127</v>
      </c>
      <c r="I633" s="18"/>
      <c r="J633" s="285"/>
      <c r="K633" s="289"/>
      <c r="L633" s="12"/>
      <c r="M633" s="16"/>
      <c r="N633" s="17">
        <v>1</v>
      </c>
      <c r="O633" s="17">
        <v>9104.24</v>
      </c>
      <c r="P633" s="17">
        <v>9104.24</v>
      </c>
      <c r="Q633" s="17">
        <f t="shared" si="16"/>
        <v>0</v>
      </c>
      <c r="R633" s="285" t="s">
        <v>1914</v>
      </c>
      <c r="S633" s="14">
        <v>41565</v>
      </c>
      <c r="T633" s="285">
        <v>1375</v>
      </c>
    </row>
    <row r="634" spans="1:20" ht="42" customHeight="1" x14ac:dyDescent="0.2">
      <c r="A634" s="289">
        <v>643</v>
      </c>
      <c r="B634" s="289" t="s">
        <v>2158</v>
      </c>
      <c r="C634" s="289"/>
      <c r="D634" s="9" t="s">
        <v>2717</v>
      </c>
      <c r="E634" s="285"/>
      <c r="F634" s="13" t="s">
        <v>6884</v>
      </c>
      <c r="G634" s="285" t="s">
        <v>7917</v>
      </c>
      <c r="H634" s="49" t="s">
        <v>5127</v>
      </c>
      <c r="I634" s="18"/>
      <c r="J634" s="285"/>
      <c r="K634" s="289"/>
      <c r="L634" s="12"/>
      <c r="M634" s="16"/>
      <c r="N634" s="17">
        <v>4</v>
      </c>
      <c r="O634" s="17">
        <v>14840</v>
      </c>
      <c r="P634" s="17">
        <v>14840</v>
      </c>
      <c r="Q634" s="17">
        <f t="shared" si="16"/>
        <v>0</v>
      </c>
      <c r="R634" s="289"/>
      <c r="S634" s="289"/>
      <c r="T634" s="285"/>
    </row>
    <row r="635" spans="1:20" ht="150.75" customHeight="1" x14ac:dyDescent="0.2">
      <c r="A635" s="289">
        <v>644</v>
      </c>
      <c r="B635" s="289" t="s">
        <v>2159</v>
      </c>
      <c r="C635" s="289" t="s">
        <v>5274</v>
      </c>
      <c r="D635" s="9" t="s">
        <v>5543</v>
      </c>
      <c r="E635" s="14">
        <v>33419</v>
      </c>
      <c r="F635" s="13" t="s">
        <v>4197</v>
      </c>
      <c r="G635" s="285" t="s">
        <v>7982</v>
      </c>
      <c r="H635" s="49" t="s">
        <v>5127</v>
      </c>
      <c r="I635" s="18"/>
      <c r="J635" s="285" t="s">
        <v>9411</v>
      </c>
      <c r="K635" s="15">
        <v>40544</v>
      </c>
      <c r="L635" s="289" t="s">
        <v>1029</v>
      </c>
      <c r="M635" s="15">
        <v>33419</v>
      </c>
      <c r="N635" s="17">
        <v>1</v>
      </c>
      <c r="O635" s="17">
        <v>6798.24</v>
      </c>
      <c r="P635" s="17">
        <v>6798.24</v>
      </c>
      <c r="Q635" s="17">
        <f t="shared" si="16"/>
        <v>0</v>
      </c>
      <c r="R635" s="289"/>
      <c r="S635" s="289"/>
      <c r="T635" s="285"/>
    </row>
    <row r="636" spans="1:20" ht="150.75" customHeight="1" x14ac:dyDescent="0.2">
      <c r="A636" s="289">
        <v>645</v>
      </c>
      <c r="B636" s="289" t="s">
        <v>2160</v>
      </c>
      <c r="C636" s="289"/>
      <c r="D636" s="9" t="s">
        <v>1973</v>
      </c>
      <c r="E636" s="14">
        <v>33358</v>
      </c>
      <c r="F636" s="13" t="s">
        <v>5955</v>
      </c>
      <c r="G636" s="285" t="s">
        <v>7982</v>
      </c>
      <c r="H636" s="49" t="s">
        <v>5127</v>
      </c>
      <c r="I636" s="18"/>
      <c r="J636" s="285" t="s">
        <v>9411</v>
      </c>
      <c r="K636" s="15">
        <v>40544</v>
      </c>
      <c r="L636" s="289" t="s">
        <v>1029</v>
      </c>
      <c r="M636" s="15">
        <v>33358</v>
      </c>
      <c r="N636" s="17">
        <v>1</v>
      </c>
      <c r="O636" s="17">
        <v>6711.84</v>
      </c>
      <c r="P636" s="17">
        <v>6711.84</v>
      </c>
      <c r="Q636" s="17">
        <f t="shared" si="16"/>
        <v>0</v>
      </c>
      <c r="R636" s="289"/>
      <c r="S636" s="289"/>
      <c r="T636" s="285"/>
    </row>
    <row r="637" spans="1:20" ht="150.75" customHeight="1" x14ac:dyDescent="0.2">
      <c r="A637" s="289">
        <v>647</v>
      </c>
      <c r="B637" s="289" t="s">
        <v>358</v>
      </c>
      <c r="C637" s="289" t="s">
        <v>5274</v>
      </c>
      <c r="D637" s="9" t="s">
        <v>6022</v>
      </c>
      <c r="E637" s="14">
        <v>33511</v>
      </c>
      <c r="F637" s="13" t="s">
        <v>5348</v>
      </c>
      <c r="G637" s="285" t="s">
        <v>7982</v>
      </c>
      <c r="H637" s="49" t="s">
        <v>5127</v>
      </c>
      <c r="I637" s="18"/>
      <c r="J637" s="285" t="s">
        <v>9411</v>
      </c>
      <c r="K637" s="15">
        <v>40544</v>
      </c>
      <c r="L637" s="289" t="s">
        <v>1029</v>
      </c>
      <c r="M637" s="15">
        <v>33511</v>
      </c>
      <c r="N637" s="17">
        <v>1</v>
      </c>
      <c r="O637" s="17">
        <v>3758.4</v>
      </c>
      <c r="P637" s="17">
        <v>3758.4</v>
      </c>
      <c r="Q637" s="17">
        <f t="shared" si="16"/>
        <v>0</v>
      </c>
      <c r="R637" s="289"/>
      <c r="S637" s="289"/>
      <c r="T637" s="285"/>
    </row>
    <row r="638" spans="1:20" ht="150.75" customHeight="1" x14ac:dyDescent="0.2">
      <c r="A638" s="289">
        <v>648</v>
      </c>
      <c r="B638" s="289" t="s">
        <v>359</v>
      </c>
      <c r="C638" s="289"/>
      <c r="D638" s="9" t="s">
        <v>4317</v>
      </c>
      <c r="E638" s="14">
        <v>41272</v>
      </c>
      <c r="F638" s="13" t="s">
        <v>6077</v>
      </c>
      <c r="G638" s="285" t="s">
        <v>7982</v>
      </c>
      <c r="H638" s="49" t="s">
        <v>5127</v>
      </c>
      <c r="I638" s="18"/>
      <c r="J638" s="285" t="s">
        <v>3136</v>
      </c>
      <c r="K638" s="15">
        <v>41272</v>
      </c>
      <c r="L638" s="12" t="s">
        <v>9484</v>
      </c>
      <c r="M638" s="15">
        <v>41272</v>
      </c>
      <c r="N638" s="17">
        <v>27</v>
      </c>
      <c r="O638" s="17">
        <v>88965</v>
      </c>
      <c r="P638" s="17">
        <v>88965</v>
      </c>
      <c r="Q638" s="17">
        <f t="shared" si="16"/>
        <v>0</v>
      </c>
      <c r="R638" s="289"/>
      <c r="S638" s="289"/>
      <c r="T638" s="285"/>
    </row>
    <row r="639" spans="1:20" ht="150.75" customHeight="1" x14ac:dyDescent="0.2">
      <c r="A639" s="289">
        <v>649</v>
      </c>
      <c r="B639" s="289" t="s">
        <v>360</v>
      </c>
      <c r="C639" s="289" t="s">
        <v>5274</v>
      </c>
      <c r="D639" s="9" t="s">
        <v>1906</v>
      </c>
      <c r="E639" s="14">
        <v>40057</v>
      </c>
      <c r="F639" s="13" t="s">
        <v>830</v>
      </c>
      <c r="G639" s="285" t="s">
        <v>7982</v>
      </c>
      <c r="H639" s="49" t="s">
        <v>5127</v>
      </c>
      <c r="I639" s="18"/>
      <c r="J639" s="285" t="s">
        <v>9411</v>
      </c>
      <c r="K639" s="15">
        <v>40544</v>
      </c>
      <c r="L639" s="289" t="s">
        <v>1029</v>
      </c>
      <c r="M639" s="15">
        <v>40057</v>
      </c>
      <c r="N639" s="17">
        <v>1</v>
      </c>
      <c r="O639" s="17">
        <v>6791</v>
      </c>
      <c r="P639" s="17">
        <v>6791</v>
      </c>
      <c r="Q639" s="17">
        <f t="shared" si="16"/>
        <v>0</v>
      </c>
      <c r="R639" s="289"/>
      <c r="S639" s="289"/>
      <c r="T639" s="285"/>
    </row>
    <row r="640" spans="1:20" ht="150.75" customHeight="1" x14ac:dyDescent="0.2">
      <c r="A640" s="289">
        <v>650</v>
      </c>
      <c r="B640" s="289" t="s">
        <v>754</v>
      </c>
      <c r="C640" s="289" t="s">
        <v>5274</v>
      </c>
      <c r="D640" s="9" t="s">
        <v>1906</v>
      </c>
      <c r="E640" s="14">
        <v>39813</v>
      </c>
      <c r="F640" s="13" t="s">
        <v>3543</v>
      </c>
      <c r="G640" s="285" t="s">
        <v>7982</v>
      </c>
      <c r="H640" s="49" t="s">
        <v>5127</v>
      </c>
      <c r="I640" s="18"/>
      <c r="J640" s="285" t="s">
        <v>9411</v>
      </c>
      <c r="K640" s="15">
        <v>40544</v>
      </c>
      <c r="L640" s="289" t="s">
        <v>1029</v>
      </c>
      <c r="M640" s="15">
        <v>39813</v>
      </c>
      <c r="N640" s="17">
        <v>5</v>
      </c>
      <c r="O640" s="17">
        <v>31000</v>
      </c>
      <c r="P640" s="17">
        <v>31000</v>
      </c>
      <c r="Q640" s="17">
        <f t="shared" si="16"/>
        <v>0</v>
      </c>
      <c r="R640" s="289"/>
      <c r="S640" s="289"/>
      <c r="T640" s="285"/>
    </row>
    <row r="641" spans="1:20" ht="150.75" customHeight="1" x14ac:dyDescent="0.2">
      <c r="A641" s="289">
        <v>651</v>
      </c>
      <c r="B641" s="289" t="s">
        <v>755</v>
      </c>
      <c r="C641" s="289" t="s">
        <v>5274</v>
      </c>
      <c r="D641" s="9" t="s">
        <v>3709</v>
      </c>
      <c r="E641" s="14">
        <v>40827</v>
      </c>
      <c r="F641" s="13" t="s">
        <v>3587</v>
      </c>
      <c r="G641" s="285" t="s">
        <v>7982</v>
      </c>
      <c r="H641" s="49" t="s">
        <v>5127</v>
      </c>
      <c r="I641" s="18"/>
      <c r="J641" s="285" t="s">
        <v>9437</v>
      </c>
      <c r="K641" s="15">
        <v>40908</v>
      </c>
      <c r="L641" s="289" t="s">
        <v>1029</v>
      </c>
      <c r="M641" s="15">
        <v>40827</v>
      </c>
      <c r="N641" s="17">
        <v>5</v>
      </c>
      <c r="O641" s="17">
        <v>30000</v>
      </c>
      <c r="P641" s="17">
        <v>30000</v>
      </c>
      <c r="Q641" s="17">
        <f t="shared" si="16"/>
        <v>0</v>
      </c>
      <c r="R641" s="285" t="s">
        <v>5071</v>
      </c>
      <c r="S641" s="15">
        <v>40827</v>
      </c>
      <c r="T641" s="285">
        <v>571</v>
      </c>
    </row>
    <row r="642" spans="1:20" ht="150.75" customHeight="1" x14ac:dyDescent="0.2">
      <c r="A642" s="289">
        <v>652</v>
      </c>
      <c r="B642" s="289" t="s">
        <v>756</v>
      </c>
      <c r="C642" s="289" t="s">
        <v>5274</v>
      </c>
      <c r="D642" s="9" t="s">
        <v>3910</v>
      </c>
      <c r="E642" s="14">
        <v>33388</v>
      </c>
      <c r="F642" s="13" t="s">
        <v>783</v>
      </c>
      <c r="G642" s="285" t="s">
        <v>7982</v>
      </c>
      <c r="H642" s="49" t="s">
        <v>5127</v>
      </c>
      <c r="I642" s="18"/>
      <c r="J642" s="285" t="s">
        <v>9411</v>
      </c>
      <c r="K642" s="15">
        <v>40544</v>
      </c>
      <c r="L642" s="289" t="s">
        <v>1029</v>
      </c>
      <c r="M642" s="15">
        <v>33388</v>
      </c>
      <c r="N642" s="17">
        <v>1</v>
      </c>
      <c r="O642" s="17">
        <v>5643.36</v>
      </c>
      <c r="P642" s="17">
        <v>5643.36</v>
      </c>
      <c r="Q642" s="17">
        <f t="shared" si="16"/>
        <v>0</v>
      </c>
      <c r="R642" s="289"/>
      <c r="S642" s="289"/>
      <c r="T642" s="285"/>
    </row>
    <row r="643" spans="1:20" ht="150.75" customHeight="1" x14ac:dyDescent="0.2">
      <c r="A643" s="289">
        <v>653</v>
      </c>
      <c r="B643" s="289" t="s">
        <v>757</v>
      </c>
      <c r="C643" s="289" t="s">
        <v>5274</v>
      </c>
      <c r="D643" s="9" t="s">
        <v>3924</v>
      </c>
      <c r="E643" s="14">
        <v>33388</v>
      </c>
      <c r="F643" s="13" t="s">
        <v>784</v>
      </c>
      <c r="G643" s="285" t="s">
        <v>7982</v>
      </c>
      <c r="H643" s="49" t="s">
        <v>5127</v>
      </c>
      <c r="I643" s="18"/>
      <c r="J643" s="285" t="s">
        <v>9411</v>
      </c>
      <c r="K643" s="15">
        <v>40544</v>
      </c>
      <c r="L643" s="289" t="s">
        <v>1029</v>
      </c>
      <c r="M643" s="15">
        <v>33388</v>
      </c>
      <c r="N643" s="17">
        <v>1</v>
      </c>
      <c r="O643" s="17">
        <v>5220</v>
      </c>
      <c r="P643" s="17">
        <v>5220</v>
      </c>
      <c r="Q643" s="17">
        <f t="shared" si="16"/>
        <v>0</v>
      </c>
      <c r="R643" s="289"/>
      <c r="S643" s="289"/>
      <c r="T643" s="285"/>
    </row>
    <row r="644" spans="1:20" ht="150.75" customHeight="1" x14ac:dyDescent="0.2">
      <c r="A644" s="289">
        <v>654</v>
      </c>
      <c r="B644" s="289" t="s">
        <v>758</v>
      </c>
      <c r="C644" s="289"/>
      <c r="D644" s="9" t="s">
        <v>6984</v>
      </c>
      <c r="E644" s="14">
        <v>39813</v>
      </c>
      <c r="F644" s="41" t="s">
        <v>6985</v>
      </c>
      <c r="G644" s="285" t="s">
        <v>7982</v>
      </c>
      <c r="H644" s="49" t="s">
        <v>5127</v>
      </c>
      <c r="I644" s="18"/>
      <c r="J644" s="285" t="s">
        <v>9411</v>
      </c>
      <c r="K644" s="15">
        <v>40544</v>
      </c>
      <c r="L644" s="289" t="s">
        <v>1029</v>
      </c>
      <c r="M644" s="15">
        <v>39813</v>
      </c>
      <c r="N644" s="17">
        <v>1</v>
      </c>
      <c r="O644" s="17">
        <v>7465</v>
      </c>
      <c r="P644" s="17">
        <v>7465</v>
      </c>
      <c r="Q644" s="17">
        <f t="shared" si="16"/>
        <v>0</v>
      </c>
      <c r="R644" s="13" t="s">
        <v>5340</v>
      </c>
      <c r="S644" s="289">
        <v>2008</v>
      </c>
      <c r="T644" s="285"/>
    </row>
    <row r="645" spans="1:20" ht="150.75" customHeight="1" x14ac:dyDescent="0.2">
      <c r="A645" s="289">
        <v>655</v>
      </c>
      <c r="B645" s="289" t="s">
        <v>759</v>
      </c>
      <c r="C645" s="289" t="s">
        <v>5274</v>
      </c>
      <c r="D645" s="9" t="s">
        <v>3595</v>
      </c>
      <c r="E645" s="14">
        <v>33511</v>
      </c>
      <c r="F645" s="13" t="s">
        <v>5349</v>
      </c>
      <c r="G645" s="285" t="s">
        <v>7982</v>
      </c>
      <c r="H645" s="49" t="s">
        <v>5127</v>
      </c>
      <c r="I645" s="18"/>
      <c r="J645" s="285" t="s">
        <v>9411</v>
      </c>
      <c r="K645" s="15">
        <v>40544</v>
      </c>
      <c r="L645" s="289" t="s">
        <v>1029</v>
      </c>
      <c r="M645" s="15">
        <v>33511</v>
      </c>
      <c r="N645" s="17">
        <v>1</v>
      </c>
      <c r="O645" s="17">
        <v>3733.92</v>
      </c>
      <c r="P645" s="17">
        <v>3733.92</v>
      </c>
      <c r="Q645" s="17">
        <f t="shared" si="16"/>
        <v>0</v>
      </c>
      <c r="R645" s="289"/>
      <c r="S645" s="289"/>
      <c r="T645" s="285"/>
    </row>
    <row r="646" spans="1:20" ht="150.75" customHeight="1" x14ac:dyDescent="0.2">
      <c r="A646" s="289">
        <v>656</v>
      </c>
      <c r="B646" s="289" t="s">
        <v>4330</v>
      </c>
      <c r="C646" s="289" t="s">
        <v>5274</v>
      </c>
      <c r="D646" s="9" t="s">
        <v>5694</v>
      </c>
      <c r="E646" s="14">
        <v>33388</v>
      </c>
      <c r="F646" s="13" t="s">
        <v>5350</v>
      </c>
      <c r="G646" s="285" t="s">
        <v>7982</v>
      </c>
      <c r="H646" s="49" t="s">
        <v>5127</v>
      </c>
      <c r="I646" s="18"/>
      <c r="J646" s="285" t="s">
        <v>9411</v>
      </c>
      <c r="K646" s="15">
        <v>40544</v>
      </c>
      <c r="L646" s="289" t="s">
        <v>1029</v>
      </c>
      <c r="M646" s="15">
        <v>33388</v>
      </c>
      <c r="N646" s="17">
        <v>1</v>
      </c>
      <c r="O646" s="17">
        <v>5548.29</v>
      </c>
      <c r="P646" s="17">
        <v>5548.29</v>
      </c>
      <c r="Q646" s="17">
        <f t="shared" si="16"/>
        <v>0</v>
      </c>
      <c r="R646" s="289"/>
      <c r="S646" s="289"/>
      <c r="T646" s="285"/>
    </row>
    <row r="647" spans="1:20" ht="150.75" customHeight="1" x14ac:dyDescent="0.2">
      <c r="A647" s="289">
        <v>657</v>
      </c>
      <c r="B647" s="289" t="s">
        <v>4331</v>
      </c>
      <c r="C647" s="289"/>
      <c r="D647" s="9" t="s">
        <v>6377</v>
      </c>
      <c r="E647" s="14">
        <v>40057</v>
      </c>
      <c r="F647" s="13" t="s">
        <v>864</v>
      </c>
      <c r="G647" s="285" t="s">
        <v>7982</v>
      </c>
      <c r="H647" s="49" t="s">
        <v>5127</v>
      </c>
      <c r="I647" s="18"/>
      <c r="J647" s="285" t="s">
        <v>9411</v>
      </c>
      <c r="K647" s="15">
        <v>40544</v>
      </c>
      <c r="L647" s="289" t="s">
        <v>1029</v>
      </c>
      <c r="M647" s="15">
        <v>40057</v>
      </c>
      <c r="N647" s="17">
        <v>1</v>
      </c>
      <c r="O647" s="17">
        <v>3307</v>
      </c>
      <c r="P647" s="17">
        <v>3307</v>
      </c>
      <c r="Q647" s="17">
        <f t="shared" si="16"/>
        <v>0</v>
      </c>
      <c r="R647" s="289"/>
      <c r="S647" s="289"/>
      <c r="T647" s="285"/>
    </row>
    <row r="648" spans="1:20" ht="150.75" customHeight="1" x14ac:dyDescent="0.2">
      <c r="A648" s="289">
        <v>658</v>
      </c>
      <c r="B648" s="289" t="s">
        <v>4332</v>
      </c>
      <c r="C648" s="289" t="s">
        <v>5274</v>
      </c>
      <c r="D648" s="9" t="s">
        <v>1988</v>
      </c>
      <c r="E648" s="285">
        <v>2008</v>
      </c>
      <c r="F648" s="13" t="s">
        <v>5351</v>
      </c>
      <c r="G648" s="285" t="s">
        <v>7982</v>
      </c>
      <c r="H648" s="49" t="s">
        <v>5127</v>
      </c>
      <c r="I648" s="18"/>
      <c r="J648" s="285" t="s">
        <v>5056</v>
      </c>
      <c r="K648" s="289">
        <v>2008</v>
      </c>
      <c r="L648" s="289" t="s">
        <v>1029</v>
      </c>
      <c r="M648" s="289">
        <v>2008</v>
      </c>
      <c r="N648" s="17">
        <v>1</v>
      </c>
      <c r="O648" s="17">
        <v>3462</v>
      </c>
      <c r="P648" s="17">
        <v>3462</v>
      </c>
      <c r="Q648" s="17">
        <f t="shared" si="16"/>
        <v>0</v>
      </c>
      <c r="R648" s="289"/>
      <c r="S648" s="289"/>
      <c r="T648" s="285"/>
    </row>
    <row r="649" spans="1:20" ht="150.75" customHeight="1" x14ac:dyDescent="0.2">
      <c r="A649" s="289">
        <v>659</v>
      </c>
      <c r="B649" s="289" t="s">
        <v>4333</v>
      </c>
      <c r="C649" s="289" t="s">
        <v>5274</v>
      </c>
      <c r="D649" s="9" t="s">
        <v>1989</v>
      </c>
      <c r="E649" s="285">
        <v>2008</v>
      </c>
      <c r="F649" s="13" t="s">
        <v>5352</v>
      </c>
      <c r="G649" s="285" t="s">
        <v>7982</v>
      </c>
      <c r="H649" s="49" t="s">
        <v>5127</v>
      </c>
      <c r="I649" s="18"/>
      <c r="J649" s="285" t="s">
        <v>5056</v>
      </c>
      <c r="K649" s="289">
        <v>2008</v>
      </c>
      <c r="L649" s="289" t="s">
        <v>1029</v>
      </c>
      <c r="M649" s="289">
        <v>2008</v>
      </c>
      <c r="N649" s="17">
        <v>1</v>
      </c>
      <c r="O649" s="17">
        <v>5457</v>
      </c>
      <c r="P649" s="17">
        <v>5457</v>
      </c>
      <c r="Q649" s="17">
        <f t="shared" si="16"/>
        <v>0</v>
      </c>
      <c r="R649" s="289"/>
      <c r="S649" s="289"/>
      <c r="T649" s="285"/>
    </row>
    <row r="650" spans="1:20" ht="150.75" customHeight="1" x14ac:dyDescent="0.2">
      <c r="A650" s="289">
        <v>660</v>
      </c>
      <c r="B650" s="289" t="s">
        <v>4334</v>
      </c>
      <c r="C650" s="289" t="s">
        <v>5274</v>
      </c>
      <c r="D650" s="9" t="s">
        <v>3504</v>
      </c>
      <c r="E650" s="14">
        <v>39813</v>
      </c>
      <c r="F650" s="13" t="s">
        <v>1599</v>
      </c>
      <c r="G650" s="285" t="s">
        <v>7982</v>
      </c>
      <c r="H650" s="49" t="s">
        <v>5127</v>
      </c>
      <c r="I650" s="18"/>
      <c r="J650" s="285" t="s">
        <v>9411</v>
      </c>
      <c r="K650" s="15">
        <v>40544</v>
      </c>
      <c r="L650" s="289" t="s">
        <v>1029</v>
      </c>
      <c r="M650" s="15">
        <v>39813</v>
      </c>
      <c r="N650" s="17">
        <v>1</v>
      </c>
      <c r="O650" s="17">
        <v>9352</v>
      </c>
      <c r="P650" s="17">
        <v>9352</v>
      </c>
      <c r="Q650" s="17">
        <f t="shared" si="16"/>
        <v>0</v>
      </c>
      <c r="R650" s="289"/>
      <c r="S650" s="289"/>
      <c r="T650" s="285"/>
    </row>
    <row r="651" spans="1:20" ht="150.75" customHeight="1" x14ac:dyDescent="0.2">
      <c r="A651" s="289">
        <v>661</v>
      </c>
      <c r="B651" s="289" t="s">
        <v>4335</v>
      </c>
      <c r="C651" s="289" t="s">
        <v>5274</v>
      </c>
      <c r="D651" s="9" t="s">
        <v>114</v>
      </c>
      <c r="E651" s="14">
        <v>39813</v>
      </c>
      <c r="F651" s="13" t="s">
        <v>1600</v>
      </c>
      <c r="G651" s="285" t="s">
        <v>7982</v>
      </c>
      <c r="H651" s="49" t="s">
        <v>5127</v>
      </c>
      <c r="I651" s="18"/>
      <c r="J651" s="285" t="s">
        <v>9411</v>
      </c>
      <c r="K651" s="15">
        <v>40544</v>
      </c>
      <c r="L651" s="289" t="s">
        <v>1029</v>
      </c>
      <c r="M651" s="15">
        <v>39812</v>
      </c>
      <c r="N651" s="17">
        <v>1</v>
      </c>
      <c r="O651" s="17">
        <v>6557</v>
      </c>
      <c r="P651" s="17">
        <v>6557</v>
      </c>
      <c r="Q651" s="17">
        <f t="shared" si="16"/>
        <v>0</v>
      </c>
      <c r="R651" s="289"/>
      <c r="S651" s="289"/>
      <c r="T651" s="285"/>
    </row>
    <row r="652" spans="1:20" ht="150.75" customHeight="1" x14ac:dyDescent="0.2">
      <c r="A652" s="289">
        <v>662</v>
      </c>
      <c r="B652" s="289" t="s">
        <v>4336</v>
      </c>
      <c r="C652" s="289" t="s">
        <v>5274</v>
      </c>
      <c r="D652" s="9" t="s">
        <v>115</v>
      </c>
      <c r="E652" s="14">
        <v>39812</v>
      </c>
      <c r="F652" s="13" t="s">
        <v>1378</v>
      </c>
      <c r="G652" s="285" t="s">
        <v>7982</v>
      </c>
      <c r="H652" s="49" t="s">
        <v>5127</v>
      </c>
      <c r="I652" s="18"/>
      <c r="J652" s="285" t="s">
        <v>9411</v>
      </c>
      <c r="K652" s="15">
        <v>40544</v>
      </c>
      <c r="L652" s="289" t="s">
        <v>1029</v>
      </c>
      <c r="M652" s="15">
        <v>39812</v>
      </c>
      <c r="N652" s="17">
        <v>15</v>
      </c>
      <c r="O652" s="17">
        <v>64845</v>
      </c>
      <c r="P652" s="17">
        <v>64845</v>
      </c>
      <c r="Q652" s="17">
        <f t="shared" si="16"/>
        <v>0</v>
      </c>
      <c r="R652" s="289"/>
      <c r="S652" s="289"/>
      <c r="T652" s="285"/>
    </row>
    <row r="653" spans="1:20" ht="150.75" customHeight="1" x14ac:dyDescent="0.2">
      <c r="A653" s="289">
        <v>663</v>
      </c>
      <c r="B653" s="289" t="s">
        <v>4337</v>
      </c>
      <c r="C653" s="289" t="s">
        <v>5274</v>
      </c>
      <c r="D653" s="9" t="s">
        <v>4064</v>
      </c>
      <c r="E653" s="14">
        <v>39812</v>
      </c>
      <c r="F653" s="13" t="s">
        <v>3114</v>
      </c>
      <c r="G653" s="285" t="s">
        <v>7982</v>
      </c>
      <c r="H653" s="49" t="s">
        <v>5127</v>
      </c>
      <c r="I653" s="18"/>
      <c r="J653" s="285" t="s">
        <v>9411</v>
      </c>
      <c r="K653" s="15">
        <v>40544</v>
      </c>
      <c r="L653" s="289" t="s">
        <v>1029</v>
      </c>
      <c r="M653" s="15">
        <v>39812</v>
      </c>
      <c r="N653" s="17">
        <v>15</v>
      </c>
      <c r="O653" s="17">
        <v>49905</v>
      </c>
      <c r="P653" s="17">
        <v>49905</v>
      </c>
      <c r="Q653" s="17">
        <f t="shared" si="16"/>
        <v>0</v>
      </c>
      <c r="R653" s="289"/>
      <c r="S653" s="289"/>
      <c r="T653" s="285"/>
    </row>
    <row r="654" spans="1:20" ht="150.75" customHeight="1" x14ac:dyDescent="0.2">
      <c r="A654" s="289">
        <v>664</v>
      </c>
      <c r="B654" s="289" t="s">
        <v>4338</v>
      </c>
      <c r="C654" s="289" t="s">
        <v>5274</v>
      </c>
      <c r="D654" s="9" t="s">
        <v>5966</v>
      </c>
      <c r="E654" s="14">
        <v>39813</v>
      </c>
      <c r="F654" s="13" t="s">
        <v>577</v>
      </c>
      <c r="G654" s="285" t="s">
        <v>7982</v>
      </c>
      <c r="H654" s="49" t="s">
        <v>5127</v>
      </c>
      <c r="I654" s="18"/>
      <c r="J654" s="285" t="s">
        <v>9411</v>
      </c>
      <c r="K654" s="15">
        <v>40544</v>
      </c>
      <c r="L654" s="289" t="s">
        <v>1029</v>
      </c>
      <c r="M654" s="15">
        <v>39813</v>
      </c>
      <c r="N654" s="17">
        <v>1</v>
      </c>
      <c r="O654" s="17">
        <v>7895</v>
      </c>
      <c r="P654" s="17">
        <v>7895</v>
      </c>
      <c r="Q654" s="17">
        <f t="shared" si="16"/>
        <v>0</v>
      </c>
      <c r="R654" s="289"/>
      <c r="S654" s="289"/>
      <c r="T654" s="285"/>
    </row>
    <row r="655" spans="1:20" ht="150.75" customHeight="1" x14ac:dyDescent="0.2">
      <c r="A655" s="289">
        <v>665</v>
      </c>
      <c r="B655" s="289" t="s">
        <v>4339</v>
      </c>
      <c r="C655" s="289" t="s">
        <v>5274</v>
      </c>
      <c r="D655" s="9" t="s">
        <v>6176</v>
      </c>
      <c r="E655" s="14">
        <v>39812</v>
      </c>
      <c r="F655" s="13" t="s">
        <v>5135</v>
      </c>
      <c r="G655" s="285" t="s">
        <v>7982</v>
      </c>
      <c r="H655" s="49" t="s">
        <v>5127</v>
      </c>
      <c r="I655" s="18"/>
      <c r="J655" s="285" t="s">
        <v>9411</v>
      </c>
      <c r="K655" s="15">
        <v>40544</v>
      </c>
      <c r="L655" s="289" t="s">
        <v>1029</v>
      </c>
      <c r="M655" s="15">
        <v>39812</v>
      </c>
      <c r="N655" s="17">
        <v>2</v>
      </c>
      <c r="O655" s="17">
        <f>4743+4743</f>
        <v>9486</v>
      </c>
      <c r="P655" s="17">
        <f>4743+4743</f>
        <v>9486</v>
      </c>
      <c r="Q655" s="17">
        <f t="shared" si="16"/>
        <v>0</v>
      </c>
      <c r="R655" s="289"/>
      <c r="S655" s="289"/>
      <c r="T655" s="285"/>
    </row>
    <row r="656" spans="1:20" ht="150.75" customHeight="1" x14ac:dyDescent="0.2">
      <c r="A656" s="289">
        <v>666</v>
      </c>
      <c r="B656" s="289" t="s">
        <v>4340</v>
      </c>
      <c r="C656" s="289" t="s">
        <v>5274</v>
      </c>
      <c r="D656" s="9" t="s">
        <v>1225</v>
      </c>
      <c r="E656" s="14">
        <v>39715</v>
      </c>
      <c r="F656" s="13" t="s">
        <v>3932</v>
      </c>
      <c r="G656" s="285" t="s">
        <v>7982</v>
      </c>
      <c r="H656" s="49" t="s">
        <v>5127</v>
      </c>
      <c r="I656" s="18"/>
      <c r="J656" s="285" t="s">
        <v>9411</v>
      </c>
      <c r="K656" s="15">
        <v>40544</v>
      </c>
      <c r="L656" s="289" t="s">
        <v>1029</v>
      </c>
      <c r="M656" s="15">
        <v>39715</v>
      </c>
      <c r="N656" s="17">
        <v>1</v>
      </c>
      <c r="O656" s="17">
        <v>7965.99</v>
      </c>
      <c r="P656" s="17">
        <v>7965.99</v>
      </c>
      <c r="Q656" s="17">
        <f t="shared" si="16"/>
        <v>0</v>
      </c>
      <c r="R656" s="289"/>
      <c r="S656" s="289"/>
      <c r="T656" s="285"/>
    </row>
    <row r="657" spans="1:20" ht="150.75" customHeight="1" x14ac:dyDescent="0.2">
      <c r="A657" s="289">
        <v>667</v>
      </c>
      <c r="B657" s="289" t="s">
        <v>4341</v>
      </c>
      <c r="C657" s="289" t="s">
        <v>5274</v>
      </c>
      <c r="D657" s="9" t="s">
        <v>2584</v>
      </c>
      <c r="E657" s="14">
        <v>39812</v>
      </c>
      <c r="F657" s="13" t="s">
        <v>478</v>
      </c>
      <c r="G657" s="285" t="s">
        <v>7982</v>
      </c>
      <c r="H657" s="49" t="s">
        <v>5127</v>
      </c>
      <c r="I657" s="18"/>
      <c r="J657" s="285" t="s">
        <v>9411</v>
      </c>
      <c r="K657" s="15">
        <v>40544</v>
      </c>
      <c r="L657" s="289" t="s">
        <v>1029</v>
      </c>
      <c r="M657" s="15">
        <v>39812</v>
      </c>
      <c r="N657" s="17">
        <v>1</v>
      </c>
      <c r="O657" s="17">
        <v>6906</v>
      </c>
      <c r="P657" s="17">
        <v>6906</v>
      </c>
      <c r="Q657" s="17">
        <f>O657-P657</f>
        <v>0</v>
      </c>
      <c r="R657" s="289"/>
      <c r="S657" s="289"/>
      <c r="T657" s="285"/>
    </row>
    <row r="658" spans="1:20" ht="150.75" customHeight="1" x14ac:dyDescent="0.2">
      <c r="A658" s="289">
        <v>668</v>
      </c>
      <c r="B658" s="289" t="s">
        <v>2683</v>
      </c>
      <c r="C658" s="289" t="s">
        <v>5274</v>
      </c>
      <c r="D658" s="9" t="s">
        <v>4355</v>
      </c>
      <c r="E658" s="14">
        <v>39813</v>
      </c>
      <c r="F658" s="13" t="s">
        <v>468</v>
      </c>
      <c r="G658" s="285" t="s">
        <v>7982</v>
      </c>
      <c r="H658" s="49" t="s">
        <v>5127</v>
      </c>
      <c r="I658" s="18"/>
      <c r="J658" s="285" t="s">
        <v>9411</v>
      </c>
      <c r="K658" s="15">
        <v>40544</v>
      </c>
      <c r="L658" s="289" t="s">
        <v>1029</v>
      </c>
      <c r="M658" s="15">
        <v>39813</v>
      </c>
      <c r="N658" s="17">
        <v>1</v>
      </c>
      <c r="O658" s="17">
        <v>4100</v>
      </c>
      <c r="P658" s="17">
        <v>4100</v>
      </c>
      <c r="Q658" s="17">
        <f>O658-P658</f>
        <v>0</v>
      </c>
      <c r="R658" s="289"/>
      <c r="S658" s="289"/>
      <c r="T658" s="285"/>
    </row>
    <row r="659" spans="1:20" ht="150.75" customHeight="1" x14ac:dyDescent="0.2">
      <c r="A659" s="289">
        <v>669</v>
      </c>
      <c r="B659" s="289" t="s">
        <v>187</v>
      </c>
      <c r="C659" s="289" t="s">
        <v>5274</v>
      </c>
      <c r="D659" s="9" t="s">
        <v>3571</v>
      </c>
      <c r="E659" s="14">
        <v>31746</v>
      </c>
      <c r="F659" s="13" t="s">
        <v>785</v>
      </c>
      <c r="G659" s="285" t="s">
        <v>7982</v>
      </c>
      <c r="H659" s="49" t="s">
        <v>5127</v>
      </c>
      <c r="I659" s="18"/>
      <c r="J659" s="285" t="s">
        <v>9411</v>
      </c>
      <c r="K659" s="15">
        <v>40544</v>
      </c>
      <c r="L659" s="289" t="s">
        <v>1029</v>
      </c>
      <c r="M659" s="15">
        <v>31746</v>
      </c>
      <c r="N659" s="17">
        <v>1</v>
      </c>
      <c r="O659" s="17">
        <v>5299.32</v>
      </c>
      <c r="P659" s="17">
        <v>5299.32</v>
      </c>
      <c r="Q659" s="17">
        <f>O659-P659</f>
        <v>0</v>
      </c>
      <c r="R659" s="289"/>
      <c r="S659" s="289"/>
      <c r="T659" s="285"/>
    </row>
    <row r="660" spans="1:20" ht="150.75" customHeight="1" x14ac:dyDescent="0.2">
      <c r="A660" s="289">
        <v>670</v>
      </c>
      <c r="B660" s="289" t="s">
        <v>188</v>
      </c>
      <c r="C660" s="289" t="s">
        <v>5274</v>
      </c>
      <c r="D660" s="9" t="s">
        <v>5227</v>
      </c>
      <c r="E660" s="14">
        <v>35002</v>
      </c>
      <c r="F660" s="13" t="s">
        <v>2792</v>
      </c>
      <c r="G660" s="285" t="s">
        <v>7982</v>
      </c>
      <c r="H660" s="49" t="s">
        <v>5127</v>
      </c>
      <c r="I660" s="18"/>
      <c r="J660" s="285" t="s">
        <v>9411</v>
      </c>
      <c r="K660" s="15">
        <v>40544</v>
      </c>
      <c r="L660" s="289" t="s">
        <v>1029</v>
      </c>
      <c r="M660" s="15">
        <v>35002</v>
      </c>
      <c r="N660" s="17">
        <v>1</v>
      </c>
      <c r="O660" s="17">
        <v>4994.88</v>
      </c>
      <c r="P660" s="17">
        <v>4994.88</v>
      </c>
      <c r="Q660" s="17">
        <f>O660-P660</f>
        <v>0</v>
      </c>
      <c r="R660" s="289"/>
      <c r="S660" s="289"/>
      <c r="T660" s="285"/>
    </row>
    <row r="661" spans="1:20" ht="150.75" customHeight="1" x14ac:dyDescent="0.2">
      <c r="A661" s="289">
        <v>671</v>
      </c>
      <c r="B661" s="289" t="s">
        <v>189</v>
      </c>
      <c r="C661" s="289" t="s">
        <v>5274</v>
      </c>
      <c r="D661" s="9" t="s">
        <v>9487</v>
      </c>
      <c r="E661" s="14">
        <v>40057</v>
      </c>
      <c r="F661" s="13" t="s">
        <v>941</v>
      </c>
      <c r="G661" s="285" t="s">
        <v>7982</v>
      </c>
      <c r="H661" s="49" t="s">
        <v>5127</v>
      </c>
      <c r="I661" s="18"/>
      <c r="J661" s="285" t="s">
        <v>9411</v>
      </c>
      <c r="K661" s="15">
        <v>40544</v>
      </c>
      <c r="L661" s="289" t="s">
        <v>1029</v>
      </c>
      <c r="M661" s="15">
        <v>40057</v>
      </c>
      <c r="N661" s="17">
        <v>2</v>
      </c>
      <c r="O661" s="17">
        <v>7000</v>
      </c>
      <c r="P661" s="17">
        <v>7000</v>
      </c>
      <c r="Q661" s="17">
        <f>O661-P661</f>
        <v>0</v>
      </c>
      <c r="R661" s="289"/>
      <c r="S661" s="289"/>
      <c r="T661" s="285"/>
    </row>
    <row r="662" spans="1:20" s="39" customFormat="1" ht="150.75" customHeight="1" x14ac:dyDescent="0.2">
      <c r="A662" s="289">
        <v>672</v>
      </c>
      <c r="B662" s="289" t="s">
        <v>4820</v>
      </c>
      <c r="C662" s="289" t="s">
        <v>5274</v>
      </c>
      <c r="D662" s="13" t="s">
        <v>9488</v>
      </c>
      <c r="E662" s="14">
        <v>33358</v>
      </c>
      <c r="F662" s="13" t="s">
        <v>10595</v>
      </c>
      <c r="G662" s="289" t="s">
        <v>7982</v>
      </c>
      <c r="H662" s="285" t="s">
        <v>5127</v>
      </c>
      <c r="I662" s="289"/>
      <c r="J662" s="285" t="s">
        <v>9411</v>
      </c>
      <c r="K662" s="15">
        <v>40544</v>
      </c>
      <c r="L662" s="289" t="s">
        <v>1029</v>
      </c>
      <c r="M662" s="15">
        <v>33358</v>
      </c>
      <c r="N662" s="17">
        <v>1</v>
      </c>
      <c r="O662" s="17">
        <v>7817.7</v>
      </c>
      <c r="P662" s="17">
        <v>7817.7</v>
      </c>
      <c r="Q662" s="17">
        <v>0</v>
      </c>
      <c r="R662" s="17"/>
      <c r="S662" s="289"/>
      <c r="T662" s="285"/>
    </row>
    <row r="663" spans="1:20" ht="150.75" customHeight="1" x14ac:dyDescent="0.2">
      <c r="A663" s="289">
        <v>673</v>
      </c>
      <c r="B663" s="289" t="s">
        <v>190</v>
      </c>
      <c r="C663" s="289"/>
      <c r="D663" s="9" t="s">
        <v>4076</v>
      </c>
      <c r="E663" s="14">
        <v>37406</v>
      </c>
      <c r="F663" s="13" t="s">
        <v>5079</v>
      </c>
      <c r="G663" s="285" t="s">
        <v>7982</v>
      </c>
      <c r="H663" s="49" t="s">
        <v>5127</v>
      </c>
      <c r="I663" s="18"/>
      <c r="J663" s="285" t="s">
        <v>9411</v>
      </c>
      <c r="K663" s="15">
        <v>40544</v>
      </c>
      <c r="L663" s="289" t="s">
        <v>1029</v>
      </c>
      <c r="M663" s="15">
        <v>37406</v>
      </c>
      <c r="N663" s="17">
        <v>1</v>
      </c>
      <c r="O663" s="17">
        <v>6979.35</v>
      </c>
      <c r="P663" s="17">
        <v>6979.35</v>
      </c>
      <c r="Q663" s="17">
        <f t="shared" ref="Q663:Q694" si="17">O663-P663</f>
        <v>0</v>
      </c>
      <c r="R663" s="289"/>
      <c r="S663" s="289"/>
      <c r="T663" s="285"/>
    </row>
    <row r="664" spans="1:20" ht="150.75" customHeight="1" x14ac:dyDescent="0.2">
      <c r="A664" s="289">
        <v>674</v>
      </c>
      <c r="B664" s="289" t="s">
        <v>4821</v>
      </c>
      <c r="C664" s="289" t="s">
        <v>5274</v>
      </c>
      <c r="D664" s="9" t="s">
        <v>5163</v>
      </c>
      <c r="E664" s="14">
        <v>33358</v>
      </c>
      <c r="F664" s="13" t="s">
        <v>3433</v>
      </c>
      <c r="G664" s="285" t="s">
        <v>7982</v>
      </c>
      <c r="H664" s="49" t="s">
        <v>5127</v>
      </c>
      <c r="I664" s="18"/>
      <c r="J664" s="285" t="s">
        <v>9411</v>
      </c>
      <c r="K664" s="15">
        <v>40544</v>
      </c>
      <c r="L664" s="289" t="s">
        <v>1029</v>
      </c>
      <c r="M664" s="15">
        <v>33358</v>
      </c>
      <c r="N664" s="17">
        <v>1</v>
      </c>
      <c r="O664" s="17">
        <v>3326.4</v>
      </c>
      <c r="P664" s="17">
        <v>3326.4</v>
      </c>
      <c r="Q664" s="17">
        <f t="shared" si="17"/>
        <v>0</v>
      </c>
      <c r="R664" s="289"/>
      <c r="S664" s="289"/>
      <c r="T664" s="285"/>
    </row>
    <row r="665" spans="1:20" ht="150.75" customHeight="1" x14ac:dyDescent="0.2">
      <c r="A665" s="289">
        <v>675</v>
      </c>
      <c r="B665" s="289" t="s">
        <v>4822</v>
      </c>
      <c r="C665" s="289" t="s">
        <v>5274</v>
      </c>
      <c r="D665" s="9" t="s">
        <v>43</v>
      </c>
      <c r="E665" s="14">
        <v>24867</v>
      </c>
      <c r="F665" s="13" t="s">
        <v>3072</v>
      </c>
      <c r="G665" s="285" t="s">
        <v>7982</v>
      </c>
      <c r="H665" s="49" t="s">
        <v>5127</v>
      </c>
      <c r="I665" s="18"/>
      <c r="J665" s="285" t="s">
        <v>9411</v>
      </c>
      <c r="K665" s="15">
        <v>40544</v>
      </c>
      <c r="L665" s="289" t="s">
        <v>1029</v>
      </c>
      <c r="M665" s="15">
        <v>24867</v>
      </c>
      <c r="N665" s="17">
        <v>1</v>
      </c>
      <c r="O665" s="17">
        <v>3737.25</v>
      </c>
      <c r="P665" s="17">
        <v>3737.25</v>
      </c>
      <c r="Q665" s="17">
        <f t="shared" si="17"/>
        <v>0</v>
      </c>
      <c r="R665" s="289"/>
      <c r="S665" s="289"/>
      <c r="T665" s="285"/>
    </row>
    <row r="666" spans="1:20" ht="150.75" customHeight="1" x14ac:dyDescent="0.2">
      <c r="A666" s="289">
        <v>676</v>
      </c>
      <c r="B666" s="289" t="s">
        <v>4823</v>
      </c>
      <c r="C666" s="289" t="s">
        <v>5274</v>
      </c>
      <c r="D666" s="9" t="s">
        <v>9488</v>
      </c>
      <c r="E666" s="14">
        <v>39232</v>
      </c>
      <c r="F666" s="13" t="s">
        <v>1477</v>
      </c>
      <c r="G666" s="285" t="s">
        <v>7982</v>
      </c>
      <c r="H666" s="49" t="s">
        <v>5127</v>
      </c>
      <c r="I666" s="18"/>
      <c r="J666" s="285" t="s">
        <v>9411</v>
      </c>
      <c r="K666" s="15">
        <v>40544</v>
      </c>
      <c r="L666" s="289" t="s">
        <v>1029</v>
      </c>
      <c r="M666" s="15">
        <v>39232</v>
      </c>
      <c r="N666" s="17">
        <v>1</v>
      </c>
      <c r="O666" s="17">
        <v>8660</v>
      </c>
      <c r="P666" s="17">
        <v>8660</v>
      </c>
      <c r="Q666" s="17">
        <f t="shared" si="17"/>
        <v>0</v>
      </c>
      <c r="R666" s="289"/>
      <c r="S666" s="289"/>
      <c r="T666" s="285"/>
    </row>
    <row r="667" spans="1:20" ht="150.75" customHeight="1" x14ac:dyDescent="0.2">
      <c r="A667" s="289">
        <v>677</v>
      </c>
      <c r="B667" s="289" t="s">
        <v>4824</v>
      </c>
      <c r="C667" s="289" t="s">
        <v>5274</v>
      </c>
      <c r="D667" s="9" t="s">
        <v>2969</v>
      </c>
      <c r="E667" s="14">
        <v>39232</v>
      </c>
      <c r="F667" s="13" t="s">
        <v>3823</v>
      </c>
      <c r="G667" s="285" t="s">
        <v>7982</v>
      </c>
      <c r="H667" s="49" t="s">
        <v>5127</v>
      </c>
      <c r="I667" s="18"/>
      <c r="J667" s="285" t="s">
        <v>9411</v>
      </c>
      <c r="K667" s="15">
        <v>40544</v>
      </c>
      <c r="L667" s="289" t="s">
        <v>1029</v>
      </c>
      <c r="M667" s="15">
        <v>39232</v>
      </c>
      <c r="N667" s="17">
        <v>1</v>
      </c>
      <c r="O667" s="17">
        <v>6500</v>
      </c>
      <c r="P667" s="17">
        <v>6500</v>
      </c>
      <c r="Q667" s="17">
        <f t="shared" si="17"/>
        <v>0</v>
      </c>
      <c r="R667" s="289"/>
      <c r="S667" s="289"/>
      <c r="T667" s="285"/>
    </row>
    <row r="668" spans="1:20" ht="150.75" customHeight="1" x14ac:dyDescent="0.2">
      <c r="A668" s="289">
        <v>678</v>
      </c>
      <c r="B668" s="285" t="s">
        <v>4825</v>
      </c>
      <c r="C668" s="289" t="s">
        <v>5274</v>
      </c>
      <c r="D668" s="9" t="s">
        <v>740</v>
      </c>
      <c r="E668" s="14">
        <v>33358</v>
      </c>
      <c r="F668" s="41" t="s">
        <v>10957</v>
      </c>
      <c r="G668" s="285" t="s">
        <v>7982</v>
      </c>
      <c r="H668" s="49" t="s">
        <v>5127</v>
      </c>
      <c r="I668" s="17"/>
      <c r="J668" s="285" t="s">
        <v>9411</v>
      </c>
      <c r="K668" s="15">
        <v>40544</v>
      </c>
      <c r="L668" s="289" t="s">
        <v>1029</v>
      </c>
      <c r="M668" s="15">
        <v>33358</v>
      </c>
      <c r="N668" s="17">
        <f>6-1-2</f>
        <v>3</v>
      </c>
      <c r="O668" s="289">
        <f>42413.76-7068.96-14137.92</f>
        <v>21206.880000000005</v>
      </c>
      <c r="P668" s="24">
        <f>42413.76-7068.96-14137.92</f>
        <v>21206.880000000005</v>
      </c>
      <c r="Q668" s="17">
        <f t="shared" si="17"/>
        <v>0</v>
      </c>
      <c r="R668" s="289"/>
      <c r="S668" s="289"/>
      <c r="T668" s="285"/>
    </row>
    <row r="669" spans="1:20" ht="150.75" customHeight="1" x14ac:dyDescent="0.2">
      <c r="A669" s="289">
        <v>679</v>
      </c>
      <c r="B669" s="289" t="s">
        <v>4826</v>
      </c>
      <c r="C669" s="289" t="s">
        <v>5274</v>
      </c>
      <c r="D669" s="9" t="s">
        <v>4398</v>
      </c>
      <c r="E669" s="14">
        <v>39812</v>
      </c>
      <c r="F669" s="13" t="s">
        <v>2099</v>
      </c>
      <c r="G669" s="285" t="s">
        <v>7982</v>
      </c>
      <c r="H669" s="49" t="s">
        <v>5127</v>
      </c>
      <c r="I669" s="18"/>
      <c r="J669" s="285" t="s">
        <v>9411</v>
      </c>
      <c r="K669" s="15">
        <v>40544</v>
      </c>
      <c r="L669" s="289" t="s">
        <v>1029</v>
      </c>
      <c r="M669" s="15">
        <v>39812</v>
      </c>
      <c r="N669" s="17">
        <v>1</v>
      </c>
      <c r="O669" s="17">
        <v>3597</v>
      </c>
      <c r="P669" s="17">
        <v>3597</v>
      </c>
      <c r="Q669" s="17">
        <f t="shared" si="17"/>
        <v>0</v>
      </c>
      <c r="R669" s="289"/>
      <c r="S669" s="289"/>
      <c r="T669" s="285"/>
    </row>
    <row r="670" spans="1:20" ht="150.75" customHeight="1" x14ac:dyDescent="0.2">
      <c r="A670" s="289">
        <v>680</v>
      </c>
      <c r="B670" s="289" t="s">
        <v>4827</v>
      </c>
      <c r="C670" s="289"/>
      <c r="D670" s="9" t="s">
        <v>3780</v>
      </c>
      <c r="E670" s="14">
        <v>38594</v>
      </c>
      <c r="F670" s="13" t="s">
        <v>3216</v>
      </c>
      <c r="G670" s="285" t="s">
        <v>7982</v>
      </c>
      <c r="H670" s="49" t="s">
        <v>5127</v>
      </c>
      <c r="I670" s="18"/>
      <c r="J670" s="285" t="s">
        <v>9411</v>
      </c>
      <c r="K670" s="15">
        <v>40544</v>
      </c>
      <c r="L670" s="289" t="s">
        <v>1029</v>
      </c>
      <c r="M670" s="15">
        <v>38594</v>
      </c>
      <c r="N670" s="17">
        <v>3</v>
      </c>
      <c r="O670" s="17">
        <f>4257*2+4440</f>
        <v>12954</v>
      </c>
      <c r="P670" s="17">
        <f>4257*2+4440</f>
        <v>12954</v>
      </c>
      <c r="Q670" s="17">
        <f t="shared" si="17"/>
        <v>0</v>
      </c>
      <c r="R670" s="289"/>
      <c r="S670" s="289"/>
      <c r="T670" s="285"/>
    </row>
    <row r="671" spans="1:20" ht="150.75" customHeight="1" x14ac:dyDescent="0.2">
      <c r="A671" s="289">
        <v>681</v>
      </c>
      <c r="B671" s="289" t="s">
        <v>4828</v>
      </c>
      <c r="C671" s="289" t="s">
        <v>5274</v>
      </c>
      <c r="D671" s="9" t="s">
        <v>5065</v>
      </c>
      <c r="E671" s="14">
        <v>33511</v>
      </c>
      <c r="F671" s="13" t="s">
        <v>5317</v>
      </c>
      <c r="G671" s="285" t="s">
        <v>7982</v>
      </c>
      <c r="H671" s="49" t="s">
        <v>5127</v>
      </c>
      <c r="I671" s="18"/>
      <c r="J671" s="285" t="s">
        <v>9411</v>
      </c>
      <c r="K671" s="15">
        <v>40544</v>
      </c>
      <c r="L671" s="289" t="s">
        <v>1029</v>
      </c>
      <c r="M671" s="15">
        <v>33511</v>
      </c>
      <c r="N671" s="17">
        <v>2</v>
      </c>
      <c r="O671" s="17">
        <v>17553.939999999999</v>
      </c>
      <c r="P671" s="17">
        <v>17553.939999999999</v>
      </c>
      <c r="Q671" s="17">
        <f t="shared" si="17"/>
        <v>0</v>
      </c>
      <c r="R671" s="289"/>
      <c r="S671" s="289"/>
      <c r="T671" s="285"/>
    </row>
    <row r="672" spans="1:20" ht="150.75" customHeight="1" x14ac:dyDescent="0.2">
      <c r="A672" s="289">
        <v>682</v>
      </c>
      <c r="B672" s="289" t="s">
        <v>4829</v>
      </c>
      <c r="C672" s="289" t="s">
        <v>5274</v>
      </c>
      <c r="D672" s="9" t="s">
        <v>3226</v>
      </c>
      <c r="E672" s="14">
        <v>33511</v>
      </c>
      <c r="F672" s="13" t="s">
        <v>4556</v>
      </c>
      <c r="G672" s="285" t="s">
        <v>7982</v>
      </c>
      <c r="H672" s="49" t="s">
        <v>5127</v>
      </c>
      <c r="I672" s="18"/>
      <c r="J672" s="285" t="s">
        <v>9411</v>
      </c>
      <c r="K672" s="15">
        <v>40544</v>
      </c>
      <c r="L672" s="289" t="s">
        <v>1029</v>
      </c>
      <c r="M672" s="15">
        <v>33511</v>
      </c>
      <c r="N672" s="17">
        <v>3</v>
      </c>
      <c r="O672" s="17">
        <v>17697.45</v>
      </c>
      <c r="P672" s="17">
        <v>17697.45</v>
      </c>
      <c r="Q672" s="17">
        <f t="shared" si="17"/>
        <v>0</v>
      </c>
      <c r="R672" s="289"/>
      <c r="S672" s="289"/>
      <c r="T672" s="285"/>
    </row>
    <row r="673" spans="1:20" ht="150.75" customHeight="1" x14ac:dyDescent="0.2">
      <c r="A673" s="289">
        <v>683</v>
      </c>
      <c r="B673" s="289" t="s">
        <v>4830</v>
      </c>
      <c r="C673" s="289" t="s">
        <v>5274</v>
      </c>
      <c r="D673" s="9" t="s">
        <v>5321</v>
      </c>
      <c r="E673" s="14">
        <v>33358</v>
      </c>
      <c r="F673" s="13" t="s">
        <v>4557</v>
      </c>
      <c r="G673" s="285" t="s">
        <v>7982</v>
      </c>
      <c r="H673" s="49" t="s">
        <v>5127</v>
      </c>
      <c r="I673" s="18"/>
      <c r="J673" s="285" t="s">
        <v>9411</v>
      </c>
      <c r="K673" s="15">
        <v>40544</v>
      </c>
      <c r="L673" s="289" t="s">
        <v>1029</v>
      </c>
      <c r="M673" s="15">
        <v>33358</v>
      </c>
      <c r="N673" s="17">
        <v>1</v>
      </c>
      <c r="O673" s="17">
        <v>8260.08</v>
      </c>
      <c r="P673" s="17">
        <v>8260.08</v>
      </c>
      <c r="Q673" s="17">
        <f t="shared" si="17"/>
        <v>0</v>
      </c>
      <c r="R673" s="289"/>
      <c r="S673" s="289"/>
      <c r="T673" s="285"/>
    </row>
    <row r="674" spans="1:20" ht="150.75" customHeight="1" x14ac:dyDescent="0.2">
      <c r="A674" s="289">
        <v>684</v>
      </c>
      <c r="B674" s="289" t="s">
        <v>4831</v>
      </c>
      <c r="C674" s="289"/>
      <c r="D674" s="9" t="s">
        <v>1085</v>
      </c>
      <c r="E674" s="14">
        <v>32903</v>
      </c>
      <c r="F674" s="13" t="s">
        <v>4558</v>
      </c>
      <c r="G674" s="285" t="s">
        <v>7982</v>
      </c>
      <c r="H674" s="49" t="s">
        <v>5127</v>
      </c>
      <c r="I674" s="18"/>
      <c r="J674" s="285" t="s">
        <v>9411</v>
      </c>
      <c r="K674" s="15">
        <v>40544</v>
      </c>
      <c r="L674" s="289" t="s">
        <v>1029</v>
      </c>
      <c r="M674" s="15">
        <v>32903</v>
      </c>
      <c r="N674" s="17">
        <v>1</v>
      </c>
      <c r="O674" s="17">
        <v>3792.22</v>
      </c>
      <c r="P674" s="17">
        <v>3792.22</v>
      </c>
      <c r="Q674" s="17">
        <f t="shared" si="17"/>
        <v>0</v>
      </c>
      <c r="R674" s="289"/>
      <c r="S674" s="289"/>
      <c r="T674" s="285"/>
    </row>
    <row r="675" spans="1:20" ht="150.75" customHeight="1" x14ac:dyDescent="0.2">
      <c r="A675" s="289">
        <v>685</v>
      </c>
      <c r="B675" s="289" t="s">
        <v>3013</v>
      </c>
      <c r="C675" s="289" t="s">
        <v>5274</v>
      </c>
      <c r="D675" s="9" t="s">
        <v>5446</v>
      </c>
      <c r="E675" s="14">
        <v>39052</v>
      </c>
      <c r="F675" s="13" t="s">
        <v>4559</v>
      </c>
      <c r="G675" s="285" t="s">
        <v>7982</v>
      </c>
      <c r="H675" s="49" t="s">
        <v>5127</v>
      </c>
      <c r="I675" s="18"/>
      <c r="J675" s="285" t="s">
        <v>9411</v>
      </c>
      <c r="K675" s="15">
        <v>40544</v>
      </c>
      <c r="L675" s="289" t="s">
        <v>1029</v>
      </c>
      <c r="M675" s="15">
        <v>39052</v>
      </c>
      <c r="N675" s="17">
        <v>2</v>
      </c>
      <c r="O675" s="17">
        <f>5508+5508</f>
        <v>11016</v>
      </c>
      <c r="P675" s="17">
        <f>5508+5508</f>
        <v>11016</v>
      </c>
      <c r="Q675" s="17">
        <f t="shared" si="17"/>
        <v>0</v>
      </c>
      <c r="R675" s="289"/>
      <c r="S675" s="289"/>
      <c r="T675" s="285"/>
    </row>
    <row r="676" spans="1:20" ht="150.75" customHeight="1" x14ac:dyDescent="0.2">
      <c r="A676" s="289">
        <v>686</v>
      </c>
      <c r="B676" s="289" t="s">
        <v>904</v>
      </c>
      <c r="C676" s="289" t="s">
        <v>5274</v>
      </c>
      <c r="D676" s="9" t="s">
        <v>2644</v>
      </c>
      <c r="E676" s="14">
        <v>40422</v>
      </c>
      <c r="F676" s="13" t="s">
        <v>2859</v>
      </c>
      <c r="G676" s="285" t="s">
        <v>7982</v>
      </c>
      <c r="H676" s="49" t="s">
        <v>5127</v>
      </c>
      <c r="I676" s="18"/>
      <c r="J676" s="285" t="s">
        <v>9411</v>
      </c>
      <c r="K676" s="15">
        <v>40544</v>
      </c>
      <c r="L676" s="289" t="s">
        <v>1029</v>
      </c>
      <c r="M676" s="15">
        <v>40422</v>
      </c>
      <c r="N676" s="17">
        <v>1</v>
      </c>
      <c r="O676" s="17">
        <v>9149</v>
      </c>
      <c r="P676" s="17">
        <v>9149</v>
      </c>
      <c r="Q676" s="17">
        <f t="shared" si="17"/>
        <v>0</v>
      </c>
      <c r="R676" s="289"/>
      <c r="S676" s="289"/>
      <c r="T676" s="285"/>
    </row>
    <row r="677" spans="1:20" ht="150.75" customHeight="1" x14ac:dyDescent="0.2">
      <c r="A677" s="289">
        <v>687</v>
      </c>
      <c r="B677" s="289" t="s">
        <v>905</v>
      </c>
      <c r="C677" s="289" t="s">
        <v>5274</v>
      </c>
      <c r="D677" s="9" t="s">
        <v>3083</v>
      </c>
      <c r="E677" s="14">
        <v>33358</v>
      </c>
      <c r="F677" s="13" t="s">
        <v>4560</v>
      </c>
      <c r="G677" s="285" t="s">
        <v>7982</v>
      </c>
      <c r="H677" s="49" t="s">
        <v>5127</v>
      </c>
      <c r="I677" s="18"/>
      <c r="J677" s="285" t="s">
        <v>9411</v>
      </c>
      <c r="K677" s="15">
        <v>40544</v>
      </c>
      <c r="L677" s="289" t="s">
        <v>1029</v>
      </c>
      <c r="M677" s="15">
        <v>33358</v>
      </c>
      <c r="N677" s="17">
        <v>2</v>
      </c>
      <c r="O677" s="17">
        <v>12829.54</v>
      </c>
      <c r="P677" s="17">
        <v>12829.54</v>
      </c>
      <c r="Q677" s="17">
        <f t="shared" si="17"/>
        <v>0</v>
      </c>
      <c r="R677" s="289"/>
      <c r="S677" s="289"/>
      <c r="T677" s="285"/>
    </row>
    <row r="678" spans="1:20" ht="150.75" customHeight="1" x14ac:dyDescent="0.2">
      <c r="A678" s="289">
        <v>688</v>
      </c>
      <c r="B678" s="289" t="s">
        <v>906</v>
      </c>
      <c r="C678" s="289" t="s">
        <v>5274</v>
      </c>
      <c r="D678" s="9" t="s">
        <v>3084</v>
      </c>
      <c r="E678" s="14">
        <v>40057</v>
      </c>
      <c r="F678" s="13" t="s">
        <v>4561</v>
      </c>
      <c r="G678" s="285" t="s">
        <v>7982</v>
      </c>
      <c r="H678" s="49" t="s">
        <v>5127</v>
      </c>
      <c r="I678" s="18"/>
      <c r="J678" s="285" t="s">
        <v>9411</v>
      </c>
      <c r="K678" s="15">
        <v>40544</v>
      </c>
      <c r="L678" s="289" t="s">
        <v>1029</v>
      </c>
      <c r="M678" s="15">
        <v>40057</v>
      </c>
      <c r="N678" s="17">
        <v>1</v>
      </c>
      <c r="O678" s="17">
        <v>5572.26</v>
      </c>
      <c r="P678" s="17">
        <v>5572.26</v>
      </c>
      <c r="Q678" s="17">
        <f t="shared" si="17"/>
        <v>0</v>
      </c>
      <c r="R678" s="289"/>
      <c r="S678" s="289"/>
      <c r="T678" s="285"/>
    </row>
    <row r="679" spans="1:20" ht="150.75" customHeight="1" x14ac:dyDescent="0.2">
      <c r="A679" s="289">
        <v>689</v>
      </c>
      <c r="B679" s="289" t="s">
        <v>1497</v>
      </c>
      <c r="C679" s="289" t="s">
        <v>5274</v>
      </c>
      <c r="D679" s="9" t="s">
        <v>448</v>
      </c>
      <c r="E679" s="14">
        <v>39106</v>
      </c>
      <c r="F679" s="13" t="s">
        <v>4562</v>
      </c>
      <c r="G679" s="285" t="s">
        <v>7982</v>
      </c>
      <c r="H679" s="49" t="s">
        <v>5127</v>
      </c>
      <c r="I679" s="18"/>
      <c r="J679" s="285" t="s">
        <v>9411</v>
      </c>
      <c r="K679" s="15">
        <v>40544</v>
      </c>
      <c r="L679" s="289" t="s">
        <v>1029</v>
      </c>
      <c r="M679" s="15">
        <v>39106</v>
      </c>
      <c r="N679" s="17">
        <v>1</v>
      </c>
      <c r="O679" s="17">
        <v>3226.26</v>
      </c>
      <c r="P679" s="17">
        <v>3226.26</v>
      </c>
      <c r="Q679" s="17">
        <f t="shared" si="17"/>
        <v>0</v>
      </c>
      <c r="R679" s="289"/>
      <c r="S679" s="289"/>
      <c r="T679" s="285"/>
    </row>
    <row r="680" spans="1:20" ht="150.75" customHeight="1" x14ac:dyDescent="0.2">
      <c r="A680" s="289">
        <v>690</v>
      </c>
      <c r="B680" s="289" t="s">
        <v>3496</v>
      </c>
      <c r="C680" s="289" t="s">
        <v>5274</v>
      </c>
      <c r="D680" s="9" t="s">
        <v>1761</v>
      </c>
      <c r="E680" s="14">
        <v>39813</v>
      </c>
      <c r="F680" s="13" t="s">
        <v>3358</v>
      </c>
      <c r="G680" s="285" t="s">
        <v>7982</v>
      </c>
      <c r="H680" s="49" t="s">
        <v>5127</v>
      </c>
      <c r="I680" s="18"/>
      <c r="J680" s="285" t="s">
        <v>9411</v>
      </c>
      <c r="K680" s="15">
        <v>40544</v>
      </c>
      <c r="L680" s="289" t="s">
        <v>1029</v>
      </c>
      <c r="M680" s="15">
        <v>39813</v>
      </c>
      <c r="N680" s="17">
        <v>1</v>
      </c>
      <c r="O680" s="17">
        <v>4350</v>
      </c>
      <c r="P680" s="17">
        <v>4350</v>
      </c>
      <c r="Q680" s="17">
        <f t="shared" si="17"/>
        <v>0</v>
      </c>
      <c r="R680" s="289"/>
      <c r="S680" s="289"/>
      <c r="T680" s="285"/>
    </row>
    <row r="681" spans="1:20" ht="150.75" customHeight="1" x14ac:dyDescent="0.2">
      <c r="A681" s="289">
        <v>691</v>
      </c>
      <c r="B681" s="289" t="s">
        <v>3497</v>
      </c>
      <c r="C681" s="289" t="s">
        <v>5274</v>
      </c>
      <c r="D681" s="9" t="s">
        <v>9489</v>
      </c>
      <c r="E681" s="14">
        <v>39812</v>
      </c>
      <c r="F681" s="13" t="s">
        <v>576</v>
      </c>
      <c r="G681" s="285" t="s">
        <v>7982</v>
      </c>
      <c r="H681" s="49" t="s">
        <v>5127</v>
      </c>
      <c r="I681" s="18"/>
      <c r="J681" s="285" t="s">
        <v>9411</v>
      </c>
      <c r="K681" s="15">
        <v>40544</v>
      </c>
      <c r="L681" s="289" t="s">
        <v>1029</v>
      </c>
      <c r="M681" s="15">
        <v>39812</v>
      </c>
      <c r="N681" s="17">
        <v>1</v>
      </c>
      <c r="O681" s="17">
        <v>9083</v>
      </c>
      <c r="P681" s="17">
        <v>9083</v>
      </c>
      <c r="Q681" s="17">
        <f t="shared" si="17"/>
        <v>0</v>
      </c>
      <c r="R681" s="289"/>
      <c r="S681" s="289"/>
      <c r="T681" s="285"/>
    </row>
    <row r="682" spans="1:20" ht="150.75" customHeight="1" x14ac:dyDescent="0.2">
      <c r="A682" s="289">
        <v>692</v>
      </c>
      <c r="B682" s="289" t="s">
        <v>3498</v>
      </c>
      <c r="C682" s="289" t="s">
        <v>5274</v>
      </c>
      <c r="D682" s="9" t="s">
        <v>5446</v>
      </c>
      <c r="E682" s="14">
        <v>39442</v>
      </c>
      <c r="F682" s="13" t="s">
        <v>3732</v>
      </c>
      <c r="G682" s="285" t="s">
        <v>7982</v>
      </c>
      <c r="H682" s="49" t="s">
        <v>5127</v>
      </c>
      <c r="I682" s="18"/>
      <c r="J682" s="285" t="s">
        <v>9411</v>
      </c>
      <c r="K682" s="15">
        <v>40544</v>
      </c>
      <c r="L682" s="289" t="s">
        <v>1029</v>
      </c>
      <c r="M682" s="15">
        <v>39442</v>
      </c>
      <c r="N682" s="17">
        <v>2</v>
      </c>
      <c r="O682" s="17">
        <f>3400+3400</f>
        <v>6800</v>
      </c>
      <c r="P682" s="17">
        <f>3400+3400</f>
        <v>6800</v>
      </c>
      <c r="Q682" s="17">
        <f t="shared" si="17"/>
        <v>0</v>
      </c>
      <c r="R682" s="289"/>
      <c r="S682" s="289"/>
      <c r="T682" s="285"/>
    </row>
    <row r="683" spans="1:20" ht="150.75" customHeight="1" x14ac:dyDescent="0.2">
      <c r="A683" s="289">
        <v>693</v>
      </c>
      <c r="B683" s="289" t="s">
        <v>3499</v>
      </c>
      <c r="C683" s="289" t="s">
        <v>5274</v>
      </c>
      <c r="D683" s="9" t="s">
        <v>4131</v>
      </c>
      <c r="E683" s="14">
        <v>38837</v>
      </c>
      <c r="F683" s="13" t="s">
        <v>5053</v>
      </c>
      <c r="G683" s="285" t="s">
        <v>7982</v>
      </c>
      <c r="H683" s="49" t="s">
        <v>5127</v>
      </c>
      <c r="I683" s="18"/>
      <c r="J683" s="285" t="s">
        <v>9411</v>
      </c>
      <c r="K683" s="15">
        <v>40544</v>
      </c>
      <c r="L683" s="289" t="s">
        <v>1029</v>
      </c>
      <c r="M683" s="15">
        <v>38837</v>
      </c>
      <c r="N683" s="17">
        <v>25</v>
      </c>
      <c r="O683" s="17">
        <v>76500</v>
      </c>
      <c r="P683" s="17">
        <v>76500</v>
      </c>
      <c r="Q683" s="17">
        <f t="shared" si="17"/>
        <v>0</v>
      </c>
      <c r="R683" s="289"/>
      <c r="S683" s="289"/>
      <c r="T683" s="285"/>
    </row>
    <row r="684" spans="1:20" ht="150.75" customHeight="1" x14ac:dyDescent="0.2">
      <c r="A684" s="289">
        <v>694</v>
      </c>
      <c r="B684" s="289" t="s">
        <v>3500</v>
      </c>
      <c r="C684" s="289" t="s">
        <v>5274</v>
      </c>
      <c r="D684" s="9" t="s">
        <v>4132</v>
      </c>
      <c r="E684" s="14">
        <v>38837</v>
      </c>
      <c r="F684" s="13" t="s">
        <v>5054</v>
      </c>
      <c r="G684" s="285" t="s">
        <v>7982</v>
      </c>
      <c r="H684" s="49" t="s">
        <v>5127</v>
      </c>
      <c r="I684" s="18"/>
      <c r="J684" s="285" t="s">
        <v>9411</v>
      </c>
      <c r="K684" s="15">
        <v>40544</v>
      </c>
      <c r="L684" s="289" t="s">
        <v>1029</v>
      </c>
      <c r="M684" s="15">
        <v>38837</v>
      </c>
      <c r="N684" s="17">
        <v>6</v>
      </c>
      <c r="O684" s="17">
        <v>21420</v>
      </c>
      <c r="P684" s="17">
        <v>21420</v>
      </c>
      <c r="Q684" s="17">
        <f t="shared" si="17"/>
        <v>0</v>
      </c>
      <c r="R684" s="289"/>
      <c r="S684" s="289"/>
      <c r="T684" s="285"/>
    </row>
    <row r="685" spans="1:20" ht="150.75" customHeight="1" x14ac:dyDescent="0.2">
      <c r="A685" s="289">
        <v>695</v>
      </c>
      <c r="B685" s="289" t="s">
        <v>4566</v>
      </c>
      <c r="C685" s="289" t="s">
        <v>5274</v>
      </c>
      <c r="D685" s="9" t="s">
        <v>6098</v>
      </c>
      <c r="E685" s="14">
        <v>40031</v>
      </c>
      <c r="F685" s="13" t="s">
        <v>1126</v>
      </c>
      <c r="G685" s="285" t="s">
        <v>7982</v>
      </c>
      <c r="H685" s="49" t="s">
        <v>5127</v>
      </c>
      <c r="I685" s="18"/>
      <c r="J685" s="285" t="s">
        <v>1017</v>
      </c>
      <c r="K685" s="15">
        <v>40031</v>
      </c>
      <c r="L685" s="12" t="s">
        <v>9477</v>
      </c>
      <c r="M685" s="15">
        <v>40031</v>
      </c>
      <c r="N685" s="17">
        <v>1</v>
      </c>
      <c r="O685" s="17">
        <v>4419.8599999999997</v>
      </c>
      <c r="P685" s="17">
        <v>4419.8599999999997</v>
      </c>
      <c r="Q685" s="17">
        <f t="shared" si="17"/>
        <v>0</v>
      </c>
      <c r="R685" s="285" t="s">
        <v>5055</v>
      </c>
      <c r="S685" s="14">
        <v>40031</v>
      </c>
      <c r="T685" s="285">
        <v>1090</v>
      </c>
    </row>
    <row r="686" spans="1:20" ht="150.75" customHeight="1" x14ac:dyDescent="0.2">
      <c r="A686" s="289">
        <v>696</v>
      </c>
      <c r="B686" s="289" t="s">
        <v>1203</v>
      </c>
      <c r="C686" s="289" t="s">
        <v>5274</v>
      </c>
      <c r="D686" s="9" t="s">
        <v>4372</v>
      </c>
      <c r="E686" s="14">
        <v>40148</v>
      </c>
      <c r="F686" s="13" t="s">
        <v>5057</v>
      </c>
      <c r="G686" s="285" t="s">
        <v>7982</v>
      </c>
      <c r="H686" s="49" t="s">
        <v>5127</v>
      </c>
      <c r="I686" s="18"/>
      <c r="J686" s="285" t="s">
        <v>1017</v>
      </c>
      <c r="K686" s="15">
        <v>40148</v>
      </c>
      <c r="L686" s="12" t="s">
        <v>9478</v>
      </c>
      <c r="M686" s="15">
        <v>40148</v>
      </c>
      <c r="N686" s="17">
        <v>1</v>
      </c>
      <c r="O686" s="17">
        <v>4898.75</v>
      </c>
      <c r="P686" s="17">
        <v>4898.75</v>
      </c>
      <c r="Q686" s="17">
        <f t="shared" si="17"/>
        <v>0</v>
      </c>
      <c r="R686" s="285" t="s">
        <v>5055</v>
      </c>
      <c r="S686" s="15">
        <v>40148</v>
      </c>
      <c r="T686" s="285">
        <v>1975</v>
      </c>
    </row>
    <row r="687" spans="1:20" ht="150.75" customHeight="1" x14ac:dyDescent="0.2">
      <c r="A687" s="289">
        <v>697</v>
      </c>
      <c r="B687" s="289" t="s">
        <v>4668</v>
      </c>
      <c r="C687" s="289" t="s">
        <v>5274</v>
      </c>
      <c r="D687" s="9" t="s">
        <v>5732</v>
      </c>
      <c r="E687" s="14">
        <v>40094</v>
      </c>
      <c r="F687" s="13" t="s">
        <v>4896</v>
      </c>
      <c r="G687" s="285" t="s">
        <v>7982</v>
      </c>
      <c r="H687" s="49" t="s">
        <v>5127</v>
      </c>
      <c r="I687" s="18"/>
      <c r="J687" s="285" t="s">
        <v>1017</v>
      </c>
      <c r="K687" s="15">
        <v>40094</v>
      </c>
      <c r="L687" s="12" t="s">
        <v>9479</v>
      </c>
      <c r="M687" s="15">
        <v>40094</v>
      </c>
      <c r="N687" s="17">
        <v>3</v>
      </c>
      <c r="O687" s="17">
        <v>16092.24</v>
      </c>
      <c r="P687" s="17">
        <v>16092.24</v>
      </c>
      <c r="Q687" s="17">
        <f t="shared" si="17"/>
        <v>0</v>
      </c>
      <c r="R687" s="285" t="s">
        <v>5055</v>
      </c>
      <c r="S687" s="15">
        <v>40094</v>
      </c>
      <c r="T687" s="285">
        <v>1460</v>
      </c>
    </row>
    <row r="688" spans="1:20" ht="150.75" customHeight="1" x14ac:dyDescent="0.2">
      <c r="A688" s="289">
        <v>698</v>
      </c>
      <c r="B688" s="289" t="s">
        <v>4669</v>
      </c>
      <c r="C688" s="289" t="s">
        <v>5274</v>
      </c>
      <c r="D688" s="9" t="s">
        <v>2562</v>
      </c>
      <c r="E688" s="14">
        <v>40094</v>
      </c>
      <c r="F688" s="13" t="s">
        <v>4897</v>
      </c>
      <c r="G688" s="285" t="s">
        <v>7982</v>
      </c>
      <c r="H688" s="49" t="s">
        <v>5127</v>
      </c>
      <c r="I688" s="18"/>
      <c r="J688" s="285" t="s">
        <v>1017</v>
      </c>
      <c r="K688" s="15">
        <v>40094</v>
      </c>
      <c r="L688" s="12" t="s">
        <v>9479</v>
      </c>
      <c r="M688" s="15">
        <v>40094</v>
      </c>
      <c r="N688" s="17">
        <v>1</v>
      </c>
      <c r="O688" s="17">
        <v>8531.09</v>
      </c>
      <c r="P688" s="17">
        <v>8531.09</v>
      </c>
      <c r="Q688" s="17">
        <f t="shared" si="17"/>
        <v>0</v>
      </c>
      <c r="R688" s="285" t="s">
        <v>5055</v>
      </c>
      <c r="S688" s="15">
        <v>40094</v>
      </c>
      <c r="T688" s="285">
        <v>1460</v>
      </c>
    </row>
    <row r="689" spans="1:20" ht="150.75" customHeight="1" x14ac:dyDescent="0.2">
      <c r="A689" s="289">
        <v>699</v>
      </c>
      <c r="B689" s="289" t="s">
        <v>4670</v>
      </c>
      <c r="C689" s="289" t="s">
        <v>5274</v>
      </c>
      <c r="D689" s="9" t="s">
        <v>4998</v>
      </c>
      <c r="E689" s="14">
        <v>40094</v>
      </c>
      <c r="F689" s="13" t="s">
        <v>4898</v>
      </c>
      <c r="G689" s="285" t="s">
        <v>7982</v>
      </c>
      <c r="H689" s="49" t="s">
        <v>5127</v>
      </c>
      <c r="I689" s="18"/>
      <c r="J689" s="285" t="s">
        <v>1017</v>
      </c>
      <c r="K689" s="15">
        <v>40094</v>
      </c>
      <c r="L689" s="12" t="s">
        <v>9479</v>
      </c>
      <c r="M689" s="15">
        <v>40094</v>
      </c>
      <c r="N689" s="17">
        <v>1</v>
      </c>
      <c r="O689" s="17">
        <v>8764.84</v>
      </c>
      <c r="P689" s="17">
        <v>8764.84</v>
      </c>
      <c r="Q689" s="17">
        <f t="shared" si="17"/>
        <v>0</v>
      </c>
      <c r="R689" s="285" t="s">
        <v>5055</v>
      </c>
      <c r="S689" s="15">
        <v>40094</v>
      </c>
      <c r="T689" s="285">
        <v>1460</v>
      </c>
    </row>
    <row r="690" spans="1:20" ht="150.75" customHeight="1" x14ac:dyDescent="0.2">
      <c r="A690" s="289">
        <v>700</v>
      </c>
      <c r="B690" s="289" t="s">
        <v>4671</v>
      </c>
      <c r="C690" s="289" t="s">
        <v>5274</v>
      </c>
      <c r="D690" s="9" t="s">
        <v>2560</v>
      </c>
      <c r="E690" s="14">
        <v>40094</v>
      </c>
      <c r="F690" s="13" t="s">
        <v>9165</v>
      </c>
      <c r="G690" s="285" t="s">
        <v>7982</v>
      </c>
      <c r="H690" s="49" t="s">
        <v>5127</v>
      </c>
      <c r="I690" s="18"/>
      <c r="J690" s="285" t="s">
        <v>3136</v>
      </c>
      <c r="K690" s="15">
        <v>43770</v>
      </c>
      <c r="L690" s="12" t="s">
        <v>9171</v>
      </c>
      <c r="M690" s="15">
        <v>40094</v>
      </c>
      <c r="N690" s="17">
        <v>2</v>
      </c>
      <c r="O690" s="17">
        <f>15566.34-5188.78</f>
        <v>10377.560000000001</v>
      </c>
      <c r="P690" s="17">
        <f>15566.34-5188.78</f>
        <v>10377.560000000001</v>
      </c>
      <c r="Q690" s="17">
        <f t="shared" si="17"/>
        <v>0</v>
      </c>
      <c r="R690" s="285" t="s">
        <v>5055</v>
      </c>
      <c r="S690" s="15">
        <v>40094</v>
      </c>
      <c r="T690" s="285">
        <v>1460</v>
      </c>
    </row>
    <row r="691" spans="1:20" ht="150.75" customHeight="1" x14ac:dyDescent="0.2">
      <c r="A691" s="289">
        <v>701</v>
      </c>
      <c r="B691" s="289" t="s">
        <v>4671</v>
      </c>
      <c r="C691" s="289" t="s">
        <v>5274</v>
      </c>
      <c r="D691" s="9" t="s">
        <v>2560</v>
      </c>
      <c r="E691" s="14">
        <v>40094</v>
      </c>
      <c r="F691" s="13" t="s">
        <v>9166</v>
      </c>
      <c r="G691" s="285" t="s">
        <v>7981</v>
      </c>
      <c r="H691" s="49" t="s">
        <v>5127</v>
      </c>
      <c r="I691" s="18"/>
      <c r="J691" s="285" t="s">
        <v>3136</v>
      </c>
      <c r="K691" s="15">
        <v>43770</v>
      </c>
      <c r="L691" s="12" t="s">
        <v>9171</v>
      </c>
      <c r="M691" s="15">
        <v>40094</v>
      </c>
      <c r="N691" s="17">
        <v>1</v>
      </c>
      <c r="O691" s="17">
        <v>5188.78</v>
      </c>
      <c r="P691" s="17">
        <v>5188.78</v>
      </c>
      <c r="Q691" s="17">
        <f t="shared" si="17"/>
        <v>0</v>
      </c>
      <c r="R691" s="285" t="s">
        <v>5055</v>
      </c>
      <c r="S691" s="15">
        <v>40094</v>
      </c>
      <c r="T691" s="285">
        <v>1460</v>
      </c>
    </row>
    <row r="692" spans="1:20" ht="150.75" customHeight="1" x14ac:dyDescent="0.2">
      <c r="A692" s="289">
        <v>702</v>
      </c>
      <c r="B692" s="289" t="s">
        <v>4672</v>
      </c>
      <c r="C692" s="289" t="s">
        <v>5274</v>
      </c>
      <c r="D692" s="9" t="s">
        <v>4759</v>
      </c>
      <c r="E692" s="14">
        <v>40422</v>
      </c>
      <c r="F692" s="13" t="s">
        <v>2075</v>
      </c>
      <c r="G692" s="285" t="s">
        <v>7982</v>
      </c>
      <c r="H692" s="49" t="s">
        <v>5127</v>
      </c>
      <c r="I692" s="18"/>
      <c r="J692" s="285" t="s">
        <v>9411</v>
      </c>
      <c r="K692" s="15">
        <v>40544</v>
      </c>
      <c r="L692" s="289" t="s">
        <v>1029</v>
      </c>
      <c r="M692" s="15">
        <v>40422</v>
      </c>
      <c r="N692" s="17">
        <v>2</v>
      </c>
      <c r="O692" s="17">
        <v>10426.48</v>
      </c>
      <c r="P692" s="17">
        <v>10426.48</v>
      </c>
      <c r="Q692" s="17">
        <f t="shared" si="17"/>
        <v>0</v>
      </c>
      <c r="R692" s="285" t="s">
        <v>5056</v>
      </c>
      <c r="S692" s="285">
        <v>2010</v>
      </c>
      <c r="T692" s="285"/>
    </row>
    <row r="693" spans="1:20" ht="150.75" customHeight="1" x14ac:dyDescent="0.2">
      <c r="A693" s="289">
        <v>703</v>
      </c>
      <c r="B693" s="289" t="s">
        <v>1749</v>
      </c>
      <c r="C693" s="289" t="s">
        <v>5274</v>
      </c>
      <c r="D693" s="9" t="s">
        <v>3731</v>
      </c>
      <c r="E693" s="14">
        <v>39812</v>
      </c>
      <c r="F693" s="13" t="s">
        <v>2735</v>
      </c>
      <c r="G693" s="285" t="s">
        <v>7982</v>
      </c>
      <c r="H693" s="49" t="s">
        <v>5127</v>
      </c>
      <c r="I693" s="18"/>
      <c r="J693" s="285" t="s">
        <v>9411</v>
      </c>
      <c r="K693" s="15">
        <v>40544</v>
      </c>
      <c r="L693" s="289" t="s">
        <v>1029</v>
      </c>
      <c r="M693" s="15">
        <v>39812</v>
      </c>
      <c r="N693" s="17">
        <v>1</v>
      </c>
      <c r="O693" s="17">
        <v>6455</v>
      </c>
      <c r="P693" s="17">
        <v>6455</v>
      </c>
      <c r="Q693" s="17">
        <f t="shared" si="17"/>
        <v>0</v>
      </c>
      <c r="R693" s="285"/>
      <c r="S693" s="285"/>
      <c r="T693" s="285"/>
    </row>
    <row r="694" spans="1:20" ht="150.75" customHeight="1" x14ac:dyDescent="0.2">
      <c r="A694" s="289">
        <v>704</v>
      </c>
      <c r="B694" s="289" t="s">
        <v>1750</v>
      </c>
      <c r="C694" s="289"/>
      <c r="D694" s="9" t="s">
        <v>2717</v>
      </c>
      <c r="E694" s="14">
        <v>41163</v>
      </c>
      <c r="F694" s="13" t="s">
        <v>5665</v>
      </c>
      <c r="G694" s="285" t="s">
        <v>7982</v>
      </c>
      <c r="H694" s="49" t="s">
        <v>5127</v>
      </c>
      <c r="I694" s="18"/>
      <c r="J694" s="285" t="s">
        <v>9437</v>
      </c>
      <c r="K694" s="15">
        <v>41182</v>
      </c>
      <c r="L694" s="289" t="s">
        <v>1029</v>
      </c>
      <c r="M694" s="15">
        <v>41163</v>
      </c>
      <c r="N694" s="17">
        <v>3</v>
      </c>
      <c r="O694" s="17">
        <v>11130</v>
      </c>
      <c r="P694" s="17">
        <v>11130</v>
      </c>
      <c r="Q694" s="17">
        <f t="shared" si="17"/>
        <v>0</v>
      </c>
      <c r="R694" s="285" t="s">
        <v>5071</v>
      </c>
      <c r="S694" s="14">
        <v>41163</v>
      </c>
      <c r="T694" s="285">
        <v>461</v>
      </c>
    </row>
    <row r="695" spans="1:20" ht="103.5" customHeight="1" x14ac:dyDescent="0.2">
      <c r="A695" s="289">
        <v>705</v>
      </c>
      <c r="B695" s="289" t="s">
        <v>5436</v>
      </c>
      <c r="C695" s="289"/>
      <c r="D695" s="9" t="s">
        <v>6267</v>
      </c>
      <c r="E695" s="14">
        <v>41165</v>
      </c>
      <c r="F695" s="13" t="s">
        <v>366</v>
      </c>
      <c r="G695" s="285" t="s">
        <v>7982</v>
      </c>
      <c r="H695" s="49" t="s">
        <v>5127</v>
      </c>
      <c r="I695" s="18"/>
      <c r="J695" s="285" t="s">
        <v>9437</v>
      </c>
      <c r="K695" s="15">
        <v>41182</v>
      </c>
      <c r="L695" s="289" t="s">
        <v>1029</v>
      </c>
      <c r="M695" s="15">
        <v>41165</v>
      </c>
      <c r="N695" s="17">
        <v>1</v>
      </c>
      <c r="O695" s="17">
        <v>3659</v>
      </c>
      <c r="P695" s="17">
        <v>3659</v>
      </c>
      <c r="Q695" s="17">
        <f t="shared" ref="Q695:Q725" si="18">O695-P695</f>
        <v>0</v>
      </c>
      <c r="R695" s="285" t="s">
        <v>5071</v>
      </c>
      <c r="S695" s="14">
        <v>41165</v>
      </c>
      <c r="T695" s="285">
        <v>181</v>
      </c>
    </row>
    <row r="696" spans="1:20" ht="150.75" customHeight="1" x14ac:dyDescent="0.2">
      <c r="A696" s="289">
        <v>706</v>
      </c>
      <c r="B696" s="289" t="s">
        <v>5437</v>
      </c>
      <c r="C696" s="289" t="s">
        <v>6497</v>
      </c>
      <c r="D696" s="9" t="s">
        <v>2294</v>
      </c>
      <c r="E696" s="70">
        <v>2015</v>
      </c>
      <c r="F696" s="13"/>
      <c r="G696" s="285" t="s">
        <v>7982</v>
      </c>
      <c r="H696" s="49" t="s">
        <v>5127</v>
      </c>
      <c r="I696" s="18"/>
      <c r="J696" s="285" t="s">
        <v>2760</v>
      </c>
      <c r="K696" s="14" t="s">
        <v>11958</v>
      </c>
      <c r="L696" s="22" t="s">
        <v>11959</v>
      </c>
      <c r="M696" s="160">
        <v>2015</v>
      </c>
      <c r="N696" s="17"/>
      <c r="O696" s="17">
        <f>2365957.05+43070+78176.12+6278.25+1063.93-129016.3+191126.8-212444.03-141480.4+73.96+145412.19+25992+88448+96419+77718.05+13561.6+806.66+89.7+3178.81+36.98+906.5+724.5+660+325+87.78+91.44+262.2+388+505000.84+99.16+20891+85.56+83.83+1096.13+4610.32+306.15+49652.57+357024.28+504.26+698.4+271.1+437.5+700.46+73474.72+212.5+344.77-512337.19+481330.72+1843+3122+622.1+72204-208639.84+77825+23280+28768+5640.45+518386.55</f>
        <v>4165452.1300000004</v>
      </c>
      <c r="P696" s="17">
        <f>O696</f>
        <v>4165452.1300000004</v>
      </c>
      <c r="Q696" s="17">
        <f t="shared" si="18"/>
        <v>0</v>
      </c>
      <c r="R696" s="285" t="s">
        <v>11137</v>
      </c>
      <c r="S696" s="14" t="s">
        <v>11960</v>
      </c>
      <c r="T696" s="285" t="s">
        <v>11961</v>
      </c>
    </row>
    <row r="697" spans="1:20" ht="150.75" customHeight="1" x14ac:dyDescent="0.2">
      <c r="A697" s="289">
        <v>707</v>
      </c>
      <c r="B697" s="289" t="s">
        <v>5438</v>
      </c>
      <c r="C697" s="289"/>
      <c r="D697" s="9" t="s">
        <v>323</v>
      </c>
      <c r="E697" s="14">
        <v>41563</v>
      </c>
      <c r="F697" s="13" t="s">
        <v>4899</v>
      </c>
      <c r="G697" s="285" t="s">
        <v>7982</v>
      </c>
      <c r="H697" s="49" t="s">
        <v>5127</v>
      </c>
      <c r="I697" s="18"/>
      <c r="J697" s="285" t="s">
        <v>3136</v>
      </c>
      <c r="K697" s="15">
        <v>41586</v>
      </c>
      <c r="L697" s="12" t="s">
        <v>9481</v>
      </c>
      <c r="M697" s="15">
        <v>41563</v>
      </c>
      <c r="N697" s="17">
        <v>1</v>
      </c>
      <c r="O697" s="17">
        <v>9104.24</v>
      </c>
      <c r="P697" s="17">
        <v>9104.24</v>
      </c>
      <c r="Q697" s="17">
        <f t="shared" si="18"/>
        <v>0</v>
      </c>
      <c r="R697" s="285" t="s">
        <v>5071</v>
      </c>
      <c r="S697" s="14">
        <v>41565</v>
      </c>
      <c r="T697" s="285">
        <v>1376</v>
      </c>
    </row>
    <row r="698" spans="1:20" ht="99" customHeight="1" x14ac:dyDescent="0.2">
      <c r="A698" s="289">
        <v>708</v>
      </c>
      <c r="B698" s="289" t="s">
        <v>5439</v>
      </c>
      <c r="C698" s="289"/>
      <c r="D698" s="9" t="s">
        <v>4451</v>
      </c>
      <c r="E698" s="285">
        <v>2015</v>
      </c>
      <c r="F698" s="13" t="s">
        <v>4452</v>
      </c>
      <c r="G698" s="285" t="s">
        <v>7979</v>
      </c>
      <c r="H698" s="49" t="s">
        <v>5127</v>
      </c>
      <c r="I698" s="18"/>
      <c r="J698" s="285" t="s">
        <v>3136</v>
      </c>
      <c r="K698" s="15">
        <v>42093</v>
      </c>
      <c r="L698" s="12" t="s">
        <v>4353</v>
      </c>
      <c r="M698" s="12" t="s">
        <v>4453</v>
      </c>
      <c r="N698" s="24">
        <v>1</v>
      </c>
      <c r="O698" s="17">
        <v>17000</v>
      </c>
      <c r="P698" s="17">
        <v>17000</v>
      </c>
      <c r="Q698" s="17">
        <f t="shared" si="18"/>
        <v>0</v>
      </c>
      <c r="R698" s="285" t="s">
        <v>5345</v>
      </c>
      <c r="S698" s="15">
        <v>42060</v>
      </c>
      <c r="T698" s="285" t="s">
        <v>1029</v>
      </c>
    </row>
    <row r="699" spans="1:20" ht="48.75" customHeight="1" x14ac:dyDescent="0.2">
      <c r="A699" s="289">
        <v>709</v>
      </c>
      <c r="B699" s="289" t="s">
        <v>5440</v>
      </c>
      <c r="C699" s="289"/>
      <c r="D699" s="9" t="s">
        <v>5616</v>
      </c>
      <c r="E699" s="285">
        <v>2015</v>
      </c>
      <c r="F699" s="13" t="s">
        <v>4149</v>
      </c>
      <c r="G699" s="285" t="s">
        <v>7979</v>
      </c>
      <c r="H699" s="49" t="s">
        <v>5127</v>
      </c>
      <c r="I699" s="18"/>
      <c r="J699" s="285" t="s">
        <v>3136</v>
      </c>
      <c r="K699" s="15">
        <v>42093</v>
      </c>
      <c r="L699" s="12" t="s">
        <v>4353</v>
      </c>
      <c r="M699" s="12" t="s">
        <v>4453</v>
      </c>
      <c r="N699" s="24">
        <v>1</v>
      </c>
      <c r="O699" s="17">
        <v>9250</v>
      </c>
      <c r="P699" s="17">
        <v>9250</v>
      </c>
      <c r="Q699" s="17">
        <f t="shared" si="18"/>
        <v>0</v>
      </c>
      <c r="R699" s="285" t="s">
        <v>5345</v>
      </c>
      <c r="S699" s="15">
        <v>42060</v>
      </c>
      <c r="T699" s="285" t="s">
        <v>1029</v>
      </c>
    </row>
    <row r="700" spans="1:20" ht="39" customHeight="1" x14ac:dyDescent="0.2">
      <c r="A700" s="289">
        <v>711</v>
      </c>
      <c r="B700" s="289" t="s">
        <v>5441</v>
      </c>
      <c r="C700" s="289"/>
      <c r="D700" s="9" t="s">
        <v>4076</v>
      </c>
      <c r="E700" s="285"/>
      <c r="F700" s="13" t="s">
        <v>6556</v>
      </c>
      <c r="G700" s="56" t="s">
        <v>101</v>
      </c>
      <c r="H700" s="49" t="s">
        <v>5127</v>
      </c>
      <c r="I700" s="18"/>
      <c r="J700" s="285"/>
      <c r="K700" s="15"/>
      <c r="L700" s="12"/>
      <c r="M700" s="12"/>
      <c r="N700" s="24">
        <v>1</v>
      </c>
      <c r="O700" s="17">
        <v>5000</v>
      </c>
      <c r="P700" s="17">
        <v>5000</v>
      </c>
      <c r="Q700" s="17">
        <f t="shared" si="18"/>
        <v>0</v>
      </c>
      <c r="R700" s="285"/>
      <c r="S700" s="15"/>
      <c r="T700" s="285"/>
    </row>
    <row r="701" spans="1:20" ht="41.25" customHeight="1" x14ac:dyDescent="0.2">
      <c r="A701" s="289">
        <v>712</v>
      </c>
      <c r="B701" s="289" t="s">
        <v>5442</v>
      </c>
      <c r="C701" s="289"/>
      <c r="D701" s="9" t="s">
        <v>1247</v>
      </c>
      <c r="E701" s="285"/>
      <c r="F701" s="13" t="s">
        <v>1561</v>
      </c>
      <c r="G701" s="56" t="s">
        <v>101</v>
      </c>
      <c r="H701" s="49" t="s">
        <v>5127</v>
      </c>
      <c r="I701" s="18"/>
      <c r="J701" s="285"/>
      <c r="K701" s="15"/>
      <c r="L701" s="12"/>
      <c r="M701" s="12"/>
      <c r="N701" s="24">
        <v>1</v>
      </c>
      <c r="O701" s="17">
        <v>14820.81</v>
      </c>
      <c r="P701" s="17">
        <v>14820.81</v>
      </c>
      <c r="Q701" s="17">
        <f t="shared" si="18"/>
        <v>0</v>
      </c>
      <c r="R701" s="285"/>
      <c r="S701" s="15"/>
      <c r="T701" s="285"/>
    </row>
    <row r="702" spans="1:20" ht="39.75" customHeight="1" x14ac:dyDescent="0.2">
      <c r="A702" s="289">
        <v>713</v>
      </c>
      <c r="B702" s="289" t="s">
        <v>5443</v>
      </c>
      <c r="C702" s="289"/>
      <c r="D702" s="9" t="s">
        <v>3571</v>
      </c>
      <c r="E702" s="285"/>
      <c r="F702" s="13" t="s">
        <v>5692</v>
      </c>
      <c r="G702" s="56" t="s">
        <v>101</v>
      </c>
      <c r="H702" s="49" t="s">
        <v>5127</v>
      </c>
      <c r="I702" s="18"/>
      <c r="J702" s="285"/>
      <c r="K702" s="15"/>
      <c r="L702" s="12"/>
      <c r="M702" s="12"/>
      <c r="N702" s="24">
        <v>1</v>
      </c>
      <c r="O702" s="17">
        <v>6589.32</v>
      </c>
      <c r="P702" s="17">
        <v>6589.32</v>
      </c>
      <c r="Q702" s="17">
        <f t="shared" si="18"/>
        <v>0</v>
      </c>
      <c r="R702" s="285"/>
      <c r="S702" s="15"/>
      <c r="T702" s="285"/>
    </row>
    <row r="703" spans="1:20" ht="36" customHeight="1" x14ac:dyDescent="0.2">
      <c r="A703" s="289">
        <v>714</v>
      </c>
      <c r="B703" s="289" t="s">
        <v>5444</v>
      </c>
      <c r="C703" s="289"/>
      <c r="D703" s="9" t="s">
        <v>1248</v>
      </c>
      <c r="E703" s="285"/>
      <c r="F703" s="13" t="s">
        <v>367</v>
      </c>
      <c r="G703" s="56" t="s">
        <v>101</v>
      </c>
      <c r="H703" s="49" t="s">
        <v>5127</v>
      </c>
      <c r="I703" s="18"/>
      <c r="J703" s="285"/>
      <c r="K703" s="15"/>
      <c r="L703" s="12"/>
      <c r="M703" s="12"/>
      <c r="N703" s="24">
        <v>1</v>
      </c>
      <c r="O703" s="17">
        <v>7947.69</v>
      </c>
      <c r="P703" s="17">
        <v>7947.69</v>
      </c>
      <c r="Q703" s="17">
        <f t="shared" si="18"/>
        <v>0</v>
      </c>
      <c r="R703" s="285"/>
      <c r="S703" s="15"/>
      <c r="T703" s="285"/>
    </row>
    <row r="704" spans="1:20" ht="36" customHeight="1" x14ac:dyDescent="0.2">
      <c r="A704" s="289">
        <v>715</v>
      </c>
      <c r="B704" s="289" t="s">
        <v>5445</v>
      </c>
      <c r="C704" s="289"/>
      <c r="D704" s="9" t="s">
        <v>1488</v>
      </c>
      <c r="E704" s="285"/>
      <c r="F704" s="13" t="s">
        <v>1249</v>
      </c>
      <c r="G704" s="56" t="s">
        <v>101</v>
      </c>
      <c r="H704" s="49" t="s">
        <v>5127</v>
      </c>
      <c r="I704" s="18"/>
      <c r="J704" s="285"/>
      <c r="K704" s="15"/>
      <c r="L704" s="12"/>
      <c r="M704" s="12"/>
      <c r="N704" s="17">
        <v>1</v>
      </c>
      <c r="O704" s="17">
        <v>7140</v>
      </c>
      <c r="P704" s="17">
        <v>7140</v>
      </c>
      <c r="Q704" s="17">
        <f t="shared" si="18"/>
        <v>0</v>
      </c>
      <c r="R704" s="285"/>
      <c r="S704" s="15"/>
      <c r="T704" s="285"/>
    </row>
    <row r="705" spans="1:20" ht="36" customHeight="1" x14ac:dyDescent="0.2">
      <c r="A705" s="289">
        <v>716</v>
      </c>
      <c r="B705" s="289" t="s">
        <v>1239</v>
      </c>
      <c r="C705" s="289"/>
      <c r="D705" s="9" t="s">
        <v>1489</v>
      </c>
      <c r="E705" s="285"/>
      <c r="F705" s="13" t="s">
        <v>1250</v>
      </c>
      <c r="G705" s="56" t="s">
        <v>101</v>
      </c>
      <c r="H705" s="49" t="s">
        <v>5127</v>
      </c>
      <c r="I705" s="18"/>
      <c r="J705" s="285"/>
      <c r="K705" s="15"/>
      <c r="L705" s="12"/>
      <c r="M705" s="12"/>
      <c r="N705" s="17">
        <v>1</v>
      </c>
      <c r="O705" s="17">
        <v>3830</v>
      </c>
      <c r="P705" s="17">
        <v>3830</v>
      </c>
      <c r="Q705" s="17">
        <f t="shared" si="18"/>
        <v>0</v>
      </c>
      <c r="R705" s="285"/>
      <c r="S705" s="15"/>
      <c r="T705" s="285"/>
    </row>
    <row r="706" spans="1:20" ht="34.5" customHeight="1" x14ac:dyDescent="0.2">
      <c r="A706" s="289">
        <v>717</v>
      </c>
      <c r="B706" s="289" t="s">
        <v>1240</v>
      </c>
      <c r="C706" s="289"/>
      <c r="D706" s="9" t="s">
        <v>1490</v>
      </c>
      <c r="E706" s="285"/>
      <c r="F706" s="13" t="s">
        <v>368</v>
      </c>
      <c r="G706" s="56" t="s">
        <v>101</v>
      </c>
      <c r="H706" s="49" t="s">
        <v>5127</v>
      </c>
      <c r="I706" s="18"/>
      <c r="J706" s="285"/>
      <c r="K706" s="15"/>
      <c r="L706" s="12"/>
      <c r="M706" s="12"/>
      <c r="N706" s="17">
        <v>1</v>
      </c>
      <c r="O706" s="17">
        <v>5473.47</v>
      </c>
      <c r="P706" s="17">
        <v>5473.47</v>
      </c>
      <c r="Q706" s="17">
        <f t="shared" si="18"/>
        <v>0</v>
      </c>
      <c r="R706" s="285"/>
      <c r="S706" s="15"/>
      <c r="T706" s="285"/>
    </row>
    <row r="707" spans="1:20" ht="34.5" customHeight="1" x14ac:dyDescent="0.2">
      <c r="A707" s="289">
        <v>718</v>
      </c>
      <c r="B707" s="289" t="s">
        <v>1241</v>
      </c>
      <c r="C707" s="289"/>
      <c r="D707" s="9" t="s">
        <v>2370</v>
      </c>
      <c r="E707" s="285"/>
      <c r="F707" s="13" t="s">
        <v>12192</v>
      </c>
      <c r="G707" s="56" t="s">
        <v>101</v>
      </c>
      <c r="H707" s="49" t="s">
        <v>5127</v>
      </c>
      <c r="I707" s="18"/>
      <c r="J707" s="285" t="s">
        <v>10693</v>
      </c>
      <c r="K707" s="15" t="s">
        <v>12190</v>
      </c>
      <c r="L707" s="12" t="s">
        <v>12191</v>
      </c>
      <c r="M707" s="12"/>
      <c r="N707" s="17">
        <f>4-1-2</f>
        <v>1</v>
      </c>
      <c r="O707" s="17">
        <f>16893.84-4223.46-8446.92</f>
        <v>4223.4600000000009</v>
      </c>
      <c r="P707" s="17">
        <f>16893.84-4223.46-8446.92</f>
        <v>4223.4600000000009</v>
      </c>
      <c r="Q707" s="17">
        <f t="shared" si="18"/>
        <v>0</v>
      </c>
      <c r="R707" s="285"/>
      <c r="S707" s="15"/>
      <c r="T707" s="285"/>
    </row>
    <row r="708" spans="1:20" ht="34.5" customHeight="1" x14ac:dyDescent="0.2">
      <c r="A708" s="289">
        <v>719</v>
      </c>
      <c r="B708" s="289" t="s">
        <v>1242</v>
      </c>
      <c r="C708" s="289"/>
      <c r="D708" s="9" t="s">
        <v>1491</v>
      </c>
      <c r="E708" s="285"/>
      <c r="F708" s="13" t="s">
        <v>4345</v>
      </c>
      <c r="G708" s="56" t="s">
        <v>101</v>
      </c>
      <c r="H708" s="49" t="s">
        <v>5127</v>
      </c>
      <c r="I708" s="18"/>
      <c r="J708" s="285"/>
      <c r="K708" s="15"/>
      <c r="L708" s="12"/>
      <c r="M708" s="12"/>
      <c r="N708" s="17">
        <v>2</v>
      </c>
      <c r="O708" s="17">
        <v>17358.240000000002</v>
      </c>
      <c r="P708" s="17">
        <v>17358.240000000002</v>
      </c>
      <c r="Q708" s="17">
        <f t="shared" si="18"/>
        <v>0</v>
      </c>
      <c r="R708" s="285"/>
      <c r="S708" s="15"/>
      <c r="T708" s="285"/>
    </row>
    <row r="709" spans="1:20" ht="36.75" customHeight="1" x14ac:dyDescent="0.2">
      <c r="A709" s="289">
        <v>720</v>
      </c>
      <c r="B709" s="289" t="s">
        <v>1243</v>
      </c>
      <c r="C709" s="289"/>
      <c r="D709" s="9" t="s">
        <v>1492</v>
      </c>
      <c r="E709" s="285"/>
      <c r="F709" s="13" t="s">
        <v>1381</v>
      </c>
      <c r="G709" s="56" t="s">
        <v>101</v>
      </c>
      <c r="H709" s="49" t="s">
        <v>5127</v>
      </c>
      <c r="I709" s="18"/>
      <c r="J709" s="285"/>
      <c r="K709" s="15"/>
      <c r="L709" s="12"/>
      <c r="M709" s="12"/>
      <c r="N709" s="17">
        <v>6</v>
      </c>
      <c r="O709" s="17">
        <v>19597.68</v>
      </c>
      <c r="P709" s="17">
        <v>19597.68</v>
      </c>
      <c r="Q709" s="17">
        <f t="shared" si="18"/>
        <v>0</v>
      </c>
      <c r="R709" s="285"/>
      <c r="S709" s="15"/>
      <c r="T709" s="285"/>
    </row>
    <row r="710" spans="1:20" ht="36.75" customHeight="1" x14ac:dyDescent="0.2">
      <c r="A710" s="289">
        <v>721</v>
      </c>
      <c r="B710" s="289" t="s">
        <v>1244</v>
      </c>
      <c r="C710" s="289"/>
      <c r="D710" s="9" t="s">
        <v>1493</v>
      </c>
      <c r="E710" s="285"/>
      <c r="F710" s="13" t="s">
        <v>1382</v>
      </c>
      <c r="G710" s="56" t="s">
        <v>101</v>
      </c>
      <c r="H710" s="49" t="s">
        <v>5127</v>
      </c>
      <c r="I710" s="18"/>
      <c r="J710" s="285"/>
      <c r="K710" s="289"/>
      <c r="L710" s="12"/>
      <c r="M710" s="12"/>
      <c r="N710" s="17">
        <v>1</v>
      </c>
      <c r="O710" s="17">
        <v>7355.58</v>
      </c>
      <c r="P710" s="17">
        <v>7355.58</v>
      </c>
      <c r="Q710" s="17">
        <f t="shared" si="18"/>
        <v>0</v>
      </c>
      <c r="R710" s="289"/>
      <c r="S710" s="289"/>
      <c r="T710" s="285"/>
    </row>
    <row r="711" spans="1:20" ht="36.75" customHeight="1" x14ac:dyDescent="0.2">
      <c r="A711" s="289">
        <v>722</v>
      </c>
      <c r="B711" s="289" t="s">
        <v>1245</v>
      </c>
      <c r="C711" s="289"/>
      <c r="D711" s="9" t="s">
        <v>1494</v>
      </c>
      <c r="E711" s="285"/>
      <c r="F711" s="13" t="s">
        <v>1383</v>
      </c>
      <c r="G711" s="56" t="s">
        <v>101</v>
      </c>
      <c r="H711" s="49" t="s">
        <v>5127</v>
      </c>
      <c r="I711" s="18"/>
      <c r="J711" s="285"/>
      <c r="K711" s="289"/>
      <c r="L711" s="12"/>
      <c r="M711" s="12"/>
      <c r="N711" s="17">
        <v>3</v>
      </c>
      <c r="O711" s="17">
        <v>23603.13</v>
      </c>
      <c r="P711" s="17">
        <v>23603.13</v>
      </c>
      <c r="Q711" s="17">
        <f t="shared" si="18"/>
        <v>0</v>
      </c>
      <c r="R711" s="289"/>
      <c r="S711" s="289"/>
      <c r="T711" s="285"/>
    </row>
    <row r="712" spans="1:20" ht="33.75" customHeight="1" x14ac:dyDescent="0.2">
      <c r="A712" s="289">
        <v>723</v>
      </c>
      <c r="B712" s="289" t="s">
        <v>8080</v>
      </c>
      <c r="C712" s="289" t="s">
        <v>5274</v>
      </c>
      <c r="D712" s="9" t="s">
        <v>1495</v>
      </c>
      <c r="E712" s="285"/>
      <c r="F712" s="13" t="s">
        <v>8079</v>
      </c>
      <c r="G712" s="56" t="s">
        <v>101</v>
      </c>
      <c r="H712" s="49" t="s">
        <v>5127</v>
      </c>
      <c r="I712" s="17"/>
      <c r="J712" s="17"/>
      <c r="K712" s="168"/>
      <c r="L712" s="12"/>
      <c r="M712" s="12"/>
      <c r="N712" s="40">
        <v>1</v>
      </c>
      <c r="O712" s="337">
        <v>13292.16</v>
      </c>
      <c r="P712" s="169">
        <v>13292.16</v>
      </c>
      <c r="Q712" s="17">
        <f t="shared" si="18"/>
        <v>0</v>
      </c>
      <c r="R712" s="289"/>
      <c r="S712" s="289"/>
      <c r="T712" s="285"/>
    </row>
    <row r="713" spans="1:20" ht="33.75" customHeight="1" x14ac:dyDescent="0.2">
      <c r="A713" s="289">
        <v>724</v>
      </c>
      <c r="B713" s="30" t="s">
        <v>1246</v>
      </c>
      <c r="C713" s="289"/>
      <c r="D713" s="46" t="s">
        <v>3495</v>
      </c>
      <c r="E713" s="49"/>
      <c r="F713" s="47" t="s">
        <v>2503</v>
      </c>
      <c r="G713" s="56" t="s">
        <v>101</v>
      </c>
      <c r="H713" s="49" t="s">
        <v>5127</v>
      </c>
      <c r="I713" s="50"/>
      <c r="J713" s="49"/>
      <c r="K713" s="30"/>
      <c r="L713" s="42"/>
      <c r="M713" s="42"/>
      <c r="N713" s="48">
        <v>1</v>
      </c>
      <c r="O713" s="48">
        <v>4218.3</v>
      </c>
      <c r="P713" s="48">
        <v>4218.3</v>
      </c>
      <c r="Q713" s="48">
        <f t="shared" si="18"/>
        <v>0</v>
      </c>
      <c r="R713" s="30"/>
      <c r="S713" s="30"/>
      <c r="T713" s="49"/>
    </row>
    <row r="714" spans="1:20" ht="33.75" customHeight="1" x14ac:dyDescent="0.2">
      <c r="A714" s="289">
        <v>725</v>
      </c>
      <c r="B714" s="30" t="s">
        <v>4173</v>
      </c>
      <c r="C714" s="289"/>
      <c r="D714" s="9" t="s">
        <v>5850</v>
      </c>
      <c r="E714" s="285"/>
      <c r="F714" s="13" t="s">
        <v>4091</v>
      </c>
      <c r="G714" s="56" t="s">
        <v>101</v>
      </c>
      <c r="H714" s="49" t="s">
        <v>5127</v>
      </c>
      <c r="I714" s="18"/>
      <c r="J714" s="285"/>
      <c r="K714" s="289"/>
      <c r="L714" s="12"/>
      <c r="M714" s="12"/>
      <c r="N714" s="24">
        <v>2</v>
      </c>
      <c r="O714" s="17">
        <v>15996</v>
      </c>
      <c r="P714" s="17">
        <v>15996</v>
      </c>
      <c r="Q714" s="48">
        <f t="shared" si="18"/>
        <v>0</v>
      </c>
      <c r="R714" s="289"/>
      <c r="S714" s="289"/>
      <c r="T714" s="285"/>
    </row>
    <row r="715" spans="1:20" ht="38.25" customHeight="1" x14ac:dyDescent="0.2">
      <c r="A715" s="289">
        <v>726</v>
      </c>
      <c r="B715" s="30" t="s">
        <v>5217</v>
      </c>
      <c r="C715" s="289"/>
      <c r="D715" s="9" t="s">
        <v>5851</v>
      </c>
      <c r="E715" s="285"/>
      <c r="F715" s="13" t="s">
        <v>5644</v>
      </c>
      <c r="G715" s="56" t="s">
        <v>101</v>
      </c>
      <c r="H715" s="49" t="s">
        <v>5127</v>
      </c>
      <c r="I715" s="18"/>
      <c r="J715" s="285"/>
      <c r="K715" s="289"/>
      <c r="L715" s="12"/>
      <c r="M715" s="12"/>
      <c r="N715" s="24">
        <v>1</v>
      </c>
      <c r="O715" s="17">
        <v>10108.44</v>
      </c>
      <c r="P715" s="17">
        <v>10108.44</v>
      </c>
      <c r="Q715" s="48">
        <f t="shared" si="18"/>
        <v>0</v>
      </c>
      <c r="R715" s="289"/>
      <c r="S715" s="289"/>
      <c r="T715" s="285"/>
    </row>
    <row r="716" spans="1:20" ht="78" customHeight="1" x14ac:dyDescent="0.2">
      <c r="A716" s="289">
        <v>727</v>
      </c>
      <c r="B716" s="30" t="s">
        <v>5218</v>
      </c>
      <c r="C716" s="289"/>
      <c r="D716" s="9" t="s">
        <v>5852</v>
      </c>
      <c r="E716" s="285"/>
      <c r="F716" s="13" t="s">
        <v>3855</v>
      </c>
      <c r="G716" s="56" t="s">
        <v>101</v>
      </c>
      <c r="H716" s="49" t="s">
        <v>5127</v>
      </c>
      <c r="I716" s="18"/>
      <c r="J716" s="285"/>
      <c r="K716" s="289"/>
      <c r="L716" s="12"/>
      <c r="M716" s="12"/>
      <c r="N716" s="24">
        <v>1</v>
      </c>
      <c r="O716" s="17">
        <v>5548.29</v>
      </c>
      <c r="P716" s="17">
        <v>5548.29</v>
      </c>
      <c r="Q716" s="48">
        <f t="shared" si="18"/>
        <v>0</v>
      </c>
      <c r="R716" s="289"/>
      <c r="S716" s="289"/>
      <c r="T716" s="285"/>
    </row>
    <row r="717" spans="1:20" ht="36.75" customHeight="1" x14ac:dyDescent="0.2">
      <c r="A717" s="289">
        <v>728</v>
      </c>
      <c r="B717" s="30" t="s">
        <v>1839</v>
      </c>
      <c r="C717" s="289"/>
      <c r="D717" s="9" t="s">
        <v>2644</v>
      </c>
      <c r="E717" s="285"/>
      <c r="F717" s="13" t="s">
        <v>534</v>
      </c>
      <c r="G717" s="56" t="s">
        <v>101</v>
      </c>
      <c r="H717" s="49" t="s">
        <v>5127</v>
      </c>
      <c r="I717" s="18"/>
      <c r="J717" s="285"/>
      <c r="K717" s="289"/>
      <c r="L717" s="12"/>
      <c r="M717" s="12"/>
      <c r="N717" s="24">
        <v>1</v>
      </c>
      <c r="O717" s="17">
        <v>9149</v>
      </c>
      <c r="P717" s="17">
        <v>9149</v>
      </c>
      <c r="Q717" s="48">
        <f t="shared" si="18"/>
        <v>0</v>
      </c>
      <c r="R717" s="289"/>
      <c r="S717" s="289"/>
      <c r="T717" s="285"/>
    </row>
    <row r="718" spans="1:20" ht="35.25" customHeight="1" x14ac:dyDescent="0.2">
      <c r="A718" s="289">
        <v>729</v>
      </c>
      <c r="B718" s="30" t="s">
        <v>1840</v>
      </c>
      <c r="C718" s="289"/>
      <c r="D718" s="9" t="s">
        <v>5227</v>
      </c>
      <c r="E718" s="285"/>
      <c r="F718" s="13" t="s">
        <v>3355</v>
      </c>
      <c r="G718" s="56" t="s">
        <v>101</v>
      </c>
      <c r="H718" s="49" t="s">
        <v>5127</v>
      </c>
      <c r="I718" s="18"/>
      <c r="J718" s="285"/>
      <c r="K718" s="289"/>
      <c r="L718" s="12"/>
      <c r="M718" s="12"/>
      <c r="N718" s="24">
        <v>1</v>
      </c>
      <c r="O718" s="17">
        <v>6595.77</v>
      </c>
      <c r="P718" s="17">
        <v>6595.77</v>
      </c>
      <c r="Q718" s="48">
        <f t="shared" si="18"/>
        <v>0</v>
      </c>
      <c r="R718" s="289"/>
      <c r="S718" s="289"/>
      <c r="T718" s="285"/>
    </row>
    <row r="719" spans="1:20" ht="35.25" customHeight="1" x14ac:dyDescent="0.2">
      <c r="A719" s="289">
        <v>730</v>
      </c>
      <c r="B719" s="30" t="s">
        <v>1841</v>
      </c>
      <c r="C719" s="289"/>
      <c r="D719" s="9" t="s">
        <v>5853</v>
      </c>
      <c r="E719" s="285"/>
      <c r="F719" s="13" t="s">
        <v>3356</v>
      </c>
      <c r="G719" s="56" t="s">
        <v>101</v>
      </c>
      <c r="H719" s="49" t="s">
        <v>5127</v>
      </c>
      <c r="I719" s="18"/>
      <c r="J719" s="285"/>
      <c r="K719" s="289"/>
      <c r="L719" s="12"/>
      <c r="M719" s="12"/>
      <c r="N719" s="24">
        <v>1</v>
      </c>
      <c r="O719" s="17">
        <v>5274.81</v>
      </c>
      <c r="P719" s="17">
        <v>5274.81</v>
      </c>
      <c r="Q719" s="48">
        <f t="shared" si="18"/>
        <v>0</v>
      </c>
      <c r="R719" s="289"/>
      <c r="S719" s="289"/>
      <c r="T719" s="285"/>
    </row>
    <row r="720" spans="1:20" ht="35.25" customHeight="1" x14ac:dyDescent="0.2">
      <c r="A720" s="289">
        <v>731</v>
      </c>
      <c r="B720" s="30" t="s">
        <v>1842</v>
      </c>
      <c r="C720" s="289"/>
      <c r="D720" s="9" t="s">
        <v>5854</v>
      </c>
      <c r="E720" s="285"/>
      <c r="F720" s="13" t="s">
        <v>10755</v>
      </c>
      <c r="G720" s="56" t="s">
        <v>101</v>
      </c>
      <c r="H720" s="49" t="s">
        <v>5127</v>
      </c>
      <c r="I720" s="18"/>
      <c r="J720" s="285" t="s">
        <v>10461</v>
      </c>
      <c r="K720" s="15">
        <v>44312</v>
      </c>
      <c r="L720" s="12" t="s">
        <v>10769</v>
      </c>
      <c r="M720" s="12"/>
      <c r="N720" s="24">
        <f>2-1</f>
        <v>1</v>
      </c>
      <c r="O720" s="17">
        <f>11671.92-5835.96</f>
        <v>5835.96</v>
      </c>
      <c r="P720" s="17">
        <f>11671.92-5835.96</f>
        <v>5835.96</v>
      </c>
      <c r="Q720" s="48">
        <f t="shared" si="18"/>
        <v>0</v>
      </c>
      <c r="R720" s="289"/>
      <c r="S720" s="289"/>
      <c r="T720" s="285"/>
    </row>
    <row r="721" spans="1:20" ht="35.25" customHeight="1" x14ac:dyDescent="0.2">
      <c r="A721" s="289">
        <v>732</v>
      </c>
      <c r="B721" s="30" t="s">
        <v>1843</v>
      </c>
      <c r="C721" s="289"/>
      <c r="D721" s="9" t="s">
        <v>5855</v>
      </c>
      <c r="E721" s="285"/>
      <c r="F721" s="13" t="s">
        <v>282</v>
      </c>
      <c r="G721" s="56" t="s">
        <v>101</v>
      </c>
      <c r="H721" s="49" t="s">
        <v>5127</v>
      </c>
      <c r="I721" s="18"/>
      <c r="J721" s="285"/>
      <c r="K721" s="289"/>
      <c r="L721" s="12"/>
      <c r="M721" s="12"/>
      <c r="N721" s="24">
        <v>1</v>
      </c>
      <c r="O721" s="17">
        <v>8510.1299999999992</v>
      </c>
      <c r="P721" s="17">
        <v>8510.1299999999992</v>
      </c>
      <c r="Q721" s="48">
        <f t="shared" si="18"/>
        <v>0</v>
      </c>
      <c r="R721" s="289"/>
      <c r="S721" s="289"/>
      <c r="T721" s="285"/>
    </row>
    <row r="722" spans="1:20" ht="34.5" customHeight="1" x14ac:dyDescent="0.2">
      <c r="A722" s="289">
        <v>733</v>
      </c>
      <c r="B722" s="30" t="s">
        <v>1844</v>
      </c>
      <c r="C722" s="289"/>
      <c r="D722" s="9" t="s">
        <v>5856</v>
      </c>
      <c r="E722" s="285"/>
      <c r="F722" s="13" t="s">
        <v>283</v>
      </c>
      <c r="G722" s="56" t="s">
        <v>101</v>
      </c>
      <c r="H722" s="49" t="s">
        <v>5127</v>
      </c>
      <c r="I722" s="18"/>
      <c r="J722" s="285"/>
      <c r="K722" s="289"/>
      <c r="L722" s="12"/>
      <c r="M722" s="12"/>
      <c r="N722" s="24">
        <v>1</v>
      </c>
      <c r="O722" s="17">
        <v>6479.67</v>
      </c>
      <c r="P722" s="17">
        <v>6479.67</v>
      </c>
      <c r="Q722" s="48">
        <f t="shared" si="18"/>
        <v>0</v>
      </c>
      <c r="R722" s="289"/>
      <c r="S722" s="289"/>
      <c r="T722" s="285"/>
    </row>
    <row r="723" spans="1:20" ht="34.5" customHeight="1" x14ac:dyDescent="0.2">
      <c r="A723" s="289">
        <v>734</v>
      </c>
      <c r="B723" s="30" t="s">
        <v>1845</v>
      </c>
      <c r="C723" s="289"/>
      <c r="D723" s="9" t="s">
        <v>5857</v>
      </c>
      <c r="E723" s="285"/>
      <c r="F723" s="13" t="s">
        <v>8087</v>
      </c>
      <c r="G723" s="56" t="s">
        <v>101</v>
      </c>
      <c r="H723" s="49" t="s">
        <v>5127</v>
      </c>
      <c r="I723" s="18"/>
      <c r="J723" s="285"/>
      <c r="K723" s="289"/>
      <c r="L723" s="12"/>
      <c r="M723" s="12"/>
      <c r="N723" s="24">
        <f>4-1</f>
        <v>3</v>
      </c>
      <c r="O723" s="17">
        <f>15087.84-3771.96</f>
        <v>11315.880000000001</v>
      </c>
      <c r="P723" s="17">
        <f>15087.84-3771.96</f>
        <v>11315.880000000001</v>
      </c>
      <c r="Q723" s="48">
        <f t="shared" si="18"/>
        <v>0</v>
      </c>
      <c r="R723" s="289"/>
      <c r="S723" s="289"/>
      <c r="T723" s="285"/>
    </row>
    <row r="724" spans="1:20" ht="33" customHeight="1" x14ac:dyDescent="0.2">
      <c r="A724" s="289">
        <v>735</v>
      </c>
      <c r="B724" s="30" t="s">
        <v>1846</v>
      </c>
      <c r="C724" s="289"/>
      <c r="D724" s="9" t="s">
        <v>5858</v>
      </c>
      <c r="E724" s="285"/>
      <c r="F724" s="13" t="s">
        <v>2938</v>
      </c>
      <c r="G724" s="56" t="s">
        <v>101</v>
      </c>
      <c r="H724" s="49" t="s">
        <v>5127</v>
      </c>
      <c r="I724" s="18"/>
      <c r="J724" s="285"/>
      <c r="K724" s="289"/>
      <c r="L724" s="12"/>
      <c r="M724" s="12"/>
      <c r="N724" s="24">
        <v>1</v>
      </c>
      <c r="O724" s="17">
        <v>5802.42</v>
      </c>
      <c r="P724" s="17">
        <v>5802.42</v>
      </c>
      <c r="Q724" s="48">
        <f t="shared" si="18"/>
        <v>0</v>
      </c>
      <c r="R724" s="289"/>
      <c r="S724" s="289"/>
      <c r="T724" s="285"/>
    </row>
    <row r="725" spans="1:20" ht="33" customHeight="1" x14ac:dyDescent="0.2">
      <c r="A725" s="289">
        <v>736</v>
      </c>
      <c r="B725" s="30" t="s">
        <v>1847</v>
      </c>
      <c r="C725" s="289"/>
      <c r="D725" s="9" t="s">
        <v>5859</v>
      </c>
      <c r="E725" s="285"/>
      <c r="F725" s="13" t="s">
        <v>3765</v>
      </c>
      <c r="G725" s="56" t="s">
        <v>101</v>
      </c>
      <c r="H725" s="49" t="s">
        <v>5127</v>
      </c>
      <c r="I725" s="18"/>
      <c r="J725" s="285"/>
      <c r="K725" s="289"/>
      <c r="L725" s="12"/>
      <c r="M725" s="12"/>
      <c r="N725" s="24">
        <v>1</v>
      </c>
      <c r="O725" s="17">
        <v>6065.58</v>
      </c>
      <c r="P725" s="17">
        <v>6065.58</v>
      </c>
      <c r="Q725" s="48">
        <f t="shared" si="18"/>
        <v>0</v>
      </c>
      <c r="R725" s="289"/>
      <c r="S725" s="289"/>
      <c r="T725" s="285"/>
    </row>
    <row r="726" spans="1:20" ht="33" customHeight="1" x14ac:dyDescent="0.2">
      <c r="A726" s="289">
        <v>737</v>
      </c>
      <c r="B726" s="30" t="s">
        <v>5755</v>
      </c>
      <c r="C726" s="289"/>
      <c r="D726" s="9" t="s">
        <v>3802</v>
      </c>
      <c r="E726" s="285"/>
      <c r="F726" s="13" t="s">
        <v>4475</v>
      </c>
      <c r="G726" s="56" t="s">
        <v>101</v>
      </c>
      <c r="H726" s="49" t="s">
        <v>5127</v>
      </c>
      <c r="I726" s="18"/>
      <c r="J726" s="285"/>
      <c r="K726" s="289"/>
      <c r="L726" s="12"/>
      <c r="M726" s="12"/>
      <c r="N726" s="24">
        <v>1</v>
      </c>
      <c r="O726" s="17">
        <v>8515</v>
      </c>
      <c r="P726" s="17">
        <v>8515</v>
      </c>
      <c r="Q726" s="48">
        <f t="shared" ref="Q726:Q789" si="19">O726-P726</f>
        <v>0</v>
      </c>
      <c r="R726" s="289"/>
      <c r="S726" s="289"/>
      <c r="T726" s="285"/>
    </row>
    <row r="727" spans="1:20" ht="36.75" customHeight="1" x14ac:dyDescent="0.2">
      <c r="A727" s="289">
        <v>738</v>
      </c>
      <c r="B727" s="30" t="s">
        <v>5756</v>
      </c>
      <c r="C727" s="289" t="s">
        <v>5274</v>
      </c>
      <c r="D727" s="9" t="s">
        <v>1039</v>
      </c>
      <c r="E727" s="285"/>
      <c r="F727" s="13" t="s">
        <v>4476</v>
      </c>
      <c r="G727" s="56" t="s">
        <v>101</v>
      </c>
      <c r="H727" s="49" t="s">
        <v>5127</v>
      </c>
      <c r="I727" s="18"/>
      <c r="J727" s="285"/>
      <c r="K727" s="289"/>
      <c r="L727" s="12"/>
      <c r="M727" s="12"/>
      <c r="N727" s="24">
        <v>2</v>
      </c>
      <c r="O727" s="17">
        <v>17660.099999999999</v>
      </c>
      <c r="P727" s="17">
        <v>17660.099999999999</v>
      </c>
      <c r="Q727" s="48">
        <f t="shared" si="19"/>
        <v>0</v>
      </c>
      <c r="R727" s="289"/>
      <c r="S727" s="289"/>
      <c r="T727" s="285"/>
    </row>
    <row r="728" spans="1:20" ht="36.75" customHeight="1" x14ac:dyDescent="0.2">
      <c r="A728" s="289">
        <v>739</v>
      </c>
      <c r="B728" s="30" t="s">
        <v>5757</v>
      </c>
      <c r="C728" s="289"/>
      <c r="D728" s="9" t="s">
        <v>5860</v>
      </c>
      <c r="E728" s="285"/>
      <c r="F728" s="13" t="s">
        <v>4267</v>
      </c>
      <c r="G728" s="56" t="s">
        <v>101</v>
      </c>
      <c r="H728" s="49" t="s">
        <v>5127</v>
      </c>
      <c r="I728" s="18"/>
      <c r="J728" s="285"/>
      <c r="K728" s="289"/>
      <c r="L728" s="12"/>
      <c r="M728" s="12"/>
      <c r="N728" s="24">
        <v>1</v>
      </c>
      <c r="O728" s="17">
        <v>8141.19</v>
      </c>
      <c r="P728" s="17">
        <v>8141.19</v>
      </c>
      <c r="Q728" s="48">
        <f t="shared" si="19"/>
        <v>0</v>
      </c>
      <c r="R728" s="289"/>
      <c r="S728" s="289"/>
      <c r="T728" s="285"/>
    </row>
    <row r="729" spans="1:20" ht="36.75" customHeight="1" x14ac:dyDescent="0.2">
      <c r="A729" s="289">
        <v>740</v>
      </c>
      <c r="B729" s="30" t="s">
        <v>5758</v>
      </c>
      <c r="C729" s="289"/>
      <c r="D729" s="9" t="s">
        <v>5861</v>
      </c>
      <c r="E729" s="285"/>
      <c r="F729" s="13" t="s">
        <v>5604</v>
      </c>
      <c r="G729" s="56" t="s">
        <v>101</v>
      </c>
      <c r="H729" s="49" t="s">
        <v>5127</v>
      </c>
      <c r="I729" s="18"/>
      <c r="J729" s="285"/>
      <c r="K729" s="289"/>
      <c r="L729" s="12"/>
      <c r="M729" s="12"/>
      <c r="N729" s="24">
        <v>1</v>
      </c>
      <c r="O729" s="17">
        <v>3493.05</v>
      </c>
      <c r="P729" s="17">
        <v>3493.05</v>
      </c>
      <c r="Q729" s="48">
        <f t="shared" si="19"/>
        <v>0</v>
      </c>
      <c r="R729" s="289"/>
      <c r="S729" s="289"/>
      <c r="T729" s="285"/>
    </row>
    <row r="730" spans="1:20" ht="38.25" customHeight="1" x14ac:dyDescent="0.2">
      <c r="A730" s="289">
        <v>741</v>
      </c>
      <c r="B730" s="30" t="s">
        <v>5759</v>
      </c>
      <c r="C730" s="289"/>
      <c r="D730" s="9" t="s">
        <v>5862</v>
      </c>
      <c r="E730" s="285"/>
      <c r="F730" s="13" t="s">
        <v>5605</v>
      </c>
      <c r="G730" s="56" t="s">
        <v>101</v>
      </c>
      <c r="H730" s="49" t="s">
        <v>5127</v>
      </c>
      <c r="I730" s="18"/>
      <c r="J730" s="285"/>
      <c r="K730" s="289"/>
      <c r="L730" s="12"/>
      <c r="M730" s="12"/>
      <c r="N730" s="24">
        <v>1</v>
      </c>
      <c r="O730" s="17">
        <v>8325</v>
      </c>
      <c r="P730" s="17">
        <v>8325</v>
      </c>
      <c r="Q730" s="48">
        <f t="shared" si="19"/>
        <v>0</v>
      </c>
      <c r="R730" s="289"/>
      <c r="S730" s="289"/>
      <c r="T730" s="285"/>
    </row>
    <row r="731" spans="1:20" ht="38.25" customHeight="1" x14ac:dyDescent="0.2">
      <c r="A731" s="289">
        <v>742</v>
      </c>
      <c r="B731" s="30" t="s">
        <v>5760</v>
      </c>
      <c r="C731" s="289"/>
      <c r="D731" s="9" t="s">
        <v>5863</v>
      </c>
      <c r="E731" s="285"/>
      <c r="F731" s="13" t="s">
        <v>4129</v>
      </c>
      <c r="G731" s="56" t="s">
        <v>101</v>
      </c>
      <c r="H731" s="49" t="s">
        <v>5127</v>
      </c>
      <c r="I731" s="18"/>
      <c r="J731" s="285"/>
      <c r="K731" s="289"/>
      <c r="L731" s="12"/>
      <c r="M731" s="12"/>
      <c r="N731" s="24">
        <v>1</v>
      </c>
      <c r="O731" s="17">
        <v>3044.4</v>
      </c>
      <c r="P731" s="17">
        <v>3044.4</v>
      </c>
      <c r="Q731" s="48">
        <f t="shared" si="19"/>
        <v>0</v>
      </c>
      <c r="R731" s="289"/>
      <c r="S731" s="289"/>
      <c r="T731" s="285"/>
    </row>
    <row r="732" spans="1:20" ht="38.25" customHeight="1" x14ac:dyDescent="0.2">
      <c r="A732" s="289">
        <v>743</v>
      </c>
      <c r="B732" s="30" t="s">
        <v>4702</v>
      </c>
      <c r="C732" s="289"/>
      <c r="D732" s="9" t="s">
        <v>3242</v>
      </c>
      <c r="E732" s="285"/>
      <c r="F732" s="13" t="s">
        <v>4584</v>
      </c>
      <c r="G732" s="56" t="s">
        <v>101</v>
      </c>
      <c r="H732" s="49" t="s">
        <v>5127</v>
      </c>
      <c r="I732" s="18"/>
      <c r="J732" s="285"/>
      <c r="K732" s="289"/>
      <c r="L732" s="12"/>
      <c r="M732" s="12"/>
      <c r="N732" s="24">
        <v>1</v>
      </c>
      <c r="O732" s="17">
        <v>8672.67</v>
      </c>
      <c r="P732" s="17">
        <v>8672.67</v>
      </c>
      <c r="Q732" s="48">
        <f t="shared" si="19"/>
        <v>0</v>
      </c>
      <c r="R732" s="289"/>
      <c r="S732" s="289"/>
      <c r="T732" s="285"/>
    </row>
    <row r="733" spans="1:20" ht="35.25" customHeight="1" x14ac:dyDescent="0.2">
      <c r="A733" s="289">
        <v>744</v>
      </c>
      <c r="B733" s="30" t="s">
        <v>4703</v>
      </c>
      <c r="C733" s="289"/>
      <c r="D733" s="9" t="s">
        <v>3243</v>
      </c>
      <c r="E733" s="285"/>
      <c r="F733" s="13" t="s">
        <v>286</v>
      </c>
      <c r="G733" s="56" t="s">
        <v>101</v>
      </c>
      <c r="H733" s="49" t="s">
        <v>5127</v>
      </c>
      <c r="I733" s="18"/>
      <c r="J733" s="285"/>
      <c r="K733" s="289"/>
      <c r="L733" s="12"/>
      <c r="M733" s="12"/>
      <c r="N733" s="24">
        <v>1</v>
      </c>
      <c r="O733" s="17">
        <v>11527.53</v>
      </c>
      <c r="P733" s="17">
        <v>11527.53</v>
      </c>
      <c r="Q733" s="48">
        <f t="shared" si="19"/>
        <v>0</v>
      </c>
      <c r="R733" s="289"/>
      <c r="S733" s="289"/>
      <c r="T733" s="285"/>
    </row>
    <row r="734" spans="1:20" ht="35.25" customHeight="1" x14ac:dyDescent="0.2">
      <c r="A734" s="289">
        <v>745</v>
      </c>
      <c r="B734" s="30" t="s">
        <v>4540</v>
      </c>
      <c r="C734" s="289"/>
      <c r="D734" s="9" t="s">
        <v>3244</v>
      </c>
      <c r="E734" s="285"/>
      <c r="F734" s="13" t="s">
        <v>4395</v>
      </c>
      <c r="G734" s="56" t="s">
        <v>101</v>
      </c>
      <c r="H734" s="49" t="s">
        <v>5127</v>
      </c>
      <c r="I734" s="18"/>
      <c r="J734" s="285"/>
      <c r="K734" s="289"/>
      <c r="L734" s="12"/>
      <c r="M734" s="12"/>
      <c r="N734" s="16">
        <v>1</v>
      </c>
      <c r="O734" s="40">
        <v>4186</v>
      </c>
      <c r="P734" s="40">
        <v>4186</v>
      </c>
      <c r="Q734" s="48">
        <f t="shared" si="19"/>
        <v>0</v>
      </c>
      <c r="R734" s="289"/>
      <c r="S734" s="289"/>
      <c r="T734" s="285"/>
    </row>
    <row r="735" spans="1:20" ht="35.25" customHeight="1" x14ac:dyDescent="0.2">
      <c r="A735" s="289">
        <v>746</v>
      </c>
      <c r="B735" s="30" t="s">
        <v>4541</v>
      </c>
      <c r="C735" s="289"/>
      <c r="D735" s="9" t="s">
        <v>3245</v>
      </c>
      <c r="E735" s="285"/>
      <c r="F735" s="13" t="s">
        <v>1515</v>
      </c>
      <c r="G735" s="56" t="s">
        <v>101</v>
      </c>
      <c r="H735" s="49" t="s">
        <v>5127</v>
      </c>
      <c r="I735" s="18"/>
      <c r="J735" s="285"/>
      <c r="K735" s="289"/>
      <c r="L735" s="12"/>
      <c r="M735" s="12"/>
      <c r="N735" s="24">
        <v>1</v>
      </c>
      <c r="O735" s="17">
        <v>8900</v>
      </c>
      <c r="P735" s="17">
        <v>8900</v>
      </c>
      <c r="Q735" s="48">
        <f t="shared" si="19"/>
        <v>0</v>
      </c>
      <c r="R735" s="289"/>
      <c r="S735" s="289"/>
      <c r="T735" s="285"/>
    </row>
    <row r="736" spans="1:20" ht="33.75" customHeight="1" x14ac:dyDescent="0.2">
      <c r="A736" s="289">
        <v>747</v>
      </c>
      <c r="B736" s="30" t="s">
        <v>4542</v>
      </c>
      <c r="C736" s="289"/>
      <c r="D736" s="9" t="s">
        <v>3246</v>
      </c>
      <c r="E736" s="285"/>
      <c r="F736" s="13" t="s">
        <v>5724</v>
      </c>
      <c r="G736" s="56" t="s">
        <v>101</v>
      </c>
      <c r="H736" s="49" t="s">
        <v>5127</v>
      </c>
      <c r="I736" s="18"/>
      <c r="J736" s="285"/>
      <c r="K736" s="289"/>
      <c r="L736" s="12"/>
      <c r="M736" s="12"/>
      <c r="N736" s="24">
        <v>1</v>
      </c>
      <c r="O736" s="17">
        <v>3520.54</v>
      </c>
      <c r="P736" s="17">
        <v>3520.54</v>
      </c>
      <c r="Q736" s="48">
        <f t="shared" si="19"/>
        <v>0</v>
      </c>
      <c r="R736" s="289"/>
      <c r="S736" s="289"/>
      <c r="T736" s="285"/>
    </row>
    <row r="737" spans="1:20" ht="33.75" customHeight="1" x14ac:dyDescent="0.2">
      <c r="A737" s="289">
        <v>748</v>
      </c>
      <c r="B737" s="30" t="s">
        <v>5844</v>
      </c>
      <c r="C737" s="289"/>
      <c r="D737" s="9" t="s">
        <v>3247</v>
      </c>
      <c r="E737" s="285"/>
      <c r="F737" s="13" t="s">
        <v>5156</v>
      </c>
      <c r="G737" s="56" t="s">
        <v>101</v>
      </c>
      <c r="H737" s="49" t="s">
        <v>5127</v>
      </c>
      <c r="I737" s="18"/>
      <c r="J737" s="285"/>
      <c r="K737" s="289"/>
      <c r="L737" s="12"/>
      <c r="M737" s="12"/>
      <c r="N737" s="24">
        <v>1</v>
      </c>
      <c r="O737" s="17">
        <v>4080.86</v>
      </c>
      <c r="P737" s="17">
        <v>4080.86</v>
      </c>
      <c r="Q737" s="48">
        <f t="shared" si="19"/>
        <v>0</v>
      </c>
      <c r="R737" s="289"/>
      <c r="S737" s="289"/>
      <c r="T737" s="285"/>
    </row>
    <row r="738" spans="1:20" ht="33.75" customHeight="1" x14ac:dyDescent="0.2">
      <c r="A738" s="289">
        <v>749</v>
      </c>
      <c r="B738" s="30" t="s">
        <v>5845</v>
      </c>
      <c r="C738" s="289"/>
      <c r="D738" s="9" t="s">
        <v>4124</v>
      </c>
      <c r="E738" s="285"/>
      <c r="F738" s="13" t="s">
        <v>6193</v>
      </c>
      <c r="G738" s="56" t="s">
        <v>101</v>
      </c>
      <c r="H738" s="49" t="s">
        <v>5127</v>
      </c>
      <c r="I738" s="18"/>
      <c r="J738" s="285"/>
      <c r="K738" s="289"/>
      <c r="L738" s="12"/>
      <c r="M738" s="12"/>
      <c r="N738" s="24">
        <v>1</v>
      </c>
      <c r="O738" s="17">
        <v>10104.299999999999</v>
      </c>
      <c r="P738" s="17">
        <v>10104.299999999999</v>
      </c>
      <c r="Q738" s="48">
        <f t="shared" si="19"/>
        <v>0</v>
      </c>
      <c r="R738" s="289"/>
      <c r="S738" s="289"/>
      <c r="T738" s="285"/>
    </row>
    <row r="739" spans="1:20" ht="33.75" customHeight="1" x14ac:dyDescent="0.2">
      <c r="A739" s="289">
        <v>750</v>
      </c>
      <c r="B739" s="30" t="s">
        <v>5846</v>
      </c>
      <c r="C739" s="289"/>
      <c r="D739" s="9" t="s">
        <v>3248</v>
      </c>
      <c r="E739" s="285"/>
      <c r="F739" s="13" t="s">
        <v>2911</v>
      </c>
      <c r="G739" s="56" t="s">
        <v>101</v>
      </c>
      <c r="H739" s="49" t="s">
        <v>5127</v>
      </c>
      <c r="I739" s="18"/>
      <c r="J739" s="285"/>
      <c r="K739" s="289"/>
      <c r="L739" s="12"/>
      <c r="M739" s="12"/>
      <c r="N739" s="24">
        <v>1</v>
      </c>
      <c r="O739" s="17">
        <v>8458.36</v>
      </c>
      <c r="P739" s="17">
        <v>8458.36</v>
      </c>
      <c r="Q739" s="48">
        <f t="shared" si="19"/>
        <v>0</v>
      </c>
      <c r="R739" s="289"/>
      <c r="S739" s="289"/>
      <c r="T739" s="285"/>
    </row>
    <row r="740" spans="1:20" ht="52.5" customHeight="1" x14ac:dyDescent="0.2">
      <c r="A740" s="289">
        <v>751</v>
      </c>
      <c r="B740" s="30" t="s">
        <v>5847</v>
      </c>
      <c r="C740" s="289"/>
      <c r="D740" s="9" t="s">
        <v>411</v>
      </c>
      <c r="E740" s="285"/>
      <c r="F740" s="13" t="s">
        <v>2912</v>
      </c>
      <c r="G740" s="56" t="s">
        <v>101</v>
      </c>
      <c r="H740" s="49" t="s">
        <v>5127</v>
      </c>
      <c r="I740" s="18"/>
      <c r="J740" s="285"/>
      <c r="K740" s="289"/>
      <c r="L740" s="12"/>
      <c r="M740" s="12"/>
      <c r="N740" s="24">
        <v>1</v>
      </c>
      <c r="O740" s="17">
        <v>8458.36</v>
      </c>
      <c r="P740" s="17">
        <v>8458.36</v>
      </c>
      <c r="Q740" s="48">
        <f t="shared" si="19"/>
        <v>0</v>
      </c>
      <c r="R740" s="289"/>
      <c r="S740" s="289"/>
      <c r="T740" s="285"/>
    </row>
    <row r="741" spans="1:20" ht="52.5" customHeight="1" x14ac:dyDescent="0.2">
      <c r="A741" s="289">
        <v>752</v>
      </c>
      <c r="B741" s="30" t="s">
        <v>5848</v>
      </c>
      <c r="C741" s="289"/>
      <c r="D741" s="9" t="s">
        <v>4474</v>
      </c>
      <c r="E741" s="285"/>
      <c r="F741" s="13" t="s">
        <v>3376</v>
      </c>
      <c r="G741" s="56" t="s">
        <v>101</v>
      </c>
      <c r="H741" s="49" t="s">
        <v>5127</v>
      </c>
      <c r="I741" s="18"/>
      <c r="J741" s="285"/>
      <c r="K741" s="289"/>
      <c r="L741" s="12"/>
      <c r="M741" s="12"/>
      <c r="N741" s="24">
        <v>1</v>
      </c>
      <c r="O741" s="17">
        <v>5800</v>
      </c>
      <c r="P741" s="17">
        <v>5800</v>
      </c>
      <c r="Q741" s="48">
        <f t="shared" si="19"/>
        <v>0</v>
      </c>
      <c r="R741" s="289"/>
      <c r="S741" s="289"/>
      <c r="T741" s="285"/>
    </row>
    <row r="742" spans="1:20" ht="81" customHeight="1" x14ac:dyDescent="0.2">
      <c r="A742" s="289">
        <v>753</v>
      </c>
      <c r="B742" s="30" t="s">
        <v>5849</v>
      </c>
      <c r="C742" s="289"/>
      <c r="D742" s="9" t="s">
        <v>2294</v>
      </c>
      <c r="E742" s="285"/>
      <c r="F742" s="13" t="s">
        <v>9951</v>
      </c>
      <c r="G742" s="56" t="s">
        <v>101</v>
      </c>
      <c r="H742" s="49" t="s">
        <v>5127</v>
      </c>
      <c r="I742" s="18"/>
      <c r="J742" s="285" t="s">
        <v>4020</v>
      </c>
      <c r="K742" s="14" t="s">
        <v>12015</v>
      </c>
      <c r="L742" s="22" t="s">
        <v>12016</v>
      </c>
      <c r="M742" s="12"/>
      <c r="N742" s="24"/>
      <c r="O742" s="17">
        <f>69944.85+8700+2700+2580+1500+2950-35601.67+18780+8250+9180+46960+12740+9100+9100+9100+768+9900+97200</f>
        <v>283851.18</v>
      </c>
      <c r="P742" s="17">
        <f>O742</f>
        <v>283851.18</v>
      </c>
      <c r="Q742" s="48">
        <f t="shared" si="19"/>
        <v>0</v>
      </c>
      <c r="R742" s="285" t="s">
        <v>12017</v>
      </c>
      <c r="S742" s="17" t="s">
        <v>12018</v>
      </c>
      <c r="T742" s="285" t="s">
        <v>12019</v>
      </c>
    </row>
    <row r="743" spans="1:20" ht="39" customHeight="1" x14ac:dyDescent="0.2">
      <c r="A743" s="289">
        <v>754</v>
      </c>
      <c r="B743" s="30" t="s">
        <v>6029</v>
      </c>
      <c r="C743" s="289"/>
      <c r="D743" s="9" t="s">
        <v>4487</v>
      </c>
      <c r="E743" s="285"/>
      <c r="F743" s="13" t="s">
        <v>4242</v>
      </c>
      <c r="G743" s="56" t="s">
        <v>101</v>
      </c>
      <c r="H743" s="49" t="s">
        <v>5127</v>
      </c>
      <c r="I743" s="18"/>
      <c r="J743" s="285"/>
      <c r="K743" s="289"/>
      <c r="L743" s="12"/>
      <c r="M743" s="12"/>
      <c r="N743" s="24">
        <v>1</v>
      </c>
      <c r="O743" s="17">
        <v>3630</v>
      </c>
      <c r="P743" s="17">
        <v>3630</v>
      </c>
      <c r="Q743" s="48">
        <f t="shared" si="19"/>
        <v>0</v>
      </c>
      <c r="R743" s="289"/>
      <c r="S743" s="289"/>
      <c r="T743" s="285"/>
    </row>
    <row r="744" spans="1:20" ht="54.75" customHeight="1" x14ac:dyDescent="0.2">
      <c r="A744" s="289">
        <v>755</v>
      </c>
      <c r="B744" s="30" t="s">
        <v>4481</v>
      </c>
      <c r="C744" s="289"/>
      <c r="D744" s="9" t="s">
        <v>1496</v>
      </c>
      <c r="E744" s="285"/>
      <c r="F744" s="13" t="s">
        <v>4243</v>
      </c>
      <c r="G744" s="56" t="s">
        <v>101</v>
      </c>
      <c r="H744" s="49" t="s">
        <v>5127</v>
      </c>
      <c r="I744" s="18"/>
      <c r="J744" s="285" t="s">
        <v>9461</v>
      </c>
      <c r="K744" s="289">
        <v>2009</v>
      </c>
      <c r="L744" s="12" t="s">
        <v>1029</v>
      </c>
      <c r="M744" s="12" t="s">
        <v>4426</v>
      </c>
      <c r="N744" s="24">
        <v>1</v>
      </c>
      <c r="O744" s="17">
        <v>9085.4699999999993</v>
      </c>
      <c r="P744" s="17">
        <v>9085.4699999999993</v>
      </c>
      <c r="Q744" s="48">
        <f t="shared" si="19"/>
        <v>0</v>
      </c>
      <c r="R744" s="285" t="s">
        <v>9462</v>
      </c>
      <c r="S744" s="289"/>
      <c r="T744" s="285"/>
    </row>
    <row r="745" spans="1:20" ht="55.5" customHeight="1" x14ac:dyDescent="0.2">
      <c r="A745" s="289">
        <v>756</v>
      </c>
      <c r="B745" s="30" t="s">
        <v>4482</v>
      </c>
      <c r="C745" s="289" t="s">
        <v>5274</v>
      </c>
      <c r="D745" s="9" t="s">
        <v>4981</v>
      </c>
      <c r="E745" s="285"/>
      <c r="F745" s="55" t="s">
        <v>4244</v>
      </c>
      <c r="G745" s="56" t="s">
        <v>101</v>
      </c>
      <c r="H745" s="49" t="s">
        <v>5127</v>
      </c>
      <c r="I745" s="18"/>
      <c r="J745" s="285" t="s">
        <v>9461</v>
      </c>
      <c r="K745" s="289">
        <v>2009</v>
      </c>
      <c r="L745" s="12" t="s">
        <v>1029</v>
      </c>
      <c r="M745" s="12"/>
      <c r="N745" s="24">
        <v>1</v>
      </c>
      <c r="O745" s="17">
        <v>7151.76</v>
      </c>
      <c r="P745" s="17">
        <v>7151.76</v>
      </c>
      <c r="Q745" s="48">
        <f t="shared" si="19"/>
        <v>0</v>
      </c>
      <c r="R745" s="285" t="s">
        <v>9462</v>
      </c>
      <c r="S745" s="289"/>
      <c r="T745" s="285"/>
    </row>
    <row r="746" spans="1:20" ht="43.5" customHeight="1" x14ac:dyDescent="0.2">
      <c r="A746" s="289">
        <v>757</v>
      </c>
      <c r="B746" s="30" t="s">
        <v>4483</v>
      </c>
      <c r="C746" s="289"/>
      <c r="D746" s="9" t="s">
        <v>4982</v>
      </c>
      <c r="E746" s="285"/>
      <c r="F746" s="13" t="s">
        <v>4245</v>
      </c>
      <c r="G746" s="56" t="s">
        <v>101</v>
      </c>
      <c r="H746" s="49" t="s">
        <v>5127</v>
      </c>
      <c r="I746" s="18"/>
      <c r="J746" s="285"/>
      <c r="K746" s="289"/>
      <c r="L746" s="12"/>
      <c r="M746" s="12"/>
      <c r="N746" s="24">
        <v>1</v>
      </c>
      <c r="O746" s="17">
        <v>4441.5</v>
      </c>
      <c r="P746" s="17">
        <v>4441.5</v>
      </c>
      <c r="Q746" s="48">
        <f t="shared" si="19"/>
        <v>0</v>
      </c>
      <c r="R746" s="289"/>
      <c r="S746" s="289"/>
      <c r="T746" s="285"/>
    </row>
    <row r="747" spans="1:20" ht="43.5" customHeight="1" x14ac:dyDescent="0.2">
      <c r="A747" s="289">
        <v>758</v>
      </c>
      <c r="B747" s="30" t="s">
        <v>4484</v>
      </c>
      <c r="C747" s="289"/>
      <c r="D747" s="9" t="s">
        <v>4983</v>
      </c>
      <c r="E747" s="285"/>
      <c r="F747" s="13" t="s">
        <v>5709</v>
      </c>
      <c r="G747" s="56" t="s">
        <v>101</v>
      </c>
      <c r="H747" s="49" t="s">
        <v>5127</v>
      </c>
      <c r="I747" s="18"/>
      <c r="J747" s="285"/>
      <c r="K747" s="289"/>
      <c r="L747" s="12"/>
      <c r="M747" s="12"/>
      <c r="N747" s="24">
        <v>1</v>
      </c>
      <c r="O747" s="17">
        <v>4441.5</v>
      </c>
      <c r="P747" s="17">
        <v>4441.5</v>
      </c>
      <c r="Q747" s="48">
        <f t="shared" si="19"/>
        <v>0</v>
      </c>
      <c r="R747" s="289"/>
      <c r="S747" s="289"/>
      <c r="T747" s="285"/>
    </row>
    <row r="748" spans="1:20" ht="43.5" customHeight="1" x14ac:dyDescent="0.2">
      <c r="A748" s="289">
        <v>759</v>
      </c>
      <c r="B748" s="30" t="s">
        <v>4485</v>
      </c>
      <c r="C748" s="289"/>
      <c r="D748" s="9" t="s">
        <v>6557</v>
      </c>
      <c r="E748" s="285"/>
      <c r="F748" s="13" t="s">
        <v>4246</v>
      </c>
      <c r="G748" s="56" t="s">
        <v>101</v>
      </c>
      <c r="H748" s="49" t="s">
        <v>5127</v>
      </c>
      <c r="I748" s="18"/>
      <c r="J748" s="285"/>
      <c r="K748" s="289"/>
      <c r="L748" s="12"/>
      <c r="M748" s="12"/>
      <c r="N748" s="24">
        <v>1</v>
      </c>
      <c r="O748" s="17">
        <v>4828</v>
      </c>
      <c r="P748" s="17">
        <v>4828</v>
      </c>
      <c r="Q748" s="48">
        <f t="shared" si="19"/>
        <v>0</v>
      </c>
      <c r="R748" s="289"/>
      <c r="S748" s="289"/>
      <c r="T748" s="285"/>
    </row>
    <row r="749" spans="1:20" ht="36" customHeight="1" x14ac:dyDescent="0.2">
      <c r="A749" s="289">
        <v>760</v>
      </c>
      <c r="B749" s="30" t="s">
        <v>4486</v>
      </c>
      <c r="C749" s="289"/>
      <c r="D749" s="9" t="s">
        <v>4241</v>
      </c>
      <c r="E749" s="285"/>
      <c r="F749" s="13" t="s">
        <v>4247</v>
      </c>
      <c r="G749" s="56" t="s">
        <v>101</v>
      </c>
      <c r="H749" s="49" t="s">
        <v>5127</v>
      </c>
      <c r="I749" s="18"/>
      <c r="J749" s="285"/>
      <c r="K749" s="289"/>
      <c r="L749" s="12"/>
      <c r="M749" s="12"/>
      <c r="N749" s="24">
        <v>1</v>
      </c>
      <c r="O749" s="17">
        <v>3603</v>
      </c>
      <c r="P749" s="17">
        <v>3603</v>
      </c>
      <c r="Q749" s="48">
        <f t="shared" si="19"/>
        <v>0</v>
      </c>
      <c r="R749" s="289"/>
      <c r="S749" s="289"/>
      <c r="T749" s="285"/>
    </row>
    <row r="750" spans="1:20" ht="36" customHeight="1" x14ac:dyDescent="0.2">
      <c r="A750" s="289">
        <v>761</v>
      </c>
      <c r="B750" s="30" t="s">
        <v>4430</v>
      </c>
      <c r="C750" s="289"/>
      <c r="D750" s="9" t="s">
        <v>1005</v>
      </c>
      <c r="E750" s="285"/>
      <c r="F750" s="13" t="s">
        <v>5326</v>
      </c>
      <c r="G750" s="56" t="s">
        <v>101</v>
      </c>
      <c r="H750" s="49" t="s">
        <v>5127</v>
      </c>
      <c r="I750" s="18"/>
      <c r="J750" s="285"/>
      <c r="K750" s="289"/>
      <c r="L750" s="12"/>
      <c r="M750" s="12"/>
      <c r="N750" s="24">
        <v>1</v>
      </c>
      <c r="O750" s="17">
        <v>4599</v>
      </c>
      <c r="P750" s="17">
        <v>4599</v>
      </c>
      <c r="Q750" s="48">
        <f t="shared" si="19"/>
        <v>0</v>
      </c>
      <c r="R750" s="289"/>
      <c r="S750" s="289"/>
      <c r="T750" s="285"/>
    </row>
    <row r="751" spans="1:20" ht="36" customHeight="1" x14ac:dyDescent="0.2">
      <c r="A751" s="289">
        <v>762</v>
      </c>
      <c r="B751" s="30" t="s">
        <v>4431</v>
      </c>
      <c r="C751" s="289"/>
      <c r="D751" s="9" t="s">
        <v>1006</v>
      </c>
      <c r="E751" s="285"/>
      <c r="F751" s="13" t="s">
        <v>5909</v>
      </c>
      <c r="G751" s="56" t="s">
        <v>101</v>
      </c>
      <c r="H751" s="49" t="s">
        <v>5127</v>
      </c>
      <c r="I751" s="18"/>
      <c r="J751" s="285"/>
      <c r="K751" s="289"/>
      <c r="L751" s="12"/>
      <c r="M751" s="12"/>
      <c r="N751" s="24">
        <v>1</v>
      </c>
      <c r="O751" s="17">
        <v>3980</v>
      </c>
      <c r="P751" s="17">
        <v>3980</v>
      </c>
      <c r="Q751" s="48">
        <f t="shared" si="19"/>
        <v>0</v>
      </c>
      <c r="R751" s="289"/>
      <c r="S751" s="289"/>
      <c r="T751" s="285"/>
    </row>
    <row r="752" spans="1:20" ht="32.25" customHeight="1" x14ac:dyDescent="0.2">
      <c r="A752" s="289">
        <v>763</v>
      </c>
      <c r="B752" s="30" t="s">
        <v>4432</v>
      </c>
      <c r="C752" s="289"/>
      <c r="D752" s="9" t="s">
        <v>3692</v>
      </c>
      <c r="E752" s="285"/>
      <c r="F752" s="13" t="s">
        <v>5910</v>
      </c>
      <c r="G752" s="56" t="s">
        <v>101</v>
      </c>
      <c r="H752" s="49" t="s">
        <v>5127</v>
      </c>
      <c r="I752" s="18"/>
      <c r="J752" s="285"/>
      <c r="K752" s="289"/>
      <c r="L752" s="12"/>
      <c r="M752" s="12"/>
      <c r="N752" s="24">
        <v>1</v>
      </c>
      <c r="O752" s="17">
        <v>5400</v>
      </c>
      <c r="P752" s="17">
        <v>5400</v>
      </c>
      <c r="Q752" s="48">
        <f t="shared" si="19"/>
        <v>0</v>
      </c>
      <c r="R752" s="289"/>
      <c r="S752" s="289"/>
      <c r="T752" s="285"/>
    </row>
    <row r="753" spans="1:20" ht="32.25" customHeight="1" x14ac:dyDescent="0.2">
      <c r="A753" s="289">
        <v>764</v>
      </c>
      <c r="B753" s="30" t="s">
        <v>1002</v>
      </c>
      <c r="C753" s="289"/>
      <c r="D753" s="9" t="s">
        <v>3693</v>
      </c>
      <c r="E753" s="285"/>
      <c r="F753" s="13" t="s">
        <v>5911</v>
      </c>
      <c r="G753" s="56" t="s">
        <v>101</v>
      </c>
      <c r="H753" s="49" t="s">
        <v>5127</v>
      </c>
      <c r="I753" s="18"/>
      <c r="J753" s="285"/>
      <c r="K753" s="289"/>
      <c r="L753" s="12"/>
      <c r="M753" s="12"/>
      <c r="N753" s="24">
        <v>1</v>
      </c>
      <c r="O753" s="17">
        <v>5103</v>
      </c>
      <c r="P753" s="17">
        <v>5103</v>
      </c>
      <c r="Q753" s="48">
        <f t="shared" si="19"/>
        <v>0</v>
      </c>
      <c r="R753" s="289"/>
      <c r="S753" s="289"/>
      <c r="T753" s="285"/>
    </row>
    <row r="754" spans="1:20" ht="32.25" customHeight="1" x14ac:dyDescent="0.2">
      <c r="A754" s="289">
        <v>765</v>
      </c>
      <c r="B754" s="30" t="s">
        <v>1003</v>
      </c>
      <c r="C754" s="289"/>
      <c r="D754" s="9" t="s">
        <v>3694</v>
      </c>
      <c r="E754" s="285"/>
      <c r="F754" s="13" t="s">
        <v>5284</v>
      </c>
      <c r="G754" s="56" t="s">
        <v>101</v>
      </c>
      <c r="H754" s="49" t="s">
        <v>5127</v>
      </c>
      <c r="I754" s="18"/>
      <c r="J754" s="285"/>
      <c r="K754" s="289"/>
      <c r="L754" s="12"/>
      <c r="M754" s="12"/>
      <c r="N754" s="24">
        <v>1</v>
      </c>
      <c r="O754" s="17">
        <v>4695</v>
      </c>
      <c r="P754" s="17">
        <v>4695</v>
      </c>
      <c r="Q754" s="48">
        <f t="shared" si="19"/>
        <v>0</v>
      </c>
      <c r="R754" s="289"/>
      <c r="S754" s="289"/>
      <c r="T754" s="285"/>
    </row>
    <row r="755" spans="1:20" ht="38.25" customHeight="1" x14ac:dyDescent="0.2">
      <c r="A755" s="289">
        <v>766</v>
      </c>
      <c r="B755" s="30" t="s">
        <v>1004</v>
      </c>
      <c r="C755" s="289"/>
      <c r="D755" s="9" t="s">
        <v>3695</v>
      </c>
      <c r="E755" s="285"/>
      <c r="F755" s="13" t="s">
        <v>363</v>
      </c>
      <c r="G755" s="56" t="s">
        <v>101</v>
      </c>
      <c r="H755" s="49" t="s">
        <v>5127</v>
      </c>
      <c r="I755" s="18"/>
      <c r="J755" s="285"/>
      <c r="K755" s="289"/>
      <c r="L755" s="12"/>
      <c r="M755" s="12"/>
      <c r="N755" s="24">
        <v>1</v>
      </c>
      <c r="O755" s="17">
        <v>4680</v>
      </c>
      <c r="P755" s="17">
        <v>4680</v>
      </c>
      <c r="Q755" s="48">
        <f t="shared" si="19"/>
        <v>0</v>
      </c>
      <c r="R755" s="289"/>
      <c r="S755" s="289"/>
      <c r="T755" s="285"/>
    </row>
    <row r="756" spans="1:20" ht="38.25" customHeight="1" x14ac:dyDescent="0.2">
      <c r="A756" s="289">
        <v>767</v>
      </c>
      <c r="B756" s="30" t="s">
        <v>4022</v>
      </c>
      <c r="C756" s="289"/>
      <c r="D756" s="9" t="s">
        <v>1300</v>
      </c>
      <c r="E756" s="285"/>
      <c r="F756" s="13" t="s">
        <v>3997</v>
      </c>
      <c r="G756" s="56" t="s">
        <v>101</v>
      </c>
      <c r="H756" s="49" t="s">
        <v>5127</v>
      </c>
      <c r="I756" s="18"/>
      <c r="J756" s="285" t="s">
        <v>9408</v>
      </c>
      <c r="K756" s="289">
        <v>2011</v>
      </c>
      <c r="L756" s="12" t="s">
        <v>1029</v>
      </c>
      <c r="M756" s="12"/>
      <c r="N756" s="24">
        <v>1</v>
      </c>
      <c r="O756" s="17">
        <v>6186</v>
      </c>
      <c r="P756" s="17">
        <v>6186</v>
      </c>
      <c r="Q756" s="48">
        <f t="shared" si="19"/>
        <v>0</v>
      </c>
      <c r="R756" s="289" t="s">
        <v>5071</v>
      </c>
      <c r="S756" s="15">
        <v>40556</v>
      </c>
      <c r="T756" s="285">
        <v>1</v>
      </c>
    </row>
    <row r="757" spans="1:20" ht="54.75" customHeight="1" x14ac:dyDescent="0.2">
      <c r="A757" s="289">
        <v>768</v>
      </c>
      <c r="B757" s="30" t="s">
        <v>4023</v>
      </c>
      <c r="C757" s="289"/>
      <c r="D757" s="9" t="s">
        <v>3698</v>
      </c>
      <c r="E757" s="285"/>
      <c r="F757" s="13" t="s">
        <v>5726</v>
      </c>
      <c r="G757" s="56" t="s">
        <v>101</v>
      </c>
      <c r="H757" s="49" t="s">
        <v>5127</v>
      </c>
      <c r="I757" s="18"/>
      <c r="J757" s="285" t="s">
        <v>9408</v>
      </c>
      <c r="K757" s="289">
        <v>2011</v>
      </c>
      <c r="L757" s="12" t="s">
        <v>1029</v>
      </c>
      <c r="M757" s="12"/>
      <c r="N757" s="24">
        <v>1</v>
      </c>
      <c r="O757" s="17">
        <v>4500</v>
      </c>
      <c r="P757" s="17">
        <v>4500</v>
      </c>
      <c r="Q757" s="48">
        <f t="shared" si="19"/>
        <v>0</v>
      </c>
      <c r="R757" s="289" t="s">
        <v>5071</v>
      </c>
      <c r="S757" s="15">
        <v>40619</v>
      </c>
      <c r="T757" s="285">
        <v>2051</v>
      </c>
    </row>
    <row r="758" spans="1:20" ht="35.25" customHeight="1" x14ac:dyDescent="0.2">
      <c r="A758" s="289">
        <v>769</v>
      </c>
      <c r="B758" s="30" t="s">
        <v>4024</v>
      </c>
      <c r="C758" s="289"/>
      <c r="D758" s="9" t="s">
        <v>333</v>
      </c>
      <c r="E758" s="285"/>
      <c r="F758" s="13" t="s">
        <v>1223</v>
      </c>
      <c r="G758" s="56" t="s">
        <v>101</v>
      </c>
      <c r="H758" s="49" t="s">
        <v>5127</v>
      </c>
      <c r="I758" s="18"/>
      <c r="J758" s="285"/>
      <c r="K758" s="289"/>
      <c r="L758" s="12"/>
      <c r="M758" s="12"/>
      <c r="N758" s="24">
        <v>1</v>
      </c>
      <c r="O758" s="17">
        <v>8550</v>
      </c>
      <c r="P758" s="17">
        <v>8550</v>
      </c>
      <c r="Q758" s="48">
        <f t="shared" si="19"/>
        <v>0</v>
      </c>
      <c r="R758" s="289"/>
      <c r="S758" s="289"/>
      <c r="T758" s="285"/>
    </row>
    <row r="759" spans="1:20" ht="35.25" customHeight="1" x14ac:dyDescent="0.2">
      <c r="A759" s="289">
        <v>770</v>
      </c>
      <c r="B759" s="30" t="s">
        <v>4025</v>
      </c>
      <c r="C759" s="289"/>
      <c r="D759" s="9" t="s">
        <v>25</v>
      </c>
      <c r="E759" s="285"/>
      <c r="F759" s="13" t="s">
        <v>4450</v>
      </c>
      <c r="G759" s="56" t="s">
        <v>101</v>
      </c>
      <c r="H759" s="49" t="s">
        <v>5127</v>
      </c>
      <c r="I759" s="18"/>
      <c r="J759" s="285"/>
      <c r="K759" s="289"/>
      <c r="L759" s="12"/>
      <c r="M759" s="12"/>
      <c r="N759" s="24">
        <v>1</v>
      </c>
      <c r="O759" s="17">
        <v>3100</v>
      </c>
      <c r="P759" s="17">
        <v>3100</v>
      </c>
      <c r="Q759" s="48">
        <f t="shared" si="19"/>
        <v>0</v>
      </c>
      <c r="R759" s="289"/>
      <c r="S759" s="289"/>
      <c r="T759" s="285"/>
    </row>
    <row r="760" spans="1:20" ht="35.25" customHeight="1" x14ac:dyDescent="0.2">
      <c r="A760" s="289">
        <v>771</v>
      </c>
      <c r="B760" s="30" t="s">
        <v>4026</v>
      </c>
      <c r="C760" s="289"/>
      <c r="D760" s="9" t="s">
        <v>3650</v>
      </c>
      <c r="E760" s="285"/>
      <c r="F760" s="13" t="s">
        <v>1224</v>
      </c>
      <c r="G760" s="56" t="s">
        <v>101</v>
      </c>
      <c r="H760" s="49" t="s">
        <v>5127</v>
      </c>
      <c r="I760" s="18"/>
      <c r="J760" s="285"/>
      <c r="K760" s="289"/>
      <c r="L760" s="12"/>
      <c r="M760" s="16"/>
      <c r="N760" s="24">
        <v>2</v>
      </c>
      <c r="O760" s="17">
        <v>8672.67</v>
      </c>
      <c r="P760" s="17">
        <v>8672.67</v>
      </c>
      <c r="Q760" s="48">
        <f t="shared" si="19"/>
        <v>0</v>
      </c>
      <c r="R760" s="289"/>
      <c r="S760" s="289"/>
      <c r="T760" s="285"/>
    </row>
    <row r="761" spans="1:20" ht="30.75" customHeight="1" x14ac:dyDescent="0.2">
      <c r="A761" s="289">
        <v>772</v>
      </c>
      <c r="B761" s="30" t="s">
        <v>4027</v>
      </c>
      <c r="C761" s="289"/>
      <c r="D761" s="9" t="s">
        <v>4021</v>
      </c>
      <c r="E761" s="285"/>
      <c r="F761" s="13" t="s">
        <v>2623</v>
      </c>
      <c r="G761" s="56" t="s">
        <v>101</v>
      </c>
      <c r="H761" s="49" t="s">
        <v>5127</v>
      </c>
      <c r="I761" s="18"/>
      <c r="J761" s="285"/>
      <c r="K761" s="289"/>
      <c r="L761" s="12"/>
      <c r="M761" s="16"/>
      <c r="N761" s="24">
        <v>1</v>
      </c>
      <c r="O761" s="17">
        <v>4000</v>
      </c>
      <c r="P761" s="17">
        <v>4000</v>
      </c>
      <c r="Q761" s="48">
        <f t="shared" si="19"/>
        <v>0</v>
      </c>
      <c r="R761" s="289"/>
      <c r="S761" s="289"/>
      <c r="T761" s="285"/>
    </row>
    <row r="762" spans="1:20" ht="30.75" customHeight="1" x14ac:dyDescent="0.2">
      <c r="A762" s="289">
        <v>773</v>
      </c>
      <c r="B762" s="30" t="s">
        <v>4029</v>
      </c>
      <c r="C762" s="289"/>
      <c r="D762" s="9" t="s">
        <v>4033</v>
      </c>
      <c r="E762" s="285"/>
      <c r="F762" s="13" t="s">
        <v>2997</v>
      </c>
      <c r="G762" s="56" t="s">
        <v>101</v>
      </c>
      <c r="H762" s="49" t="s">
        <v>5127</v>
      </c>
      <c r="I762" s="18"/>
      <c r="J762" s="285"/>
      <c r="K762" s="289"/>
      <c r="L762" s="12"/>
      <c r="M762" s="16"/>
      <c r="N762" s="24">
        <v>1</v>
      </c>
      <c r="O762" s="17">
        <v>6950</v>
      </c>
      <c r="P762" s="17">
        <v>6950</v>
      </c>
      <c r="Q762" s="48">
        <f t="shared" si="19"/>
        <v>0</v>
      </c>
      <c r="R762" s="289"/>
      <c r="S762" s="289"/>
      <c r="T762" s="285"/>
    </row>
    <row r="763" spans="1:20" ht="34.5" customHeight="1" x14ac:dyDescent="0.2">
      <c r="A763" s="289">
        <v>774</v>
      </c>
      <c r="B763" s="30" t="s">
        <v>4030</v>
      </c>
      <c r="C763" s="289"/>
      <c r="D763" s="9" t="s">
        <v>4034</v>
      </c>
      <c r="E763" s="285"/>
      <c r="F763" s="13" t="s">
        <v>3313</v>
      </c>
      <c r="G763" s="56" t="s">
        <v>101</v>
      </c>
      <c r="H763" s="49" t="s">
        <v>5127</v>
      </c>
      <c r="I763" s="18"/>
      <c r="J763" s="285"/>
      <c r="K763" s="289"/>
      <c r="L763" s="12"/>
      <c r="M763" s="16"/>
      <c r="N763" s="24">
        <v>1</v>
      </c>
      <c r="O763" s="17">
        <v>8578</v>
      </c>
      <c r="P763" s="17">
        <v>8578</v>
      </c>
      <c r="Q763" s="48">
        <f t="shared" si="19"/>
        <v>0</v>
      </c>
      <c r="R763" s="289"/>
      <c r="S763" s="289"/>
      <c r="T763" s="285"/>
    </row>
    <row r="764" spans="1:20" ht="34.5" customHeight="1" x14ac:dyDescent="0.2">
      <c r="A764" s="289">
        <v>775</v>
      </c>
      <c r="B764" s="30" t="s">
        <v>4031</v>
      </c>
      <c r="C764" s="289"/>
      <c r="D764" s="46" t="s">
        <v>4035</v>
      </c>
      <c r="E764" s="285"/>
      <c r="F764" s="47" t="s">
        <v>3314</v>
      </c>
      <c r="G764" s="56" t="s">
        <v>101</v>
      </c>
      <c r="H764" s="49" t="s">
        <v>5127</v>
      </c>
      <c r="I764" s="18"/>
      <c r="J764" s="285"/>
      <c r="K764" s="289"/>
      <c r="L764" s="12"/>
      <c r="M764" s="16"/>
      <c r="N764" s="52">
        <v>1</v>
      </c>
      <c r="O764" s="48">
        <v>3490</v>
      </c>
      <c r="P764" s="48">
        <v>3490</v>
      </c>
      <c r="Q764" s="48">
        <f t="shared" si="19"/>
        <v>0</v>
      </c>
      <c r="R764" s="289"/>
      <c r="S764" s="289"/>
      <c r="T764" s="285"/>
    </row>
    <row r="765" spans="1:20" ht="54" customHeight="1" x14ac:dyDescent="0.2">
      <c r="A765" s="289">
        <v>776</v>
      </c>
      <c r="B765" s="30" t="s">
        <v>4032</v>
      </c>
      <c r="C765" s="289"/>
      <c r="D765" s="46" t="s">
        <v>5635</v>
      </c>
      <c r="E765" s="285"/>
      <c r="F765" s="47" t="s">
        <v>4038</v>
      </c>
      <c r="G765" s="56" t="s">
        <v>101</v>
      </c>
      <c r="H765" s="49" t="s">
        <v>5127</v>
      </c>
      <c r="I765" s="18"/>
      <c r="J765" s="285"/>
      <c r="K765" s="289"/>
      <c r="L765" s="12"/>
      <c r="M765" s="16"/>
      <c r="N765" s="52">
        <v>1</v>
      </c>
      <c r="O765" s="48">
        <v>3599</v>
      </c>
      <c r="P765" s="48">
        <v>3599</v>
      </c>
      <c r="Q765" s="48">
        <f t="shared" si="19"/>
        <v>0</v>
      </c>
      <c r="R765" s="289" t="s">
        <v>4037</v>
      </c>
      <c r="S765" s="15">
        <v>41649</v>
      </c>
      <c r="T765" s="285" t="s">
        <v>4036</v>
      </c>
    </row>
    <row r="766" spans="1:20" ht="102.75" customHeight="1" x14ac:dyDescent="0.2">
      <c r="A766" s="289">
        <v>777</v>
      </c>
      <c r="B766" s="30" t="s">
        <v>4039</v>
      </c>
      <c r="C766" s="289"/>
      <c r="D766" s="9" t="s">
        <v>5967</v>
      </c>
      <c r="E766" s="285"/>
      <c r="F766" s="13" t="s">
        <v>4</v>
      </c>
      <c r="G766" s="285" t="s">
        <v>3090</v>
      </c>
      <c r="H766" s="49" t="s">
        <v>5127</v>
      </c>
      <c r="I766" s="18"/>
      <c r="J766" s="285"/>
      <c r="K766" s="289"/>
      <c r="L766" s="12"/>
      <c r="M766" s="16"/>
      <c r="N766" s="24">
        <v>1</v>
      </c>
      <c r="O766" s="17">
        <v>6572.1</v>
      </c>
      <c r="P766" s="17">
        <v>6572.1</v>
      </c>
      <c r="Q766" s="48">
        <f t="shared" si="19"/>
        <v>0</v>
      </c>
      <c r="R766" s="289"/>
      <c r="S766" s="289"/>
      <c r="T766" s="285"/>
    </row>
    <row r="767" spans="1:20" ht="99.75" customHeight="1" x14ac:dyDescent="0.2">
      <c r="A767" s="289">
        <v>778</v>
      </c>
      <c r="B767" s="30" t="s">
        <v>4040</v>
      </c>
      <c r="C767" s="289"/>
      <c r="D767" s="9" t="s">
        <v>2648</v>
      </c>
      <c r="E767" s="285"/>
      <c r="F767" s="13" t="s">
        <v>6537</v>
      </c>
      <c r="G767" s="285" t="s">
        <v>3090</v>
      </c>
      <c r="H767" s="49" t="s">
        <v>5127</v>
      </c>
      <c r="I767" s="18"/>
      <c r="J767" s="285"/>
      <c r="K767" s="289"/>
      <c r="L767" s="12"/>
      <c r="M767" s="16"/>
      <c r="N767" s="24">
        <v>2</v>
      </c>
      <c r="O767" s="17">
        <v>6664.96</v>
      </c>
      <c r="P767" s="17">
        <v>6664.96</v>
      </c>
      <c r="Q767" s="48">
        <f t="shared" si="19"/>
        <v>0</v>
      </c>
      <c r="R767" s="289"/>
      <c r="S767" s="289"/>
      <c r="T767" s="285"/>
    </row>
    <row r="768" spans="1:20" ht="100.5" customHeight="1" x14ac:dyDescent="0.2">
      <c r="A768" s="289">
        <v>779</v>
      </c>
      <c r="B768" s="30" t="s">
        <v>5093</v>
      </c>
      <c r="C768" s="289"/>
      <c r="D768" s="9" t="s">
        <v>3374</v>
      </c>
      <c r="E768" s="285"/>
      <c r="F768" s="13" t="s">
        <v>5</v>
      </c>
      <c r="G768" s="285" t="s">
        <v>3090</v>
      </c>
      <c r="H768" s="49" t="s">
        <v>5127</v>
      </c>
      <c r="I768" s="18"/>
      <c r="J768" s="285"/>
      <c r="K768" s="289"/>
      <c r="L768" s="12"/>
      <c r="M768" s="16"/>
      <c r="N768" s="24">
        <v>1</v>
      </c>
      <c r="O768" s="17">
        <v>6213.6</v>
      </c>
      <c r="P768" s="17">
        <v>6213.6</v>
      </c>
      <c r="Q768" s="48">
        <f t="shared" si="19"/>
        <v>0</v>
      </c>
      <c r="R768" s="289"/>
      <c r="S768" s="289"/>
      <c r="T768" s="285"/>
    </row>
    <row r="769" spans="1:20" ht="98.25" customHeight="1" x14ac:dyDescent="0.2">
      <c r="A769" s="289">
        <v>780</v>
      </c>
      <c r="B769" s="30" t="s">
        <v>5094</v>
      </c>
      <c r="C769" s="289"/>
      <c r="D769" s="9" t="s">
        <v>2293</v>
      </c>
      <c r="E769" s="285"/>
      <c r="F769" s="13" t="s">
        <v>6</v>
      </c>
      <c r="G769" s="285" t="s">
        <v>3090</v>
      </c>
      <c r="H769" s="49" t="s">
        <v>5127</v>
      </c>
      <c r="I769" s="18"/>
      <c r="J769" s="285"/>
      <c r="K769" s="289"/>
      <c r="L769" s="12"/>
      <c r="M769" s="16"/>
      <c r="N769" s="24">
        <v>1</v>
      </c>
      <c r="O769" s="17">
        <v>5900</v>
      </c>
      <c r="P769" s="17">
        <v>5900</v>
      </c>
      <c r="Q769" s="48">
        <f t="shared" si="19"/>
        <v>0</v>
      </c>
      <c r="R769" s="289"/>
      <c r="S769" s="289"/>
      <c r="T769" s="285"/>
    </row>
    <row r="770" spans="1:20" ht="90" customHeight="1" x14ac:dyDescent="0.2">
      <c r="A770" s="289">
        <v>781</v>
      </c>
      <c r="B770" s="30" t="s">
        <v>5095</v>
      </c>
      <c r="C770" s="289"/>
      <c r="D770" s="9" t="s">
        <v>4704</v>
      </c>
      <c r="E770" s="285"/>
      <c r="F770" s="13" t="s">
        <v>2672</v>
      </c>
      <c r="G770" s="285" t="s">
        <v>3090</v>
      </c>
      <c r="H770" s="49" t="s">
        <v>5127</v>
      </c>
      <c r="I770" s="18"/>
      <c r="J770" s="285"/>
      <c r="K770" s="289"/>
      <c r="L770" s="12"/>
      <c r="M770" s="16"/>
      <c r="N770" s="24">
        <v>1</v>
      </c>
      <c r="O770" s="17">
        <v>5468.62</v>
      </c>
      <c r="P770" s="17">
        <v>5468.62</v>
      </c>
      <c r="Q770" s="48">
        <f t="shared" si="19"/>
        <v>0</v>
      </c>
      <c r="R770" s="289"/>
      <c r="S770" s="289"/>
      <c r="T770" s="285"/>
    </row>
    <row r="771" spans="1:20" ht="90" customHeight="1" x14ac:dyDescent="0.2">
      <c r="A771" s="289">
        <v>782</v>
      </c>
      <c r="B771" s="30" t="s">
        <v>1</v>
      </c>
      <c r="C771" s="289"/>
      <c r="D771" s="9" t="s">
        <v>5335</v>
      </c>
      <c r="E771" s="285"/>
      <c r="F771" s="13" t="s">
        <v>2673</v>
      </c>
      <c r="G771" s="285" t="s">
        <v>3090</v>
      </c>
      <c r="H771" s="49" t="s">
        <v>5127</v>
      </c>
      <c r="I771" s="18"/>
      <c r="J771" s="285"/>
      <c r="K771" s="289"/>
      <c r="L771" s="12"/>
      <c r="M771" s="16"/>
      <c r="N771" s="24">
        <v>1</v>
      </c>
      <c r="O771" s="17">
        <v>4570.7299999999996</v>
      </c>
      <c r="P771" s="17">
        <v>4570.7299999999996</v>
      </c>
      <c r="Q771" s="48">
        <f t="shared" si="19"/>
        <v>0</v>
      </c>
      <c r="R771" s="289"/>
      <c r="S771" s="289"/>
      <c r="T771" s="285"/>
    </row>
    <row r="772" spans="1:20" ht="90" customHeight="1" x14ac:dyDescent="0.2">
      <c r="A772" s="289">
        <v>783</v>
      </c>
      <c r="B772" s="30" t="s">
        <v>2</v>
      </c>
      <c r="C772" s="289"/>
      <c r="D772" s="9" t="s">
        <v>4019</v>
      </c>
      <c r="E772" s="285"/>
      <c r="F772" s="13" t="s">
        <v>4394</v>
      </c>
      <c r="G772" s="285" t="s">
        <v>3090</v>
      </c>
      <c r="H772" s="49" t="s">
        <v>5127</v>
      </c>
      <c r="I772" s="18"/>
      <c r="J772" s="285"/>
      <c r="K772" s="289"/>
      <c r="L772" s="12"/>
      <c r="M772" s="16"/>
      <c r="N772" s="24">
        <v>1</v>
      </c>
      <c r="O772" s="17">
        <v>6626.86</v>
      </c>
      <c r="P772" s="17">
        <v>6626.86</v>
      </c>
      <c r="Q772" s="48">
        <f t="shared" si="19"/>
        <v>0</v>
      </c>
      <c r="R772" s="289"/>
      <c r="S772" s="289"/>
      <c r="T772" s="285"/>
    </row>
    <row r="773" spans="1:20" ht="105" customHeight="1" x14ac:dyDescent="0.2">
      <c r="A773" s="289">
        <v>784</v>
      </c>
      <c r="B773" s="30" t="s">
        <v>3</v>
      </c>
      <c r="C773" s="289"/>
      <c r="D773" s="46" t="s">
        <v>2644</v>
      </c>
      <c r="E773" s="49"/>
      <c r="F773" s="47" t="s">
        <v>872</v>
      </c>
      <c r="G773" s="285" t="s">
        <v>3090</v>
      </c>
      <c r="H773" s="49" t="s">
        <v>5127</v>
      </c>
      <c r="I773" s="50"/>
      <c r="J773" s="49"/>
      <c r="K773" s="30"/>
      <c r="L773" s="42"/>
      <c r="M773" s="120"/>
      <c r="N773" s="52">
        <v>1</v>
      </c>
      <c r="O773" s="48">
        <v>8300</v>
      </c>
      <c r="P773" s="48">
        <v>8300</v>
      </c>
      <c r="Q773" s="48">
        <f t="shared" si="19"/>
        <v>0</v>
      </c>
      <c r="R773" s="289"/>
      <c r="S773" s="289"/>
      <c r="T773" s="285"/>
    </row>
    <row r="774" spans="1:20" ht="92.25" customHeight="1" x14ac:dyDescent="0.2">
      <c r="A774" s="289">
        <v>785</v>
      </c>
      <c r="B774" s="30" t="s">
        <v>2038</v>
      </c>
      <c r="C774" s="289"/>
      <c r="D774" s="9" t="s">
        <v>2876</v>
      </c>
      <c r="E774" s="285"/>
      <c r="F774" s="13" t="s">
        <v>6752</v>
      </c>
      <c r="G774" s="285" t="s">
        <v>4946</v>
      </c>
      <c r="H774" s="285" t="s">
        <v>5127</v>
      </c>
      <c r="I774" s="18"/>
      <c r="J774" s="285" t="s">
        <v>3136</v>
      </c>
      <c r="K774" s="15">
        <v>42156</v>
      </c>
      <c r="L774" s="22" t="s">
        <v>3413</v>
      </c>
      <c r="M774" s="16"/>
      <c r="N774" s="24">
        <v>10</v>
      </c>
      <c r="O774" s="17">
        <v>34000</v>
      </c>
      <c r="P774" s="17">
        <v>34000</v>
      </c>
      <c r="Q774" s="48">
        <f t="shared" si="19"/>
        <v>0</v>
      </c>
      <c r="R774" s="289"/>
      <c r="S774" s="289"/>
      <c r="T774" s="285"/>
    </row>
    <row r="775" spans="1:20" ht="92.25" customHeight="1" x14ac:dyDescent="0.2">
      <c r="A775" s="289">
        <v>786</v>
      </c>
      <c r="B775" s="30" t="s">
        <v>2039</v>
      </c>
      <c r="C775" s="289"/>
      <c r="D775" s="9" t="s">
        <v>2877</v>
      </c>
      <c r="E775" s="285"/>
      <c r="F775" s="13" t="s">
        <v>6753</v>
      </c>
      <c r="G775" s="285" t="s">
        <v>4946</v>
      </c>
      <c r="H775" s="285" t="s">
        <v>5127</v>
      </c>
      <c r="I775" s="18"/>
      <c r="J775" s="285" t="s">
        <v>3136</v>
      </c>
      <c r="K775" s="15">
        <v>42156</v>
      </c>
      <c r="L775" s="22" t="s">
        <v>3413</v>
      </c>
      <c r="M775" s="16"/>
      <c r="N775" s="24">
        <v>2</v>
      </c>
      <c r="O775" s="17">
        <v>6870</v>
      </c>
      <c r="P775" s="17">
        <v>6870</v>
      </c>
      <c r="Q775" s="48">
        <f t="shared" si="19"/>
        <v>0</v>
      </c>
      <c r="R775" s="289"/>
      <c r="S775" s="289"/>
      <c r="T775" s="285"/>
    </row>
    <row r="776" spans="1:20" ht="84.75" customHeight="1" x14ac:dyDescent="0.2">
      <c r="A776" s="289">
        <v>787</v>
      </c>
      <c r="B776" s="30" t="s">
        <v>2040</v>
      </c>
      <c r="C776" s="289"/>
      <c r="D776" s="9" t="s">
        <v>3832</v>
      </c>
      <c r="E776" s="285"/>
      <c r="F776" s="13" t="s">
        <v>6754</v>
      </c>
      <c r="G776" s="285" t="s">
        <v>4946</v>
      </c>
      <c r="H776" s="285" t="s">
        <v>5127</v>
      </c>
      <c r="I776" s="18"/>
      <c r="J776" s="285" t="s">
        <v>3136</v>
      </c>
      <c r="K776" s="15">
        <v>42156</v>
      </c>
      <c r="L776" s="22" t="s">
        <v>3413</v>
      </c>
      <c r="M776" s="16"/>
      <c r="N776" s="24">
        <v>1</v>
      </c>
      <c r="O776" s="17">
        <v>7100</v>
      </c>
      <c r="P776" s="17">
        <v>7100</v>
      </c>
      <c r="Q776" s="48">
        <f t="shared" si="19"/>
        <v>0</v>
      </c>
      <c r="R776" s="289"/>
      <c r="S776" s="289"/>
      <c r="T776" s="285"/>
    </row>
    <row r="777" spans="1:20" ht="82.5" customHeight="1" x14ac:dyDescent="0.2">
      <c r="A777" s="289">
        <v>788</v>
      </c>
      <c r="B777" s="30" t="s">
        <v>292</v>
      </c>
      <c r="C777" s="289"/>
      <c r="D777" s="46" t="s">
        <v>2644</v>
      </c>
      <c r="E777" s="285"/>
      <c r="F777" s="47" t="s">
        <v>6755</v>
      </c>
      <c r="G777" s="285" t="s">
        <v>4946</v>
      </c>
      <c r="H777" s="285" t="s">
        <v>5127</v>
      </c>
      <c r="I777" s="18"/>
      <c r="J777" s="285" t="s">
        <v>3136</v>
      </c>
      <c r="K777" s="15">
        <v>42156</v>
      </c>
      <c r="L777" s="22" t="s">
        <v>3413</v>
      </c>
      <c r="M777" s="16"/>
      <c r="N777" s="52">
        <v>1</v>
      </c>
      <c r="O777" s="48">
        <v>9149</v>
      </c>
      <c r="P777" s="48">
        <v>9149</v>
      </c>
      <c r="Q777" s="48">
        <f t="shared" si="19"/>
        <v>0</v>
      </c>
      <c r="R777" s="289"/>
      <c r="S777" s="289"/>
      <c r="T777" s="285"/>
    </row>
    <row r="778" spans="1:20" ht="84" customHeight="1" x14ac:dyDescent="0.2">
      <c r="A778" s="289">
        <v>789</v>
      </c>
      <c r="B778" s="30" t="s">
        <v>293</v>
      </c>
      <c r="C778" s="289"/>
      <c r="D778" s="9" t="s">
        <v>6756</v>
      </c>
      <c r="E778" s="285"/>
      <c r="F778" s="13" t="s">
        <v>6757</v>
      </c>
      <c r="G778" s="285" t="s">
        <v>4946</v>
      </c>
      <c r="H778" s="285" t="s">
        <v>5127</v>
      </c>
      <c r="I778" s="18"/>
      <c r="J778" s="285" t="s">
        <v>3136</v>
      </c>
      <c r="K778" s="15">
        <v>42156</v>
      </c>
      <c r="L778" s="22" t="s">
        <v>3413</v>
      </c>
      <c r="M778" s="16"/>
      <c r="N778" s="24">
        <v>1</v>
      </c>
      <c r="O778" s="17">
        <v>7880</v>
      </c>
      <c r="P778" s="17">
        <v>7880</v>
      </c>
      <c r="Q778" s="48">
        <f t="shared" si="19"/>
        <v>0</v>
      </c>
      <c r="R778" s="289"/>
      <c r="S778" s="289"/>
      <c r="T778" s="285"/>
    </row>
    <row r="779" spans="1:20" ht="74.25" customHeight="1" x14ac:dyDescent="0.2">
      <c r="A779" s="289">
        <v>790</v>
      </c>
      <c r="B779" s="30" t="s">
        <v>294</v>
      </c>
      <c r="C779" s="289"/>
      <c r="D779" s="46" t="s">
        <v>3923</v>
      </c>
      <c r="E779" s="285"/>
      <c r="F779" s="47" t="s">
        <v>6758</v>
      </c>
      <c r="G779" s="285" t="s">
        <v>4946</v>
      </c>
      <c r="H779" s="285" t="s">
        <v>5127</v>
      </c>
      <c r="I779" s="18"/>
      <c r="J779" s="285" t="s">
        <v>3136</v>
      </c>
      <c r="K779" s="15">
        <v>42156</v>
      </c>
      <c r="L779" s="22" t="s">
        <v>3413</v>
      </c>
      <c r="M779" s="16"/>
      <c r="N779" s="52">
        <v>1</v>
      </c>
      <c r="O779" s="48">
        <v>3658</v>
      </c>
      <c r="P779" s="48">
        <v>3658</v>
      </c>
      <c r="Q779" s="48">
        <f t="shared" si="19"/>
        <v>0</v>
      </c>
      <c r="R779" s="289"/>
      <c r="S779" s="289"/>
      <c r="T779" s="285"/>
    </row>
    <row r="780" spans="1:20" ht="74.25" customHeight="1" x14ac:dyDescent="0.2">
      <c r="A780" s="289">
        <v>791</v>
      </c>
      <c r="B780" s="30" t="s">
        <v>295</v>
      </c>
      <c r="C780" s="289"/>
      <c r="D780" s="9" t="s">
        <v>888</v>
      </c>
      <c r="E780" s="285"/>
      <c r="F780" s="47" t="s">
        <v>6759</v>
      </c>
      <c r="G780" s="285" t="s">
        <v>4946</v>
      </c>
      <c r="H780" s="285" t="s">
        <v>5127</v>
      </c>
      <c r="I780" s="18"/>
      <c r="J780" s="285" t="s">
        <v>3136</v>
      </c>
      <c r="K780" s="15">
        <v>42156</v>
      </c>
      <c r="L780" s="22" t="s">
        <v>3413</v>
      </c>
      <c r="M780" s="16"/>
      <c r="N780" s="24">
        <v>1</v>
      </c>
      <c r="O780" s="17">
        <v>4203.75</v>
      </c>
      <c r="P780" s="17">
        <v>4203.75</v>
      </c>
      <c r="Q780" s="48">
        <f t="shared" si="19"/>
        <v>0</v>
      </c>
      <c r="R780" s="289"/>
      <c r="S780" s="289"/>
      <c r="T780" s="285"/>
    </row>
    <row r="781" spans="1:20" ht="143.25" customHeight="1" x14ac:dyDescent="0.2">
      <c r="A781" s="289">
        <v>792</v>
      </c>
      <c r="B781" s="30" t="s">
        <v>296</v>
      </c>
      <c r="C781" s="289"/>
      <c r="D781" s="9" t="s">
        <v>1965</v>
      </c>
      <c r="E781" s="285"/>
      <c r="F781" s="13" t="s">
        <v>6575</v>
      </c>
      <c r="G781" s="285" t="s">
        <v>7464</v>
      </c>
      <c r="H781" s="49" t="s">
        <v>5127</v>
      </c>
      <c r="I781" s="18"/>
      <c r="J781" s="285"/>
      <c r="K781" s="289"/>
      <c r="L781" s="12"/>
      <c r="M781" s="16"/>
      <c r="N781" s="52">
        <v>1</v>
      </c>
      <c r="O781" s="17">
        <v>5731</v>
      </c>
      <c r="P781" s="17">
        <v>5731</v>
      </c>
      <c r="Q781" s="48">
        <f t="shared" si="19"/>
        <v>0</v>
      </c>
      <c r="R781" s="289"/>
      <c r="S781" s="289"/>
      <c r="T781" s="285"/>
    </row>
    <row r="782" spans="1:20" ht="143.25" customHeight="1" x14ac:dyDescent="0.2">
      <c r="A782" s="289">
        <v>793</v>
      </c>
      <c r="B782" s="30" t="s">
        <v>297</v>
      </c>
      <c r="C782" s="289"/>
      <c r="D782" s="9" t="s">
        <v>1990</v>
      </c>
      <c r="E782" s="285"/>
      <c r="F782" s="13" t="s">
        <v>3677</v>
      </c>
      <c r="G782" s="285" t="s">
        <v>7464</v>
      </c>
      <c r="H782" s="49" t="s">
        <v>5127</v>
      </c>
      <c r="I782" s="18"/>
      <c r="J782" s="285"/>
      <c r="K782" s="289"/>
      <c r="L782" s="12"/>
      <c r="M782" s="16"/>
      <c r="N782" s="52">
        <v>1</v>
      </c>
      <c r="O782" s="17">
        <v>8379</v>
      </c>
      <c r="P782" s="17">
        <v>8379</v>
      </c>
      <c r="Q782" s="48">
        <f t="shared" si="19"/>
        <v>0</v>
      </c>
      <c r="R782" s="289"/>
      <c r="S782" s="289"/>
      <c r="T782" s="285"/>
    </row>
    <row r="783" spans="1:20" ht="143.25" customHeight="1" x14ac:dyDescent="0.2">
      <c r="A783" s="289">
        <v>794</v>
      </c>
      <c r="B783" s="30" t="s">
        <v>298</v>
      </c>
      <c r="C783" s="289"/>
      <c r="D783" s="9" t="s">
        <v>1990</v>
      </c>
      <c r="E783" s="285"/>
      <c r="F783" s="13" t="s">
        <v>3544</v>
      </c>
      <c r="G783" s="285" t="s">
        <v>7464</v>
      </c>
      <c r="H783" s="49" t="s">
        <v>5127</v>
      </c>
      <c r="I783" s="18"/>
      <c r="J783" s="285"/>
      <c r="K783" s="289"/>
      <c r="L783" s="12"/>
      <c r="M783" s="16"/>
      <c r="N783" s="52">
        <v>1</v>
      </c>
      <c r="O783" s="17">
        <v>8379</v>
      </c>
      <c r="P783" s="17">
        <v>8379</v>
      </c>
      <c r="Q783" s="48">
        <f t="shared" si="19"/>
        <v>0</v>
      </c>
      <c r="R783" s="289"/>
      <c r="S783" s="289"/>
      <c r="T783" s="285"/>
    </row>
    <row r="784" spans="1:20" ht="143.25" customHeight="1" x14ac:dyDescent="0.2">
      <c r="A784" s="289">
        <v>795</v>
      </c>
      <c r="B784" s="30" t="s">
        <v>2121</v>
      </c>
      <c r="C784" s="289"/>
      <c r="D784" s="9" t="s">
        <v>3419</v>
      </c>
      <c r="E784" s="285"/>
      <c r="F784" s="13" t="s">
        <v>3545</v>
      </c>
      <c r="G784" s="285" t="s">
        <v>7464</v>
      </c>
      <c r="H784" s="49" t="s">
        <v>5127</v>
      </c>
      <c r="I784" s="18"/>
      <c r="J784" s="285"/>
      <c r="K784" s="289"/>
      <c r="L784" s="12"/>
      <c r="M784" s="16"/>
      <c r="N784" s="52">
        <v>1</v>
      </c>
      <c r="O784" s="17">
        <v>5290</v>
      </c>
      <c r="P784" s="17">
        <v>5290</v>
      </c>
      <c r="Q784" s="48">
        <f t="shared" si="19"/>
        <v>0</v>
      </c>
      <c r="R784" s="289"/>
      <c r="S784" s="289"/>
      <c r="T784" s="285"/>
    </row>
    <row r="785" spans="1:20" ht="143.25" customHeight="1" x14ac:dyDescent="0.2">
      <c r="A785" s="289">
        <v>796</v>
      </c>
      <c r="B785" s="30" t="s">
        <v>2122</v>
      </c>
      <c r="C785" s="289"/>
      <c r="D785" s="9" t="s">
        <v>3886</v>
      </c>
      <c r="E785" s="285"/>
      <c r="F785" s="13" t="s">
        <v>5506</v>
      </c>
      <c r="G785" s="285" t="s">
        <v>7464</v>
      </c>
      <c r="H785" s="49" t="s">
        <v>5127</v>
      </c>
      <c r="I785" s="18"/>
      <c r="J785" s="285"/>
      <c r="K785" s="289"/>
      <c r="L785" s="12"/>
      <c r="M785" s="16"/>
      <c r="N785" s="24">
        <v>1</v>
      </c>
      <c r="O785" s="17">
        <v>6500</v>
      </c>
      <c r="P785" s="17">
        <v>6500</v>
      </c>
      <c r="Q785" s="48">
        <f t="shared" si="19"/>
        <v>0</v>
      </c>
      <c r="R785" s="289"/>
      <c r="S785" s="289"/>
      <c r="T785" s="285"/>
    </row>
    <row r="786" spans="1:20" ht="143.25" customHeight="1" x14ac:dyDescent="0.2">
      <c r="A786" s="289">
        <v>797</v>
      </c>
      <c r="B786" s="30" t="s">
        <v>2123</v>
      </c>
      <c r="C786" s="289"/>
      <c r="D786" s="9" t="s">
        <v>3802</v>
      </c>
      <c r="E786" s="285"/>
      <c r="F786" s="13" t="s">
        <v>6576</v>
      </c>
      <c r="G786" s="285" t="s">
        <v>7464</v>
      </c>
      <c r="H786" s="49" t="s">
        <v>5127</v>
      </c>
      <c r="I786" s="18"/>
      <c r="J786" s="285"/>
      <c r="K786" s="289"/>
      <c r="L786" s="12"/>
      <c r="M786" s="16"/>
      <c r="N786" s="24">
        <v>2</v>
      </c>
      <c r="O786" s="17">
        <v>13000</v>
      </c>
      <c r="P786" s="17">
        <v>13000</v>
      </c>
      <c r="Q786" s="48">
        <f t="shared" si="19"/>
        <v>0</v>
      </c>
      <c r="R786" s="289"/>
      <c r="S786" s="289"/>
      <c r="T786" s="285"/>
    </row>
    <row r="787" spans="1:20" ht="143.25" customHeight="1" x14ac:dyDescent="0.2">
      <c r="A787" s="289">
        <v>798</v>
      </c>
      <c r="B787" s="30" t="s">
        <v>2124</v>
      </c>
      <c r="C787" s="289"/>
      <c r="D787" s="9" t="s">
        <v>1261</v>
      </c>
      <c r="E787" s="285"/>
      <c r="F787" s="13" t="s">
        <v>6577</v>
      </c>
      <c r="G787" s="285" t="s">
        <v>7464</v>
      </c>
      <c r="H787" s="49" t="s">
        <v>5127</v>
      </c>
      <c r="I787" s="18"/>
      <c r="J787" s="285"/>
      <c r="K787" s="289"/>
      <c r="L787" s="12"/>
      <c r="M787" s="16"/>
      <c r="N787" s="24">
        <v>1</v>
      </c>
      <c r="O787" s="17">
        <v>7580</v>
      </c>
      <c r="P787" s="17">
        <v>7580</v>
      </c>
      <c r="Q787" s="48">
        <f t="shared" si="19"/>
        <v>0</v>
      </c>
      <c r="R787" s="289"/>
      <c r="S787" s="289"/>
      <c r="T787" s="285"/>
    </row>
    <row r="788" spans="1:20" ht="143.25" customHeight="1" x14ac:dyDescent="0.2">
      <c r="A788" s="289">
        <v>799</v>
      </c>
      <c r="B788" s="30" t="s">
        <v>2125</v>
      </c>
      <c r="C788" s="289"/>
      <c r="D788" s="9" t="s">
        <v>3542</v>
      </c>
      <c r="E788" s="285"/>
      <c r="F788" s="13" t="s">
        <v>6578</v>
      </c>
      <c r="G788" s="285" t="s">
        <v>7464</v>
      </c>
      <c r="H788" s="49" t="s">
        <v>5127</v>
      </c>
      <c r="I788" s="18"/>
      <c r="J788" s="285"/>
      <c r="K788" s="289"/>
      <c r="L788" s="12"/>
      <c r="M788" s="16"/>
      <c r="N788" s="24">
        <v>1</v>
      </c>
      <c r="O788" s="17">
        <v>7920</v>
      </c>
      <c r="P788" s="17">
        <v>7920</v>
      </c>
      <c r="Q788" s="48">
        <f t="shared" si="19"/>
        <v>0</v>
      </c>
      <c r="R788" s="289"/>
      <c r="S788" s="289"/>
      <c r="T788" s="285"/>
    </row>
    <row r="789" spans="1:20" ht="143.25" customHeight="1" x14ac:dyDescent="0.2">
      <c r="A789" s="289">
        <v>800</v>
      </c>
      <c r="B789" s="30" t="s">
        <v>2126</v>
      </c>
      <c r="C789" s="289"/>
      <c r="D789" s="9" t="s">
        <v>3542</v>
      </c>
      <c r="E789" s="285"/>
      <c r="F789" s="13" t="s">
        <v>3546</v>
      </c>
      <c r="G789" s="285" t="s">
        <v>7464</v>
      </c>
      <c r="H789" s="49" t="s">
        <v>5127</v>
      </c>
      <c r="I789" s="18"/>
      <c r="J789" s="285"/>
      <c r="K789" s="289"/>
      <c r="L789" s="12"/>
      <c r="M789" s="16"/>
      <c r="N789" s="24">
        <v>2</v>
      </c>
      <c r="O789" s="17">
        <v>15580</v>
      </c>
      <c r="P789" s="17">
        <v>15580</v>
      </c>
      <c r="Q789" s="48">
        <f t="shared" si="19"/>
        <v>0</v>
      </c>
      <c r="R789" s="289"/>
      <c r="S789" s="289"/>
      <c r="T789" s="285"/>
    </row>
    <row r="790" spans="1:20" ht="143.25" customHeight="1" x14ac:dyDescent="0.2">
      <c r="A790" s="289">
        <v>801</v>
      </c>
      <c r="B790" s="30" t="s">
        <v>2127</v>
      </c>
      <c r="C790" s="289"/>
      <c r="D790" s="9" t="s">
        <v>4369</v>
      </c>
      <c r="E790" s="285"/>
      <c r="F790" s="13" t="s">
        <v>6579</v>
      </c>
      <c r="G790" s="285" t="s">
        <v>7464</v>
      </c>
      <c r="H790" s="49" t="s">
        <v>5127</v>
      </c>
      <c r="I790" s="18"/>
      <c r="J790" s="285"/>
      <c r="K790" s="289"/>
      <c r="L790" s="12"/>
      <c r="M790" s="16"/>
      <c r="N790" s="24">
        <v>1</v>
      </c>
      <c r="O790" s="17">
        <v>4625</v>
      </c>
      <c r="P790" s="17">
        <v>4625</v>
      </c>
      <c r="Q790" s="48">
        <f t="shared" ref="Q790:Q820" si="20">O790-P790</f>
        <v>0</v>
      </c>
      <c r="R790" s="289"/>
      <c r="S790" s="289"/>
      <c r="T790" s="285"/>
    </row>
    <row r="791" spans="1:20" ht="143.25" customHeight="1" x14ac:dyDescent="0.2">
      <c r="A791" s="289">
        <v>802</v>
      </c>
      <c r="B791" s="30" t="s">
        <v>1692</v>
      </c>
      <c r="C791" s="289"/>
      <c r="D791" s="9" t="s">
        <v>1261</v>
      </c>
      <c r="E791" s="285"/>
      <c r="F791" s="13" t="s">
        <v>3547</v>
      </c>
      <c r="G791" s="285" t="s">
        <v>7464</v>
      </c>
      <c r="H791" s="49" t="s">
        <v>5127</v>
      </c>
      <c r="I791" s="18"/>
      <c r="J791" s="285" t="s">
        <v>9437</v>
      </c>
      <c r="K791" s="289">
        <v>2009</v>
      </c>
      <c r="L791" s="12" t="s">
        <v>1029</v>
      </c>
      <c r="M791" s="16"/>
      <c r="N791" s="24">
        <v>1</v>
      </c>
      <c r="O791" s="17">
        <v>9600</v>
      </c>
      <c r="P791" s="17">
        <v>9600</v>
      </c>
      <c r="Q791" s="48">
        <f t="shared" si="20"/>
        <v>0</v>
      </c>
      <c r="R791" s="289" t="s">
        <v>5071</v>
      </c>
      <c r="S791" s="15">
        <v>40045</v>
      </c>
      <c r="T791" s="285">
        <v>172</v>
      </c>
    </row>
    <row r="792" spans="1:20" ht="75.75" customHeight="1" x14ac:dyDescent="0.2">
      <c r="A792" s="289">
        <v>803</v>
      </c>
      <c r="B792" s="30" t="s">
        <v>2161</v>
      </c>
      <c r="C792" s="289"/>
      <c r="D792" s="9" t="s">
        <v>2163</v>
      </c>
      <c r="E792" s="285"/>
      <c r="F792" s="13" t="s">
        <v>1774</v>
      </c>
      <c r="G792" s="285" t="s">
        <v>7464</v>
      </c>
      <c r="H792" s="49" t="s">
        <v>5127</v>
      </c>
      <c r="I792" s="18"/>
      <c r="J792" s="285" t="s">
        <v>3136</v>
      </c>
      <c r="K792" s="15">
        <v>41876</v>
      </c>
      <c r="L792" s="12" t="s">
        <v>2165</v>
      </c>
      <c r="M792" s="16"/>
      <c r="N792" s="24">
        <v>1</v>
      </c>
      <c r="O792" s="17">
        <v>9500</v>
      </c>
      <c r="P792" s="17">
        <v>9500</v>
      </c>
      <c r="Q792" s="48">
        <f t="shared" si="20"/>
        <v>0</v>
      </c>
      <c r="R792" s="289"/>
      <c r="S792" s="289"/>
      <c r="T792" s="285"/>
    </row>
    <row r="793" spans="1:20" ht="76.5" customHeight="1" x14ac:dyDescent="0.2">
      <c r="A793" s="289">
        <v>804</v>
      </c>
      <c r="B793" s="30" t="s">
        <v>2162</v>
      </c>
      <c r="C793" s="289"/>
      <c r="D793" s="9" t="s">
        <v>2164</v>
      </c>
      <c r="E793" s="285"/>
      <c r="F793" s="13" t="s">
        <v>6580</v>
      </c>
      <c r="G793" s="285" t="s">
        <v>7464</v>
      </c>
      <c r="H793" s="285" t="s">
        <v>5127</v>
      </c>
      <c r="I793" s="18"/>
      <c r="J793" s="285" t="s">
        <v>3136</v>
      </c>
      <c r="K793" s="15">
        <v>41876</v>
      </c>
      <c r="L793" s="12" t="s">
        <v>2165</v>
      </c>
      <c r="M793" s="16"/>
      <c r="N793" s="24">
        <v>1</v>
      </c>
      <c r="O793" s="17">
        <v>3699</v>
      </c>
      <c r="P793" s="17">
        <v>3699</v>
      </c>
      <c r="Q793" s="17">
        <f t="shared" si="20"/>
        <v>0</v>
      </c>
      <c r="R793" s="289"/>
      <c r="S793" s="289"/>
      <c r="T793" s="285"/>
    </row>
    <row r="794" spans="1:20" ht="93" customHeight="1" x14ac:dyDescent="0.2">
      <c r="A794" s="289">
        <v>805</v>
      </c>
      <c r="B794" s="30" t="s">
        <v>1187</v>
      </c>
      <c r="C794" s="289"/>
      <c r="D794" s="9" t="s">
        <v>4502</v>
      </c>
      <c r="E794" s="285"/>
      <c r="F794" s="13" t="s">
        <v>2211</v>
      </c>
      <c r="G794" s="285" t="s">
        <v>7846</v>
      </c>
      <c r="H794" s="285" t="s">
        <v>5127</v>
      </c>
      <c r="I794" s="18"/>
      <c r="J794" s="285"/>
      <c r="K794" s="289"/>
      <c r="L794" s="12"/>
      <c r="M794" s="16"/>
      <c r="N794" s="24">
        <v>1</v>
      </c>
      <c r="O794" s="17">
        <v>4214</v>
      </c>
      <c r="P794" s="17">
        <v>4214</v>
      </c>
      <c r="Q794" s="48">
        <f t="shared" si="20"/>
        <v>0</v>
      </c>
      <c r="R794" s="289"/>
      <c r="S794" s="289"/>
      <c r="T794" s="285"/>
    </row>
    <row r="795" spans="1:20" ht="93" customHeight="1" x14ac:dyDescent="0.2">
      <c r="A795" s="289">
        <v>806</v>
      </c>
      <c r="B795" s="30" t="s">
        <v>1188</v>
      </c>
      <c r="C795" s="289"/>
      <c r="D795" s="9" t="s">
        <v>2840</v>
      </c>
      <c r="E795" s="285"/>
      <c r="F795" s="13" t="s">
        <v>1314</v>
      </c>
      <c r="G795" s="285" t="s">
        <v>7846</v>
      </c>
      <c r="H795" s="285" t="s">
        <v>5127</v>
      </c>
      <c r="I795" s="18"/>
      <c r="J795" s="285"/>
      <c r="K795" s="289"/>
      <c r="L795" s="12"/>
      <c r="M795" s="16"/>
      <c r="N795" s="24">
        <v>1</v>
      </c>
      <c r="O795" s="17">
        <v>7905.6</v>
      </c>
      <c r="P795" s="17">
        <v>7905.6</v>
      </c>
      <c r="Q795" s="48">
        <f t="shared" si="20"/>
        <v>0</v>
      </c>
      <c r="R795" s="289"/>
      <c r="S795" s="289"/>
      <c r="T795" s="285"/>
    </row>
    <row r="796" spans="1:20" ht="93" customHeight="1" x14ac:dyDescent="0.2">
      <c r="A796" s="289">
        <v>807</v>
      </c>
      <c r="B796" s="30" t="s">
        <v>1189</v>
      </c>
      <c r="C796" s="289" t="s">
        <v>5274</v>
      </c>
      <c r="D796" s="9" t="s">
        <v>2841</v>
      </c>
      <c r="E796" s="285"/>
      <c r="F796" s="13" t="s">
        <v>1315</v>
      </c>
      <c r="G796" s="285" t="s">
        <v>7846</v>
      </c>
      <c r="H796" s="285" t="s">
        <v>5127</v>
      </c>
      <c r="I796" s="18"/>
      <c r="J796" s="285"/>
      <c r="K796" s="289"/>
      <c r="L796" s="12"/>
      <c r="M796" s="16"/>
      <c r="N796" s="24">
        <v>1</v>
      </c>
      <c r="O796" s="17">
        <v>4261.5600000000004</v>
      </c>
      <c r="P796" s="17">
        <v>4261.5600000000004</v>
      </c>
      <c r="Q796" s="48">
        <f t="shared" si="20"/>
        <v>0</v>
      </c>
      <c r="R796" s="289"/>
      <c r="S796" s="289"/>
      <c r="T796" s="285"/>
    </row>
    <row r="797" spans="1:20" ht="93" customHeight="1" x14ac:dyDescent="0.2">
      <c r="A797" s="289">
        <v>808</v>
      </c>
      <c r="B797" s="30" t="s">
        <v>1190</v>
      </c>
      <c r="C797" s="289" t="s">
        <v>5274</v>
      </c>
      <c r="D797" s="9" t="s">
        <v>2842</v>
      </c>
      <c r="E797" s="285"/>
      <c r="F797" s="13" t="s">
        <v>1316</v>
      </c>
      <c r="G797" s="285" t="s">
        <v>7846</v>
      </c>
      <c r="H797" s="285" t="s">
        <v>5127</v>
      </c>
      <c r="I797" s="18"/>
      <c r="J797" s="285"/>
      <c r="K797" s="289"/>
      <c r="L797" s="12"/>
      <c r="M797" s="16"/>
      <c r="N797" s="24">
        <v>1</v>
      </c>
      <c r="O797" s="17">
        <v>5885</v>
      </c>
      <c r="P797" s="17">
        <v>5885</v>
      </c>
      <c r="Q797" s="48">
        <f t="shared" si="20"/>
        <v>0</v>
      </c>
      <c r="R797" s="289"/>
      <c r="S797" s="289"/>
      <c r="T797" s="285"/>
    </row>
    <row r="798" spans="1:20" ht="93" customHeight="1" x14ac:dyDescent="0.2">
      <c r="A798" s="289">
        <v>809</v>
      </c>
      <c r="B798" s="30" t="s">
        <v>1191</v>
      </c>
      <c r="C798" s="289" t="s">
        <v>5274</v>
      </c>
      <c r="D798" s="9" t="s">
        <v>2843</v>
      </c>
      <c r="E798" s="285"/>
      <c r="F798" s="13" t="s">
        <v>1317</v>
      </c>
      <c r="G798" s="285" t="s">
        <v>7846</v>
      </c>
      <c r="H798" s="285" t="s">
        <v>5127</v>
      </c>
      <c r="I798" s="18"/>
      <c r="J798" s="285"/>
      <c r="K798" s="289"/>
      <c r="L798" s="12"/>
      <c r="M798" s="16"/>
      <c r="N798" s="24">
        <v>1</v>
      </c>
      <c r="O798" s="17">
        <v>4230</v>
      </c>
      <c r="P798" s="17">
        <v>4230</v>
      </c>
      <c r="Q798" s="48">
        <f t="shared" si="20"/>
        <v>0</v>
      </c>
      <c r="R798" s="289"/>
      <c r="S798" s="289"/>
      <c r="T798" s="285"/>
    </row>
    <row r="799" spans="1:20" ht="93" customHeight="1" x14ac:dyDescent="0.2">
      <c r="A799" s="289">
        <v>810</v>
      </c>
      <c r="B799" s="30" t="s">
        <v>2832</v>
      </c>
      <c r="C799" s="289"/>
      <c r="D799" s="9" t="s">
        <v>1261</v>
      </c>
      <c r="E799" s="285"/>
      <c r="F799" s="13" t="s">
        <v>1318</v>
      </c>
      <c r="G799" s="285" t="s">
        <v>7846</v>
      </c>
      <c r="H799" s="285" t="s">
        <v>5127</v>
      </c>
      <c r="I799" s="18"/>
      <c r="J799" s="285" t="s">
        <v>9459</v>
      </c>
      <c r="K799" s="289">
        <v>2008</v>
      </c>
      <c r="L799" s="289" t="s">
        <v>1029</v>
      </c>
      <c r="M799" s="15">
        <v>39786</v>
      </c>
      <c r="N799" s="24">
        <v>1</v>
      </c>
      <c r="O799" s="17">
        <v>7650</v>
      </c>
      <c r="P799" s="17">
        <v>7650</v>
      </c>
      <c r="Q799" s="48">
        <f t="shared" si="20"/>
        <v>0</v>
      </c>
      <c r="R799" s="289" t="s">
        <v>5071</v>
      </c>
      <c r="S799" s="15">
        <v>39786</v>
      </c>
      <c r="T799" s="285">
        <v>276</v>
      </c>
    </row>
    <row r="800" spans="1:20" ht="93" customHeight="1" x14ac:dyDescent="0.2">
      <c r="A800" s="289">
        <v>811</v>
      </c>
      <c r="B800" s="30" t="s">
        <v>2833</v>
      </c>
      <c r="C800" s="289" t="s">
        <v>5274</v>
      </c>
      <c r="D800" s="9" t="s">
        <v>6267</v>
      </c>
      <c r="E800" s="285"/>
      <c r="F800" s="13" t="s">
        <v>4433</v>
      </c>
      <c r="G800" s="285" t="s">
        <v>7846</v>
      </c>
      <c r="H800" s="285" t="s">
        <v>5127</v>
      </c>
      <c r="I800" s="18"/>
      <c r="J800" s="285" t="s">
        <v>9459</v>
      </c>
      <c r="K800" s="289">
        <v>2008</v>
      </c>
      <c r="L800" s="289" t="s">
        <v>1029</v>
      </c>
      <c r="M800" s="15">
        <v>39783</v>
      </c>
      <c r="N800" s="24">
        <v>1</v>
      </c>
      <c r="O800" s="17">
        <v>5000</v>
      </c>
      <c r="P800" s="17">
        <v>5000</v>
      </c>
      <c r="Q800" s="48">
        <f t="shared" si="20"/>
        <v>0</v>
      </c>
      <c r="R800" s="289" t="s">
        <v>9040</v>
      </c>
      <c r="S800" s="15">
        <v>39790</v>
      </c>
      <c r="T800" s="285">
        <v>25</v>
      </c>
    </row>
    <row r="801" spans="1:20" ht="93" customHeight="1" x14ac:dyDescent="0.2">
      <c r="A801" s="289">
        <v>812</v>
      </c>
      <c r="B801" s="30" t="s">
        <v>2834</v>
      </c>
      <c r="C801" s="289" t="s">
        <v>5274</v>
      </c>
      <c r="D801" s="46" t="s">
        <v>536</v>
      </c>
      <c r="E801" s="285"/>
      <c r="F801" s="47" t="s">
        <v>4905</v>
      </c>
      <c r="G801" s="285" t="s">
        <v>7846</v>
      </c>
      <c r="H801" s="285" t="s">
        <v>5127</v>
      </c>
      <c r="I801" s="18"/>
      <c r="J801" s="37" t="s">
        <v>9459</v>
      </c>
      <c r="K801" s="20">
        <v>2009</v>
      </c>
      <c r="L801" s="22" t="s">
        <v>1029</v>
      </c>
      <c r="M801" s="15">
        <v>39911</v>
      </c>
      <c r="N801" s="52">
        <v>3</v>
      </c>
      <c r="O801" s="48">
        <v>12900</v>
      </c>
      <c r="P801" s="48">
        <v>12900</v>
      </c>
      <c r="Q801" s="48">
        <f t="shared" si="20"/>
        <v>0</v>
      </c>
      <c r="R801" s="289" t="s">
        <v>5071</v>
      </c>
      <c r="S801" s="15">
        <v>39911</v>
      </c>
      <c r="T801" s="285">
        <v>45</v>
      </c>
    </row>
    <row r="802" spans="1:20" ht="93" customHeight="1" x14ac:dyDescent="0.2">
      <c r="A802" s="289">
        <v>813</v>
      </c>
      <c r="B802" s="30" t="s">
        <v>2835</v>
      </c>
      <c r="C802" s="289"/>
      <c r="D802" s="46" t="s">
        <v>4502</v>
      </c>
      <c r="E802" s="285"/>
      <c r="F802" s="47" t="s">
        <v>6513</v>
      </c>
      <c r="G802" s="285" t="s">
        <v>7846</v>
      </c>
      <c r="H802" s="285" t="s">
        <v>5127</v>
      </c>
      <c r="I802" s="18"/>
      <c r="J802" s="285" t="s">
        <v>9437</v>
      </c>
      <c r="K802" s="15">
        <v>2011</v>
      </c>
      <c r="L802" s="12" t="s">
        <v>1029</v>
      </c>
      <c r="M802" s="15">
        <v>40555</v>
      </c>
      <c r="N802" s="52">
        <v>7</v>
      </c>
      <c r="O802" s="48">
        <v>23030</v>
      </c>
      <c r="P802" s="48">
        <v>23030</v>
      </c>
      <c r="Q802" s="48">
        <f t="shared" si="20"/>
        <v>0</v>
      </c>
      <c r="R802" s="289" t="s">
        <v>5071</v>
      </c>
      <c r="S802" s="15">
        <v>40555</v>
      </c>
      <c r="T802" s="285">
        <v>44</v>
      </c>
    </row>
    <row r="803" spans="1:20" ht="66.75" customHeight="1" x14ac:dyDescent="0.2">
      <c r="A803" s="289">
        <v>814</v>
      </c>
      <c r="B803" s="30" t="s">
        <v>2836</v>
      </c>
      <c r="C803" s="289"/>
      <c r="D803" s="46" t="s">
        <v>2294</v>
      </c>
      <c r="E803" s="285"/>
      <c r="F803" s="47"/>
      <c r="G803" s="285" t="s">
        <v>7846</v>
      </c>
      <c r="H803" s="285" t="s">
        <v>5127</v>
      </c>
      <c r="I803" s="18"/>
      <c r="J803" s="285"/>
      <c r="K803" s="289"/>
      <c r="L803" s="12"/>
      <c r="M803" s="16"/>
      <c r="N803" s="52"/>
      <c r="O803" s="48">
        <v>2777.58</v>
      </c>
      <c r="P803" s="48">
        <v>2777.58</v>
      </c>
      <c r="Q803" s="48">
        <f t="shared" si="20"/>
        <v>0</v>
      </c>
      <c r="R803" s="285" t="s">
        <v>3132</v>
      </c>
      <c r="S803" s="15">
        <v>40542</v>
      </c>
      <c r="T803" s="285">
        <v>4176</v>
      </c>
    </row>
    <row r="804" spans="1:20" ht="66.75" customHeight="1" x14ac:dyDescent="0.2">
      <c r="A804" s="289">
        <v>815</v>
      </c>
      <c r="B804" s="30" t="s">
        <v>2837</v>
      </c>
      <c r="C804" s="289" t="s">
        <v>5274</v>
      </c>
      <c r="D804" s="9" t="s">
        <v>2844</v>
      </c>
      <c r="E804" s="285"/>
      <c r="F804" s="13" t="s">
        <v>6</v>
      </c>
      <c r="G804" s="285" t="s">
        <v>7846</v>
      </c>
      <c r="H804" s="285" t="s">
        <v>5127</v>
      </c>
      <c r="I804" s="18"/>
      <c r="J804" s="285"/>
      <c r="K804" s="289"/>
      <c r="L804" s="12"/>
      <c r="M804" s="16"/>
      <c r="N804" s="24">
        <v>1</v>
      </c>
      <c r="O804" s="17">
        <v>4512</v>
      </c>
      <c r="P804" s="17">
        <v>4512</v>
      </c>
      <c r="Q804" s="48">
        <f t="shared" si="20"/>
        <v>0</v>
      </c>
      <c r="R804" s="289"/>
      <c r="S804" s="289"/>
      <c r="T804" s="285"/>
    </row>
    <row r="805" spans="1:20" ht="66.75" customHeight="1" x14ac:dyDescent="0.2">
      <c r="A805" s="289">
        <v>816</v>
      </c>
      <c r="B805" s="30" t="s">
        <v>2838</v>
      </c>
      <c r="C805" s="289" t="s">
        <v>5274</v>
      </c>
      <c r="D805" s="9" t="s">
        <v>4186</v>
      </c>
      <c r="E805" s="285"/>
      <c r="F805" s="13" t="s">
        <v>3836</v>
      </c>
      <c r="G805" s="285" t="s">
        <v>7846</v>
      </c>
      <c r="H805" s="285" t="s">
        <v>5127</v>
      </c>
      <c r="I805" s="18"/>
      <c r="J805" s="285"/>
      <c r="K805" s="289"/>
      <c r="L805" s="12"/>
      <c r="M805" s="16"/>
      <c r="N805" s="24">
        <v>1</v>
      </c>
      <c r="O805" s="17">
        <v>4545.3599999999997</v>
      </c>
      <c r="P805" s="17">
        <v>4545.3599999999997</v>
      </c>
      <c r="Q805" s="48">
        <f t="shared" si="20"/>
        <v>0</v>
      </c>
      <c r="R805" s="289"/>
      <c r="S805" s="289"/>
      <c r="T805" s="285"/>
    </row>
    <row r="806" spans="1:20" ht="75.75" customHeight="1" x14ac:dyDescent="0.2">
      <c r="A806" s="289">
        <v>817</v>
      </c>
      <c r="B806" s="30" t="s">
        <v>2839</v>
      </c>
      <c r="C806" s="289" t="s">
        <v>5274</v>
      </c>
      <c r="D806" s="46" t="s">
        <v>1313</v>
      </c>
      <c r="E806" s="285"/>
      <c r="F806" s="47" t="s">
        <v>3837</v>
      </c>
      <c r="G806" s="285" t="s">
        <v>7846</v>
      </c>
      <c r="H806" s="285" t="s">
        <v>5127</v>
      </c>
      <c r="I806" s="18"/>
      <c r="J806" s="285"/>
      <c r="K806" s="289"/>
      <c r="L806" s="12"/>
      <c r="M806" s="16"/>
      <c r="N806" s="52">
        <v>1</v>
      </c>
      <c r="O806" s="48">
        <v>5050.3999999999996</v>
      </c>
      <c r="P806" s="48">
        <v>5050.3999999999996</v>
      </c>
      <c r="Q806" s="48">
        <f t="shared" si="20"/>
        <v>0</v>
      </c>
      <c r="R806" s="289"/>
      <c r="S806" s="289"/>
      <c r="T806" s="285"/>
    </row>
    <row r="807" spans="1:20" ht="75.75" customHeight="1" x14ac:dyDescent="0.2">
      <c r="A807" s="289">
        <v>818</v>
      </c>
      <c r="B807" s="30" t="s">
        <v>3838</v>
      </c>
      <c r="C807" s="289"/>
      <c r="D807" s="9" t="s">
        <v>2937</v>
      </c>
      <c r="E807" s="285"/>
      <c r="F807" s="13" t="s">
        <v>3301</v>
      </c>
      <c r="G807" s="285" t="s">
        <v>7983</v>
      </c>
      <c r="H807" s="285" t="s">
        <v>5127</v>
      </c>
      <c r="I807" s="18"/>
      <c r="J807" s="285" t="s">
        <v>9410</v>
      </c>
      <c r="K807" s="289">
        <v>2010</v>
      </c>
      <c r="L807" s="12" t="s">
        <v>1029</v>
      </c>
      <c r="M807" s="289">
        <v>2010</v>
      </c>
      <c r="N807" s="24">
        <v>1</v>
      </c>
      <c r="O807" s="17">
        <v>9900</v>
      </c>
      <c r="P807" s="17">
        <v>9900</v>
      </c>
      <c r="Q807" s="48">
        <f t="shared" si="20"/>
        <v>0</v>
      </c>
      <c r="R807" s="289"/>
      <c r="S807" s="289"/>
      <c r="T807" s="285"/>
    </row>
    <row r="808" spans="1:20" ht="66.75" customHeight="1" x14ac:dyDescent="0.2">
      <c r="A808" s="289">
        <v>819</v>
      </c>
      <c r="B808" s="30" t="s">
        <v>3839</v>
      </c>
      <c r="C808" s="289"/>
      <c r="D808" s="9" t="s">
        <v>5663</v>
      </c>
      <c r="E808" s="285"/>
      <c r="F808" s="13" t="s">
        <v>2506</v>
      </c>
      <c r="G808" s="285" t="s">
        <v>7983</v>
      </c>
      <c r="H808" s="285" t="s">
        <v>5127</v>
      </c>
      <c r="I808" s="18"/>
      <c r="J808" s="285" t="s">
        <v>9412</v>
      </c>
      <c r="K808" s="15">
        <v>43831</v>
      </c>
      <c r="L808" s="22" t="s">
        <v>1029</v>
      </c>
      <c r="M808" s="139" t="s">
        <v>9420</v>
      </c>
      <c r="N808" s="24">
        <v>1</v>
      </c>
      <c r="O808" s="17">
        <v>3188.6</v>
      </c>
      <c r="P808" s="17">
        <v>3188.6</v>
      </c>
      <c r="Q808" s="48">
        <f t="shared" si="20"/>
        <v>0</v>
      </c>
      <c r="R808" s="289"/>
      <c r="S808" s="289"/>
      <c r="T808" s="285"/>
    </row>
    <row r="809" spans="1:20" ht="66.75" customHeight="1" x14ac:dyDescent="0.2">
      <c r="A809" s="289">
        <v>820</v>
      </c>
      <c r="B809" s="30" t="s">
        <v>3840</v>
      </c>
      <c r="C809" s="289"/>
      <c r="D809" s="9" t="s">
        <v>4849</v>
      </c>
      <c r="E809" s="285"/>
      <c r="F809" s="13" t="s">
        <v>2507</v>
      </c>
      <c r="G809" s="285" t="s">
        <v>7983</v>
      </c>
      <c r="H809" s="285" t="s">
        <v>5127</v>
      </c>
      <c r="I809" s="18"/>
      <c r="J809" s="285" t="s">
        <v>9412</v>
      </c>
      <c r="K809" s="15">
        <v>43831</v>
      </c>
      <c r="L809" s="22" t="s">
        <v>1029</v>
      </c>
      <c r="M809" s="139" t="s">
        <v>9419</v>
      </c>
      <c r="N809" s="24">
        <v>1</v>
      </c>
      <c r="O809" s="17">
        <v>7600</v>
      </c>
      <c r="P809" s="17">
        <v>7600</v>
      </c>
      <c r="Q809" s="48">
        <f t="shared" si="20"/>
        <v>0</v>
      </c>
      <c r="R809" s="289"/>
      <c r="S809" s="289"/>
      <c r="T809" s="285"/>
    </row>
    <row r="810" spans="1:20" ht="66.75" customHeight="1" x14ac:dyDescent="0.2">
      <c r="A810" s="289">
        <v>821</v>
      </c>
      <c r="B810" s="30" t="s">
        <v>5953</v>
      </c>
      <c r="C810" s="289"/>
      <c r="D810" s="9" t="s">
        <v>3020</v>
      </c>
      <c r="E810" s="285"/>
      <c r="F810" s="13" t="s">
        <v>2505</v>
      </c>
      <c r="G810" s="285" t="s">
        <v>7983</v>
      </c>
      <c r="H810" s="285" t="s">
        <v>5127</v>
      </c>
      <c r="I810" s="18"/>
      <c r="J810" s="285" t="s">
        <v>9412</v>
      </c>
      <c r="K810" s="15">
        <v>43831</v>
      </c>
      <c r="L810" s="22" t="s">
        <v>1029</v>
      </c>
      <c r="M810" s="139" t="s">
        <v>9421</v>
      </c>
      <c r="N810" s="24">
        <v>1</v>
      </c>
      <c r="O810" s="17">
        <v>4066</v>
      </c>
      <c r="P810" s="17">
        <v>4066</v>
      </c>
      <c r="Q810" s="48">
        <f t="shared" si="20"/>
        <v>0</v>
      </c>
      <c r="R810" s="289"/>
      <c r="S810" s="289"/>
      <c r="T810" s="285"/>
    </row>
    <row r="811" spans="1:20" ht="36" x14ac:dyDescent="0.2">
      <c r="A811" s="289">
        <v>822</v>
      </c>
      <c r="B811" s="30" t="s">
        <v>1007</v>
      </c>
      <c r="C811" s="289"/>
      <c r="D811" s="46" t="s">
        <v>3021</v>
      </c>
      <c r="E811" s="285"/>
      <c r="F811" s="47" t="s">
        <v>2504</v>
      </c>
      <c r="G811" s="285" t="s">
        <v>7983</v>
      </c>
      <c r="H811" s="285" t="s">
        <v>5127</v>
      </c>
      <c r="I811" s="18"/>
      <c r="J811" s="285" t="s">
        <v>9412</v>
      </c>
      <c r="K811" s="15">
        <v>43831</v>
      </c>
      <c r="L811" s="22" t="s">
        <v>1029</v>
      </c>
      <c r="M811" s="139" t="s">
        <v>9421</v>
      </c>
      <c r="N811" s="24">
        <v>1</v>
      </c>
      <c r="O811" s="40">
        <v>3113.7</v>
      </c>
      <c r="P811" s="40">
        <v>3113.7</v>
      </c>
      <c r="Q811" s="48">
        <f t="shared" si="20"/>
        <v>0</v>
      </c>
      <c r="R811" s="289"/>
      <c r="S811" s="289"/>
      <c r="T811" s="285"/>
    </row>
    <row r="812" spans="1:20" ht="36" x14ac:dyDescent="0.2">
      <c r="A812" s="289">
        <v>823</v>
      </c>
      <c r="B812" s="30" t="s">
        <v>1008</v>
      </c>
      <c r="C812" s="289"/>
      <c r="D812" s="46" t="s">
        <v>3834</v>
      </c>
      <c r="E812" s="285"/>
      <c r="F812" s="47" t="s">
        <v>2508</v>
      </c>
      <c r="G812" s="285" t="s">
        <v>7983</v>
      </c>
      <c r="H812" s="285" t="s">
        <v>5127</v>
      </c>
      <c r="I812" s="18"/>
      <c r="J812" s="285" t="s">
        <v>9412</v>
      </c>
      <c r="K812" s="15">
        <v>43831</v>
      </c>
      <c r="L812" s="22" t="s">
        <v>1029</v>
      </c>
      <c r="M812" s="139" t="s">
        <v>9419</v>
      </c>
      <c r="N812" s="24">
        <v>1</v>
      </c>
      <c r="O812" s="40">
        <v>9940</v>
      </c>
      <c r="P812" s="40">
        <v>9940</v>
      </c>
      <c r="Q812" s="48">
        <f t="shared" si="20"/>
        <v>0</v>
      </c>
      <c r="R812" s="289"/>
      <c r="S812" s="289"/>
      <c r="T812" s="285"/>
    </row>
    <row r="813" spans="1:20" ht="36" x14ac:dyDescent="0.2">
      <c r="A813" s="289">
        <v>824</v>
      </c>
      <c r="B813" s="30" t="s">
        <v>1009</v>
      </c>
      <c r="C813" s="289"/>
      <c r="D813" s="9" t="s">
        <v>3835</v>
      </c>
      <c r="E813" s="285"/>
      <c r="F813" s="13" t="s">
        <v>3352</v>
      </c>
      <c r="G813" s="285" t="s">
        <v>7983</v>
      </c>
      <c r="H813" s="285" t="s">
        <v>5127</v>
      </c>
      <c r="I813" s="18"/>
      <c r="J813" s="285" t="s">
        <v>9411</v>
      </c>
      <c r="K813" s="289">
        <v>2010</v>
      </c>
      <c r="L813" s="12" t="s">
        <v>1029</v>
      </c>
      <c r="M813" s="289">
        <v>2010</v>
      </c>
      <c r="N813" s="24">
        <v>1</v>
      </c>
      <c r="O813" s="40">
        <v>3255</v>
      </c>
      <c r="P813" s="40">
        <v>3255</v>
      </c>
      <c r="Q813" s="48">
        <f t="shared" si="20"/>
        <v>0</v>
      </c>
      <c r="R813" s="289"/>
      <c r="S813" s="289"/>
      <c r="T813" s="285"/>
    </row>
    <row r="814" spans="1:20" ht="24" x14ac:dyDescent="0.2">
      <c r="A814" s="289">
        <v>825</v>
      </c>
      <c r="B814" s="30" t="s">
        <v>2927</v>
      </c>
      <c r="C814" s="289"/>
      <c r="D814" s="9" t="s">
        <v>1438</v>
      </c>
      <c r="E814" s="285"/>
      <c r="F814" s="13" t="s">
        <v>1321</v>
      </c>
      <c r="G814" s="285" t="s">
        <v>7983</v>
      </c>
      <c r="H814" s="285" t="s">
        <v>5127</v>
      </c>
      <c r="I814" s="18"/>
      <c r="J814" s="285" t="s">
        <v>5364</v>
      </c>
      <c r="K814" s="14">
        <v>39581</v>
      </c>
      <c r="L814" s="285" t="s">
        <v>1922</v>
      </c>
      <c r="M814" s="139" t="s">
        <v>9422</v>
      </c>
      <c r="N814" s="24">
        <v>1</v>
      </c>
      <c r="O814" s="17">
        <v>3162</v>
      </c>
      <c r="P814" s="17">
        <v>3162</v>
      </c>
      <c r="Q814" s="48">
        <f t="shared" si="20"/>
        <v>0</v>
      </c>
      <c r="R814" s="289" t="s">
        <v>5364</v>
      </c>
      <c r="S814" s="15">
        <v>39581</v>
      </c>
      <c r="T814" s="285" t="s">
        <v>1922</v>
      </c>
    </row>
    <row r="815" spans="1:20" ht="36" x14ac:dyDescent="0.2">
      <c r="A815" s="289">
        <v>826</v>
      </c>
      <c r="B815" s="30" t="s">
        <v>2928</v>
      </c>
      <c r="C815" s="289"/>
      <c r="D815" s="9" t="s">
        <v>4251</v>
      </c>
      <c r="E815" s="285"/>
      <c r="F815" s="13" t="s">
        <v>3091</v>
      </c>
      <c r="G815" s="285" t="s">
        <v>7983</v>
      </c>
      <c r="H815" s="285" t="s">
        <v>5127</v>
      </c>
      <c r="I815" s="18"/>
      <c r="J815" s="285" t="s">
        <v>9412</v>
      </c>
      <c r="K815" s="15">
        <v>43831</v>
      </c>
      <c r="L815" s="22" t="s">
        <v>1029</v>
      </c>
      <c r="M815" s="15">
        <v>39082</v>
      </c>
      <c r="N815" s="24">
        <v>2</v>
      </c>
      <c r="O815" s="17">
        <v>10200</v>
      </c>
      <c r="P815" s="17">
        <v>10200</v>
      </c>
      <c r="Q815" s="48">
        <f t="shared" si="20"/>
        <v>0</v>
      </c>
      <c r="R815" s="289"/>
      <c r="S815" s="289"/>
      <c r="T815" s="285"/>
    </row>
    <row r="816" spans="1:20" ht="36" x14ac:dyDescent="0.2">
      <c r="A816" s="289">
        <v>827</v>
      </c>
      <c r="B816" s="30" t="s">
        <v>2929</v>
      </c>
      <c r="C816" s="289"/>
      <c r="D816" s="9" t="s">
        <v>3509</v>
      </c>
      <c r="E816" s="285"/>
      <c r="F816" s="13" t="s">
        <v>3092</v>
      </c>
      <c r="G816" s="285" t="s">
        <v>7983</v>
      </c>
      <c r="H816" s="285" t="s">
        <v>5127</v>
      </c>
      <c r="I816" s="18"/>
      <c r="J816" s="285" t="s">
        <v>9412</v>
      </c>
      <c r="K816" s="15">
        <v>43831</v>
      </c>
      <c r="L816" s="22" t="s">
        <v>1029</v>
      </c>
      <c r="M816" s="15">
        <v>38383</v>
      </c>
      <c r="N816" s="24">
        <v>1</v>
      </c>
      <c r="O816" s="17">
        <v>8945.2000000000007</v>
      </c>
      <c r="P816" s="17">
        <v>8945.2000000000007</v>
      </c>
      <c r="Q816" s="48">
        <f t="shared" si="20"/>
        <v>0</v>
      </c>
      <c r="R816" s="289"/>
      <c r="S816" s="289"/>
      <c r="T816" s="285"/>
    </row>
    <row r="817" spans="1:20" ht="36" x14ac:dyDescent="0.2">
      <c r="A817" s="289">
        <v>828</v>
      </c>
      <c r="B817" s="30" t="s">
        <v>2930</v>
      </c>
      <c r="C817" s="289"/>
      <c r="D817" s="9" t="s">
        <v>1229</v>
      </c>
      <c r="E817" s="285"/>
      <c r="F817" s="13" t="s">
        <v>3093</v>
      </c>
      <c r="G817" s="285" t="s">
        <v>7983</v>
      </c>
      <c r="H817" s="285" t="s">
        <v>5127</v>
      </c>
      <c r="I817" s="18"/>
      <c r="J817" s="285" t="s">
        <v>9412</v>
      </c>
      <c r="K817" s="15">
        <v>43831</v>
      </c>
      <c r="L817" s="22" t="s">
        <v>1029</v>
      </c>
      <c r="M817" s="15">
        <v>39082</v>
      </c>
      <c r="N817" s="24">
        <v>1</v>
      </c>
      <c r="O817" s="17">
        <v>3162</v>
      </c>
      <c r="P817" s="17">
        <v>3162</v>
      </c>
      <c r="Q817" s="48">
        <f t="shared" si="20"/>
        <v>0</v>
      </c>
      <c r="R817" s="289"/>
      <c r="S817" s="289"/>
      <c r="T817" s="285"/>
    </row>
    <row r="818" spans="1:20" ht="36" x14ac:dyDescent="0.2">
      <c r="A818" s="289">
        <v>830</v>
      </c>
      <c r="B818" s="30" t="s">
        <v>2931</v>
      </c>
      <c r="C818" s="289"/>
      <c r="D818" s="9" t="s">
        <v>5357</v>
      </c>
      <c r="E818" s="285"/>
      <c r="F818" s="13" t="s">
        <v>3094</v>
      </c>
      <c r="G818" s="285" t="s">
        <v>7983</v>
      </c>
      <c r="H818" s="285" t="s">
        <v>5127</v>
      </c>
      <c r="I818" s="18"/>
      <c r="J818" s="285" t="s">
        <v>9412</v>
      </c>
      <c r="K818" s="15">
        <v>43831</v>
      </c>
      <c r="L818" s="22" t="s">
        <v>1029</v>
      </c>
      <c r="M818" s="15">
        <v>38868</v>
      </c>
      <c r="N818" s="24">
        <v>1</v>
      </c>
      <c r="O818" s="17">
        <v>5100</v>
      </c>
      <c r="P818" s="17">
        <v>5100</v>
      </c>
      <c r="Q818" s="48">
        <f t="shared" si="20"/>
        <v>0</v>
      </c>
      <c r="R818" s="289"/>
      <c r="S818" s="289"/>
      <c r="T818" s="285"/>
    </row>
    <row r="819" spans="1:20" ht="36" x14ac:dyDescent="0.2">
      <c r="A819" s="289">
        <v>832</v>
      </c>
      <c r="B819" s="30" t="s">
        <v>2932</v>
      </c>
      <c r="C819" s="289"/>
      <c r="D819" s="9" t="s">
        <v>4468</v>
      </c>
      <c r="E819" s="285"/>
      <c r="F819" s="13" t="s">
        <v>4180</v>
      </c>
      <c r="G819" s="285" t="s">
        <v>7983</v>
      </c>
      <c r="H819" s="285" t="s">
        <v>5127</v>
      </c>
      <c r="I819" s="18"/>
      <c r="J819" s="285" t="s">
        <v>9412</v>
      </c>
      <c r="K819" s="15">
        <v>43831</v>
      </c>
      <c r="L819" s="22" t="s">
        <v>1029</v>
      </c>
      <c r="M819" s="138" t="s">
        <v>9427</v>
      </c>
      <c r="N819" s="24">
        <v>1</v>
      </c>
      <c r="O819" s="17">
        <v>6594.9</v>
      </c>
      <c r="P819" s="17">
        <v>6594.9</v>
      </c>
      <c r="Q819" s="48">
        <f t="shared" si="20"/>
        <v>0</v>
      </c>
      <c r="R819" s="289"/>
      <c r="S819" s="289"/>
      <c r="T819" s="285"/>
    </row>
    <row r="820" spans="1:20" ht="36" x14ac:dyDescent="0.2">
      <c r="A820" s="289">
        <v>833</v>
      </c>
      <c r="B820" s="30" t="s">
        <v>2933</v>
      </c>
      <c r="C820" s="289"/>
      <c r="D820" s="9" t="s">
        <v>1299</v>
      </c>
      <c r="E820" s="285"/>
      <c r="F820" s="13" t="s">
        <v>4181</v>
      </c>
      <c r="G820" s="285" t="s">
        <v>7983</v>
      </c>
      <c r="H820" s="285" t="s">
        <v>5127</v>
      </c>
      <c r="I820" s="18"/>
      <c r="J820" s="285" t="s">
        <v>9412</v>
      </c>
      <c r="K820" s="15">
        <v>43831</v>
      </c>
      <c r="L820" s="22" t="s">
        <v>1029</v>
      </c>
      <c r="M820" s="16">
        <v>36921</v>
      </c>
      <c r="N820" s="24">
        <v>1</v>
      </c>
      <c r="O820" s="17">
        <v>4448.28</v>
      </c>
      <c r="P820" s="17">
        <v>4448.28</v>
      </c>
      <c r="Q820" s="48">
        <f t="shared" si="20"/>
        <v>0</v>
      </c>
      <c r="R820" s="289"/>
      <c r="S820" s="289"/>
      <c r="T820" s="285"/>
    </row>
    <row r="821" spans="1:20" ht="36" x14ac:dyDescent="0.2">
      <c r="A821" s="289">
        <v>834</v>
      </c>
      <c r="B821" s="30" t="s">
        <v>2934</v>
      </c>
      <c r="C821" s="289"/>
      <c r="D821" s="9" t="s">
        <v>5387</v>
      </c>
      <c r="E821" s="285"/>
      <c r="F821" s="13" t="s">
        <v>4182</v>
      </c>
      <c r="G821" s="285" t="s">
        <v>7983</v>
      </c>
      <c r="H821" s="285" t="s">
        <v>5127</v>
      </c>
      <c r="I821" s="18"/>
      <c r="J821" s="285" t="s">
        <v>9412</v>
      </c>
      <c r="K821" s="15">
        <v>43831</v>
      </c>
      <c r="L821" s="22" t="s">
        <v>1029</v>
      </c>
      <c r="M821" s="139" t="s">
        <v>9425</v>
      </c>
      <c r="N821" s="24">
        <v>1</v>
      </c>
      <c r="O821" s="17">
        <v>4272.1000000000004</v>
      </c>
      <c r="P821" s="17">
        <v>4272.1000000000004</v>
      </c>
      <c r="Q821" s="48">
        <f t="shared" ref="Q821:Q851" si="21">O821-P821</f>
        <v>0</v>
      </c>
      <c r="R821" s="289"/>
      <c r="S821" s="289"/>
      <c r="T821" s="285"/>
    </row>
    <row r="822" spans="1:20" ht="36" x14ac:dyDescent="0.2">
      <c r="A822" s="289">
        <v>835</v>
      </c>
      <c r="B822" s="30" t="s">
        <v>2935</v>
      </c>
      <c r="C822" s="289"/>
      <c r="D822" s="9" t="s">
        <v>5387</v>
      </c>
      <c r="E822" s="285"/>
      <c r="F822" s="13" t="s">
        <v>2825</v>
      </c>
      <c r="G822" s="285" t="s">
        <v>7983</v>
      </c>
      <c r="H822" s="285" t="s">
        <v>5127</v>
      </c>
      <c r="I822" s="18"/>
      <c r="J822" s="285" t="s">
        <v>9412</v>
      </c>
      <c r="K822" s="15">
        <v>43831</v>
      </c>
      <c r="L822" s="22" t="s">
        <v>1029</v>
      </c>
      <c r="M822" s="139" t="s">
        <v>9425</v>
      </c>
      <c r="N822" s="24">
        <v>1</v>
      </c>
      <c r="O822" s="17">
        <v>4272.1000000000004</v>
      </c>
      <c r="P822" s="17">
        <v>4272.1000000000004</v>
      </c>
      <c r="Q822" s="48">
        <f t="shared" si="21"/>
        <v>0</v>
      </c>
      <c r="R822" s="289"/>
      <c r="S822" s="289"/>
      <c r="T822" s="285"/>
    </row>
    <row r="823" spans="1:20" ht="36" x14ac:dyDescent="0.2">
      <c r="A823" s="289">
        <v>836</v>
      </c>
      <c r="B823" s="30" t="s">
        <v>2936</v>
      </c>
      <c r="C823" s="289"/>
      <c r="D823" s="9" t="s">
        <v>3889</v>
      </c>
      <c r="E823" s="285"/>
      <c r="F823" s="13" t="s">
        <v>2826</v>
      </c>
      <c r="G823" s="285" t="s">
        <v>7983</v>
      </c>
      <c r="H823" s="285" t="s">
        <v>5127</v>
      </c>
      <c r="I823" s="18"/>
      <c r="J823" s="285" t="s">
        <v>9412</v>
      </c>
      <c r="K823" s="15">
        <v>43831</v>
      </c>
      <c r="L823" s="22" t="s">
        <v>1029</v>
      </c>
      <c r="M823" s="15">
        <v>39691</v>
      </c>
      <c r="N823" s="24">
        <v>1</v>
      </c>
      <c r="O823" s="17">
        <v>3774</v>
      </c>
      <c r="P823" s="17">
        <v>3774</v>
      </c>
      <c r="Q823" s="48">
        <f t="shared" si="21"/>
        <v>0</v>
      </c>
      <c r="R823" s="289"/>
      <c r="S823" s="289"/>
      <c r="T823" s="285"/>
    </row>
    <row r="824" spans="1:20" ht="36" x14ac:dyDescent="0.2">
      <c r="A824" s="289">
        <v>837</v>
      </c>
      <c r="B824" s="30" t="s">
        <v>3095</v>
      </c>
      <c r="C824" s="289"/>
      <c r="D824" s="9" t="s">
        <v>1838</v>
      </c>
      <c r="E824" s="285"/>
      <c r="F824" s="13" t="s">
        <v>4614</v>
      </c>
      <c r="G824" s="285" t="s">
        <v>4946</v>
      </c>
      <c r="H824" s="285" t="s">
        <v>5127</v>
      </c>
      <c r="I824" s="18"/>
      <c r="J824" s="285" t="s">
        <v>3136</v>
      </c>
      <c r="K824" s="15">
        <v>43397</v>
      </c>
      <c r="L824" s="12" t="s">
        <v>8490</v>
      </c>
      <c r="M824" s="120"/>
      <c r="N824" s="24">
        <v>1</v>
      </c>
      <c r="O824" s="17">
        <v>5840.06</v>
      </c>
      <c r="P824" s="17">
        <v>5840.06</v>
      </c>
      <c r="Q824" s="48">
        <f t="shared" si="21"/>
        <v>0</v>
      </c>
      <c r="R824" s="289"/>
      <c r="S824" s="289"/>
      <c r="T824" s="285"/>
    </row>
    <row r="825" spans="1:20" ht="36" x14ac:dyDescent="0.2">
      <c r="A825" s="289">
        <v>838</v>
      </c>
      <c r="B825" s="30" t="s">
        <v>3096</v>
      </c>
      <c r="C825" s="289"/>
      <c r="D825" s="9" t="s">
        <v>4973</v>
      </c>
      <c r="E825" s="285"/>
      <c r="F825" s="13" t="s">
        <v>4615</v>
      </c>
      <c r="G825" s="285" t="s">
        <v>7983</v>
      </c>
      <c r="H825" s="285" t="s">
        <v>5127</v>
      </c>
      <c r="I825" s="18"/>
      <c r="J825" s="285" t="s">
        <v>9412</v>
      </c>
      <c r="K825" s="15">
        <v>43831</v>
      </c>
      <c r="L825" s="22" t="s">
        <v>1029</v>
      </c>
      <c r="M825" s="15">
        <v>39082</v>
      </c>
      <c r="N825" s="24">
        <v>1</v>
      </c>
      <c r="O825" s="17">
        <v>3162</v>
      </c>
      <c r="P825" s="17">
        <v>3162</v>
      </c>
      <c r="Q825" s="48">
        <f t="shared" si="21"/>
        <v>0</v>
      </c>
      <c r="R825" s="289"/>
      <c r="S825" s="289"/>
      <c r="T825" s="285"/>
    </row>
    <row r="826" spans="1:20" ht="36" x14ac:dyDescent="0.2">
      <c r="A826" s="289">
        <v>839</v>
      </c>
      <c r="B826" s="30" t="s">
        <v>3097</v>
      </c>
      <c r="C826" s="289"/>
      <c r="D826" s="9" t="s">
        <v>1793</v>
      </c>
      <c r="E826" s="285"/>
      <c r="F826" s="13" t="s">
        <v>4616</v>
      </c>
      <c r="G826" s="285" t="s">
        <v>7983</v>
      </c>
      <c r="H826" s="285" t="s">
        <v>5127</v>
      </c>
      <c r="I826" s="18"/>
      <c r="J826" s="285" t="s">
        <v>9414</v>
      </c>
      <c r="K826" s="15">
        <v>39263</v>
      </c>
      <c r="L826" s="12" t="s">
        <v>1029</v>
      </c>
      <c r="M826" s="289">
        <v>2002</v>
      </c>
      <c r="N826" s="24">
        <v>1</v>
      </c>
      <c r="O826" s="17">
        <v>3830.4</v>
      </c>
      <c r="P826" s="17">
        <v>3830.4</v>
      </c>
      <c r="Q826" s="48">
        <f t="shared" si="21"/>
        <v>0</v>
      </c>
      <c r="R826" s="289"/>
      <c r="S826" s="289"/>
      <c r="T826" s="285"/>
    </row>
    <row r="827" spans="1:20" ht="36" x14ac:dyDescent="0.2">
      <c r="A827" s="289">
        <v>840</v>
      </c>
      <c r="B827" s="30" t="s">
        <v>3098</v>
      </c>
      <c r="C827" s="289"/>
      <c r="D827" s="9" t="s">
        <v>5121</v>
      </c>
      <c r="E827" s="285"/>
      <c r="F827" s="13" t="s">
        <v>4617</v>
      </c>
      <c r="G827" s="285" t="s">
        <v>7983</v>
      </c>
      <c r="H827" s="285" t="s">
        <v>5127</v>
      </c>
      <c r="I827" s="18"/>
      <c r="J827" s="285" t="s">
        <v>9412</v>
      </c>
      <c r="K827" s="15">
        <v>43831</v>
      </c>
      <c r="L827" s="22" t="s">
        <v>1029</v>
      </c>
      <c r="M827" s="138" t="s">
        <v>9428</v>
      </c>
      <c r="N827" s="24">
        <v>1</v>
      </c>
      <c r="O827" s="17">
        <v>9959.0400000000009</v>
      </c>
      <c r="P827" s="17">
        <v>9959.0400000000009</v>
      </c>
      <c r="Q827" s="48">
        <f t="shared" si="21"/>
        <v>0</v>
      </c>
      <c r="R827" s="289"/>
      <c r="S827" s="289"/>
      <c r="T827" s="285"/>
    </row>
    <row r="828" spans="1:20" ht="36" x14ac:dyDescent="0.2">
      <c r="A828" s="289">
        <v>841</v>
      </c>
      <c r="B828" s="30" t="s">
        <v>1107</v>
      </c>
      <c r="C828" s="289"/>
      <c r="D828" s="9" t="s">
        <v>5121</v>
      </c>
      <c r="E828" s="285"/>
      <c r="F828" s="13" t="s">
        <v>4618</v>
      </c>
      <c r="G828" s="285" t="s">
        <v>7983</v>
      </c>
      <c r="H828" s="285" t="s">
        <v>5127</v>
      </c>
      <c r="I828" s="18"/>
      <c r="J828" s="285" t="s">
        <v>9412</v>
      </c>
      <c r="K828" s="15">
        <v>43831</v>
      </c>
      <c r="L828" s="22" t="s">
        <v>1029</v>
      </c>
      <c r="M828" s="138" t="s">
        <v>9428</v>
      </c>
      <c r="N828" s="24">
        <v>1</v>
      </c>
      <c r="O828" s="17">
        <v>9959.0400000000009</v>
      </c>
      <c r="P828" s="17">
        <v>9959.0400000000009</v>
      </c>
      <c r="Q828" s="48">
        <f t="shared" si="21"/>
        <v>0</v>
      </c>
      <c r="R828" s="289"/>
      <c r="S828" s="289"/>
      <c r="T828" s="285"/>
    </row>
    <row r="829" spans="1:20" ht="60.75" customHeight="1" x14ac:dyDescent="0.2">
      <c r="A829" s="289">
        <v>842</v>
      </c>
      <c r="B829" s="30" t="s">
        <v>1108</v>
      </c>
      <c r="C829" s="289"/>
      <c r="D829" s="9" t="s">
        <v>5082</v>
      </c>
      <c r="E829" s="285"/>
      <c r="F829" s="13" t="s">
        <v>4619</v>
      </c>
      <c r="G829" s="285" t="s">
        <v>7846</v>
      </c>
      <c r="H829" s="285" t="s">
        <v>5127</v>
      </c>
      <c r="I829" s="18"/>
      <c r="J829" s="285" t="s">
        <v>3136</v>
      </c>
      <c r="K829" s="15">
        <v>42356</v>
      </c>
      <c r="L829" s="22" t="s">
        <v>4448</v>
      </c>
      <c r="M829" s="170"/>
      <c r="N829" s="24">
        <v>2</v>
      </c>
      <c r="O829" s="17">
        <v>8084.88</v>
      </c>
      <c r="P829" s="17">
        <v>8084.88</v>
      </c>
      <c r="Q829" s="48">
        <f t="shared" si="21"/>
        <v>0</v>
      </c>
      <c r="R829" s="289"/>
      <c r="S829" s="289"/>
      <c r="T829" s="285"/>
    </row>
    <row r="830" spans="1:20" ht="36" x14ac:dyDescent="0.2">
      <c r="A830" s="289">
        <v>843</v>
      </c>
      <c r="B830" s="30" t="s">
        <v>1109</v>
      </c>
      <c r="C830" s="289"/>
      <c r="D830" s="9" t="s">
        <v>3971</v>
      </c>
      <c r="E830" s="285"/>
      <c r="F830" s="13" t="s">
        <v>4620</v>
      </c>
      <c r="G830" s="285" t="s">
        <v>7983</v>
      </c>
      <c r="H830" s="285" t="s">
        <v>5127</v>
      </c>
      <c r="I830" s="18"/>
      <c r="J830" s="285" t="s">
        <v>9412</v>
      </c>
      <c r="K830" s="15">
        <v>43831</v>
      </c>
      <c r="L830" s="22" t="s">
        <v>1029</v>
      </c>
      <c r="M830" s="139" t="s">
        <v>9423</v>
      </c>
      <c r="N830" s="24">
        <v>3</v>
      </c>
      <c r="O830" s="17">
        <v>15728.58</v>
      </c>
      <c r="P830" s="17">
        <v>15728.58</v>
      </c>
      <c r="Q830" s="48">
        <f t="shared" si="21"/>
        <v>0</v>
      </c>
      <c r="R830" s="289"/>
      <c r="S830" s="289"/>
      <c r="T830" s="285"/>
    </row>
    <row r="831" spans="1:20" ht="24.75" customHeight="1" x14ac:dyDescent="0.2">
      <c r="A831" s="289">
        <v>844</v>
      </c>
      <c r="B831" s="30" t="s">
        <v>1110</v>
      </c>
      <c r="C831" s="289"/>
      <c r="D831" s="9" t="s">
        <v>3734</v>
      </c>
      <c r="E831" s="285"/>
      <c r="F831" s="13" t="s">
        <v>4621</v>
      </c>
      <c r="G831" s="285" t="s">
        <v>7846</v>
      </c>
      <c r="H831" s="285" t="s">
        <v>5127</v>
      </c>
      <c r="I831" s="18"/>
      <c r="J831" s="285" t="s">
        <v>3136</v>
      </c>
      <c r="K831" s="15">
        <v>42356</v>
      </c>
      <c r="L831" s="22" t="s">
        <v>4448</v>
      </c>
      <c r="M831" s="171" t="s">
        <v>9423</v>
      </c>
      <c r="N831" s="24">
        <v>5</v>
      </c>
      <c r="O831" s="17">
        <v>21228.799999999999</v>
      </c>
      <c r="P831" s="17">
        <v>21228.799999999999</v>
      </c>
      <c r="Q831" s="48">
        <f t="shared" si="21"/>
        <v>0</v>
      </c>
      <c r="R831" s="289"/>
      <c r="S831" s="289"/>
      <c r="T831" s="285"/>
    </row>
    <row r="832" spans="1:20" ht="36" x14ac:dyDescent="0.2">
      <c r="A832" s="289">
        <v>845</v>
      </c>
      <c r="B832" s="30" t="s">
        <v>1111</v>
      </c>
      <c r="C832" s="289"/>
      <c r="D832" s="9" t="s">
        <v>4370</v>
      </c>
      <c r="E832" s="285"/>
      <c r="F832" s="13" t="s">
        <v>4622</v>
      </c>
      <c r="G832" s="285" t="s">
        <v>7983</v>
      </c>
      <c r="H832" s="285" t="s">
        <v>5127</v>
      </c>
      <c r="I832" s="18"/>
      <c r="J832" s="285" t="s">
        <v>9412</v>
      </c>
      <c r="K832" s="15">
        <v>43831</v>
      </c>
      <c r="L832" s="22" t="s">
        <v>1029</v>
      </c>
      <c r="M832" s="139" t="s">
        <v>9429</v>
      </c>
      <c r="N832" s="24">
        <v>2</v>
      </c>
      <c r="O832" s="17">
        <v>6395.4</v>
      </c>
      <c r="P832" s="17">
        <v>6395.4</v>
      </c>
      <c r="Q832" s="48">
        <f t="shared" si="21"/>
        <v>0</v>
      </c>
      <c r="R832" s="289"/>
      <c r="S832" s="289"/>
      <c r="T832" s="285"/>
    </row>
    <row r="833" spans="1:20" ht="36" x14ac:dyDescent="0.2">
      <c r="A833" s="289">
        <v>846</v>
      </c>
      <c r="B833" s="30" t="s">
        <v>2173</v>
      </c>
      <c r="C833" s="289"/>
      <c r="D833" s="9" t="s">
        <v>869</v>
      </c>
      <c r="E833" s="285"/>
      <c r="F833" s="13" t="s">
        <v>4135</v>
      </c>
      <c r="G833" s="285" t="s">
        <v>7983</v>
      </c>
      <c r="H833" s="285" t="s">
        <v>5127</v>
      </c>
      <c r="I833" s="18"/>
      <c r="J833" s="285" t="s">
        <v>9412</v>
      </c>
      <c r="K833" s="15">
        <v>43831</v>
      </c>
      <c r="L833" s="22" t="s">
        <v>1029</v>
      </c>
      <c r="M833" s="139" t="s">
        <v>9429</v>
      </c>
      <c r="N833" s="24">
        <f>2-1</f>
        <v>1</v>
      </c>
      <c r="O833" s="17">
        <f>5000-2500</f>
        <v>2500</v>
      </c>
      <c r="P833" s="17">
        <f>5000-2500</f>
        <v>2500</v>
      </c>
      <c r="Q833" s="17">
        <f t="shared" si="21"/>
        <v>0</v>
      </c>
      <c r="R833" s="289"/>
      <c r="S833" s="289"/>
      <c r="T833" s="285"/>
    </row>
    <row r="834" spans="1:20" ht="36" x14ac:dyDescent="0.2">
      <c r="A834" s="289">
        <v>847</v>
      </c>
      <c r="B834" s="30" t="s">
        <v>2174</v>
      </c>
      <c r="C834" s="289"/>
      <c r="D834" s="9" t="s">
        <v>2625</v>
      </c>
      <c r="E834" s="285"/>
      <c r="F834" s="13" t="s">
        <v>5318</v>
      </c>
      <c r="G834" s="285" t="s">
        <v>7983</v>
      </c>
      <c r="H834" s="285" t="s">
        <v>5127</v>
      </c>
      <c r="I834" s="18"/>
      <c r="J834" s="285" t="s">
        <v>9412</v>
      </c>
      <c r="K834" s="15">
        <v>43831</v>
      </c>
      <c r="L834" s="22" t="s">
        <v>1029</v>
      </c>
      <c r="M834" s="139" t="s">
        <v>9424</v>
      </c>
      <c r="N834" s="24">
        <v>1</v>
      </c>
      <c r="O834" s="17">
        <v>5234.88</v>
      </c>
      <c r="P834" s="17">
        <v>5234.88</v>
      </c>
      <c r="Q834" s="48">
        <f t="shared" si="21"/>
        <v>0</v>
      </c>
      <c r="R834" s="289"/>
      <c r="S834" s="289"/>
      <c r="T834" s="285"/>
    </row>
    <row r="835" spans="1:20" ht="36" x14ac:dyDescent="0.2">
      <c r="A835" s="289">
        <v>848</v>
      </c>
      <c r="B835" s="30" t="s">
        <v>2175</v>
      </c>
      <c r="C835" s="289"/>
      <c r="D835" s="9" t="s">
        <v>3830</v>
      </c>
      <c r="E835" s="285"/>
      <c r="F835" s="13" t="s">
        <v>5319</v>
      </c>
      <c r="G835" s="285" t="s">
        <v>7983</v>
      </c>
      <c r="H835" s="285" t="s">
        <v>5127</v>
      </c>
      <c r="I835" s="18"/>
      <c r="J835" s="285" t="s">
        <v>9412</v>
      </c>
      <c r="K835" s="15">
        <v>43831</v>
      </c>
      <c r="L835" s="22" t="s">
        <v>1029</v>
      </c>
      <c r="M835" s="139" t="s">
        <v>9424</v>
      </c>
      <c r="N835" s="24">
        <v>2</v>
      </c>
      <c r="O835" s="17">
        <v>7711.2</v>
      </c>
      <c r="P835" s="17">
        <v>7711.2</v>
      </c>
      <c r="Q835" s="48">
        <f t="shared" si="21"/>
        <v>0</v>
      </c>
      <c r="R835" s="289"/>
      <c r="S835" s="289"/>
      <c r="T835" s="285"/>
    </row>
    <row r="836" spans="1:20" ht="36" x14ac:dyDescent="0.2">
      <c r="A836" s="289">
        <v>849</v>
      </c>
      <c r="B836" s="30" t="s">
        <v>2176</v>
      </c>
      <c r="C836" s="289"/>
      <c r="D836" s="9" t="s">
        <v>65</v>
      </c>
      <c r="E836" s="285"/>
      <c r="F836" s="13" t="s">
        <v>5320</v>
      </c>
      <c r="G836" s="285" t="s">
        <v>7983</v>
      </c>
      <c r="H836" s="285" t="s">
        <v>5127</v>
      </c>
      <c r="I836" s="18"/>
      <c r="J836" s="285" t="s">
        <v>9412</v>
      </c>
      <c r="K836" s="15">
        <v>43831</v>
      </c>
      <c r="L836" s="22" t="s">
        <v>1029</v>
      </c>
      <c r="M836" s="139" t="s">
        <v>9426</v>
      </c>
      <c r="N836" s="24">
        <v>1</v>
      </c>
      <c r="O836" s="17">
        <v>3561.36</v>
      </c>
      <c r="P836" s="17">
        <v>3561.36</v>
      </c>
      <c r="Q836" s="48">
        <f t="shared" si="21"/>
        <v>0</v>
      </c>
      <c r="R836" s="289"/>
      <c r="S836" s="289"/>
      <c r="T836" s="285"/>
    </row>
    <row r="837" spans="1:20" ht="24" x14ac:dyDescent="0.2">
      <c r="A837" s="289">
        <v>850</v>
      </c>
      <c r="B837" s="30" t="s">
        <v>4179</v>
      </c>
      <c r="C837" s="289"/>
      <c r="D837" s="46" t="s">
        <v>1529</v>
      </c>
      <c r="E837" s="49"/>
      <c r="F837" s="13" t="s">
        <v>1523</v>
      </c>
      <c r="G837" s="285" t="s">
        <v>7983</v>
      </c>
      <c r="H837" s="285" t="s">
        <v>5127</v>
      </c>
      <c r="I837" s="50"/>
      <c r="J837" s="285" t="s">
        <v>3136</v>
      </c>
      <c r="K837" s="14">
        <v>43075</v>
      </c>
      <c r="L837" s="12" t="s">
        <v>7911</v>
      </c>
      <c r="M837" s="140">
        <v>39072</v>
      </c>
      <c r="N837" s="24">
        <v>1</v>
      </c>
      <c r="O837" s="17">
        <v>9476</v>
      </c>
      <c r="P837" s="17">
        <v>9476</v>
      </c>
      <c r="Q837" s="48">
        <f t="shared" si="21"/>
        <v>0</v>
      </c>
      <c r="R837" s="30"/>
      <c r="S837" s="30"/>
      <c r="T837" s="49"/>
    </row>
    <row r="838" spans="1:20" ht="36" x14ac:dyDescent="0.2">
      <c r="A838" s="289">
        <v>851</v>
      </c>
      <c r="B838" s="30" t="s">
        <v>1530</v>
      </c>
      <c r="C838" s="289"/>
      <c r="D838" s="9" t="s">
        <v>5746</v>
      </c>
      <c r="E838" s="285"/>
      <c r="F838" s="13" t="s">
        <v>1524</v>
      </c>
      <c r="G838" s="285" t="s">
        <v>7983</v>
      </c>
      <c r="H838" s="285" t="s">
        <v>5127</v>
      </c>
      <c r="I838" s="18"/>
      <c r="J838" s="285" t="s">
        <v>9412</v>
      </c>
      <c r="K838" s="15">
        <v>43831</v>
      </c>
      <c r="L838" s="22" t="s">
        <v>1029</v>
      </c>
      <c r="M838" s="139" t="s">
        <v>9428</v>
      </c>
      <c r="N838" s="24">
        <v>1</v>
      </c>
      <c r="O838" s="17">
        <v>4101.72</v>
      </c>
      <c r="P838" s="17">
        <v>4101.72</v>
      </c>
      <c r="Q838" s="48">
        <f t="shared" si="21"/>
        <v>0</v>
      </c>
      <c r="R838" s="289"/>
      <c r="S838" s="289"/>
      <c r="T838" s="285"/>
    </row>
    <row r="839" spans="1:20" ht="36" x14ac:dyDescent="0.2">
      <c r="A839" s="289">
        <v>852</v>
      </c>
      <c r="B839" s="30" t="s">
        <v>1531</v>
      </c>
      <c r="C839" s="289"/>
      <c r="D839" s="9" t="s">
        <v>5278</v>
      </c>
      <c r="E839" s="285"/>
      <c r="F839" s="13" t="s">
        <v>1525</v>
      </c>
      <c r="G839" s="285" t="s">
        <v>7983</v>
      </c>
      <c r="H839" s="285" t="s">
        <v>5127</v>
      </c>
      <c r="I839" s="18"/>
      <c r="J839" s="285" t="s">
        <v>9412</v>
      </c>
      <c r="K839" s="15">
        <v>43831</v>
      </c>
      <c r="L839" s="22" t="s">
        <v>1029</v>
      </c>
      <c r="M839" s="139" t="s">
        <v>9430</v>
      </c>
      <c r="N839" s="24">
        <v>1</v>
      </c>
      <c r="O839" s="17">
        <v>6460</v>
      </c>
      <c r="P839" s="17">
        <v>6460</v>
      </c>
      <c r="Q839" s="48">
        <f t="shared" si="21"/>
        <v>0</v>
      </c>
      <c r="R839" s="289"/>
      <c r="S839" s="289"/>
      <c r="T839" s="285"/>
    </row>
    <row r="840" spans="1:20" ht="36" x14ac:dyDescent="0.2">
      <c r="A840" s="289">
        <v>853</v>
      </c>
      <c r="B840" s="30" t="s">
        <v>1532</v>
      </c>
      <c r="C840" s="289"/>
      <c r="D840" s="9" t="s">
        <v>5122</v>
      </c>
      <c r="E840" s="285"/>
      <c r="F840" s="13" t="s">
        <v>1526</v>
      </c>
      <c r="G840" s="285" t="s">
        <v>7983</v>
      </c>
      <c r="H840" s="285" t="s">
        <v>5127</v>
      </c>
      <c r="I840" s="18"/>
      <c r="J840" s="285" t="s">
        <v>9412</v>
      </c>
      <c r="K840" s="15">
        <v>43831</v>
      </c>
      <c r="L840" s="22" t="s">
        <v>1029</v>
      </c>
      <c r="M840" s="139" t="s">
        <v>9431</v>
      </c>
      <c r="N840" s="24">
        <v>1</v>
      </c>
      <c r="O840" s="17">
        <v>3192</v>
      </c>
      <c r="P840" s="17">
        <v>3192</v>
      </c>
      <c r="Q840" s="48">
        <f t="shared" si="21"/>
        <v>0</v>
      </c>
      <c r="R840" s="289"/>
      <c r="S840" s="289"/>
      <c r="T840" s="285"/>
    </row>
    <row r="841" spans="1:20" ht="36" x14ac:dyDescent="0.2">
      <c r="A841" s="289">
        <v>854</v>
      </c>
      <c r="B841" s="30" t="s">
        <v>1533</v>
      </c>
      <c r="C841" s="289"/>
      <c r="D841" s="46" t="s">
        <v>5123</v>
      </c>
      <c r="E841" s="49"/>
      <c r="F841" s="47" t="s">
        <v>1527</v>
      </c>
      <c r="G841" s="285" t="s">
        <v>7983</v>
      </c>
      <c r="H841" s="49" t="s">
        <v>5127</v>
      </c>
      <c r="I841" s="50"/>
      <c r="J841" s="285" t="s">
        <v>9412</v>
      </c>
      <c r="K841" s="15">
        <v>43831</v>
      </c>
      <c r="L841" s="22" t="s">
        <v>1029</v>
      </c>
      <c r="M841" s="139" t="s">
        <v>9432</v>
      </c>
      <c r="N841" s="52">
        <v>1</v>
      </c>
      <c r="O841" s="48">
        <v>4548.6000000000004</v>
      </c>
      <c r="P841" s="48">
        <v>4548.6000000000004</v>
      </c>
      <c r="Q841" s="48">
        <f t="shared" si="21"/>
        <v>0</v>
      </c>
      <c r="R841" s="30"/>
      <c r="S841" s="30"/>
      <c r="T841" s="49"/>
    </row>
    <row r="842" spans="1:20" ht="36" x14ac:dyDescent="0.2">
      <c r="A842" s="289">
        <v>855</v>
      </c>
      <c r="B842" s="30" t="s">
        <v>3865</v>
      </c>
      <c r="C842" s="289"/>
      <c r="D842" s="9" t="s">
        <v>4666</v>
      </c>
      <c r="E842" s="285"/>
      <c r="F842" s="13" t="s">
        <v>3864</v>
      </c>
      <c r="G842" s="285" t="s">
        <v>7983</v>
      </c>
      <c r="H842" s="49" t="s">
        <v>5127</v>
      </c>
      <c r="I842" s="18"/>
      <c r="J842" s="285" t="s">
        <v>9412</v>
      </c>
      <c r="K842" s="15">
        <v>43831</v>
      </c>
      <c r="L842" s="22" t="s">
        <v>1029</v>
      </c>
      <c r="M842" s="139" t="s">
        <v>9433</v>
      </c>
      <c r="N842" s="24">
        <v>1</v>
      </c>
      <c r="O842" s="17">
        <v>4440.5</v>
      </c>
      <c r="P842" s="17">
        <v>4440.5</v>
      </c>
      <c r="Q842" s="48">
        <f t="shared" si="21"/>
        <v>0</v>
      </c>
      <c r="R842" s="289"/>
      <c r="S842" s="289"/>
      <c r="T842" s="285"/>
    </row>
    <row r="843" spans="1:20" ht="36" x14ac:dyDescent="0.2">
      <c r="A843" s="289">
        <v>856</v>
      </c>
      <c r="B843" s="30" t="s">
        <v>5344</v>
      </c>
      <c r="C843" s="289"/>
      <c r="D843" s="9" t="s">
        <v>6282</v>
      </c>
      <c r="E843" s="285"/>
      <c r="F843" s="13" t="s">
        <v>6284</v>
      </c>
      <c r="G843" s="285" t="s">
        <v>7983</v>
      </c>
      <c r="H843" s="49" t="s">
        <v>5127</v>
      </c>
      <c r="I843" s="18"/>
      <c r="J843" s="285" t="s">
        <v>9412</v>
      </c>
      <c r="K843" s="15">
        <v>43831</v>
      </c>
      <c r="L843" s="22" t="s">
        <v>1029</v>
      </c>
      <c r="M843" s="139" t="s">
        <v>9434</v>
      </c>
      <c r="N843" s="24">
        <v>1</v>
      </c>
      <c r="O843" s="17">
        <v>5221.6000000000004</v>
      </c>
      <c r="P843" s="17">
        <v>5221.6000000000004</v>
      </c>
      <c r="Q843" s="48">
        <f t="shared" si="21"/>
        <v>0</v>
      </c>
      <c r="R843" s="289"/>
      <c r="S843" s="289"/>
      <c r="T843" s="285"/>
    </row>
    <row r="844" spans="1:20" ht="36" x14ac:dyDescent="0.2">
      <c r="A844" s="289">
        <v>857</v>
      </c>
      <c r="B844" s="30" t="s">
        <v>1167</v>
      </c>
      <c r="C844" s="289"/>
      <c r="D844" s="9" t="s">
        <v>2037</v>
      </c>
      <c r="E844" s="285"/>
      <c r="F844" s="13" t="s">
        <v>6283</v>
      </c>
      <c r="G844" s="285" t="s">
        <v>7983</v>
      </c>
      <c r="H844" s="49" t="s">
        <v>5127</v>
      </c>
      <c r="I844" s="18"/>
      <c r="J844" s="285" t="s">
        <v>9412</v>
      </c>
      <c r="K844" s="15">
        <v>43831</v>
      </c>
      <c r="L844" s="22" t="s">
        <v>1029</v>
      </c>
      <c r="M844" s="139" t="s">
        <v>9435</v>
      </c>
      <c r="N844" s="24">
        <v>2</v>
      </c>
      <c r="O844" s="17">
        <v>7410</v>
      </c>
      <c r="P844" s="17">
        <v>7410</v>
      </c>
      <c r="Q844" s="48">
        <f t="shared" si="21"/>
        <v>0</v>
      </c>
      <c r="R844" s="289"/>
      <c r="S844" s="289"/>
      <c r="T844" s="285"/>
    </row>
    <row r="845" spans="1:20" ht="36" x14ac:dyDescent="0.2">
      <c r="A845" s="289">
        <v>858</v>
      </c>
      <c r="B845" s="30" t="s">
        <v>263</v>
      </c>
      <c r="C845" s="289"/>
      <c r="D845" s="9" t="s">
        <v>578</v>
      </c>
      <c r="E845" s="285"/>
      <c r="F845" s="13" t="s">
        <v>6285</v>
      </c>
      <c r="G845" s="285" t="s">
        <v>7983</v>
      </c>
      <c r="H845" s="49" t="s">
        <v>5127</v>
      </c>
      <c r="I845" s="18"/>
      <c r="J845" s="285" t="s">
        <v>9412</v>
      </c>
      <c r="K845" s="15">
        <v>43831</v>
      </c>
      <c r="L845" s="22" t="s">
        <v>1029</v>
      </c>
      <c r="M845" s="139" t="s">
        <v>9436</v>
      </c>
      <c r="N845" s="24">
        <v>1</v>
      </c>
      <c r="O845" s="17">
        <v>3500</v>
      </c>
      <c r="P845" s="17">
        <v>3500</v>
      </c>
      <c r="Q845" s="48">
        <f t="shared" si="21"/>
        <v>0</v>
      </c>
      <c r="R845" s="289"/>
      <c r="S845" s="289"/>
      <c r="T845" s="285"/>
    </row>
    <row r="846" spans="1:20" ht="36" x14ac:dyDescent="0.2">
      <c r="A846" s="289">
        <v>859</v>
      </c>
      <c r="B846" s="30" t="s">
        <v>264</v>
      </c>
      <c r="C846" s="289"/>
      <c r="D846" s="141" t="s">
        <v>6287</v>
      </c>
      <c r="E846" s="285"/>
      <c r="F846" s="13"/>
      <c r="G846" s="285" t="s">
        <v>7983</v>
      </c>
      <c r="H846" s="49" t="s">
        <v>5127</v>
      </c>
      <c r="I846" s="18"/>
      <c r="J846" s="285" t="s">
        <v>9412</v>
      </c>
      <c r="K846" s="15">
        <v>43831</v>
      </c>
      <c r="L846" s="22" t="s">
        <v>1029</v>
      </c>
      <c r="M846" s="138" t="s">
        <v>4300</v>
      </c>
      <c r="N846" s="142">
        <v>1</v>
      </c>
      <c r="O846" s="143">
        <v>7230</v>
      </c>
      <c r="P846" s="143">
        <v>7230</v>
      </c>
      <c r="Q846" s="48">
        <f t="shared" si="21"/>
        <v>0</v>
      </c>
      <c r="R846" s="289"/>
      <c r="S846" s="289"/>
      <c r="T846" s="285"/>
    </row>
    <row r="847" spans="1:20" ht="36" x14ac:dyDescent="0.2">
      <c r="A847" s="289">
        <v>860</v>
      </c>
      <c r="B847" s="30" t="s">
        <v>3933</v>
      </c>
      <c r="C847" s="289"/>
      <c r="D847" s="9" t="s">
        <v>3512</v>
      </c>
      <c r="E847" s="285"/>
      <c r="F847" s="13"/>
      <c r="G847" s="285" t="s">
        <v>4946</v>
      </c>
      <c r="H847" s="285" t="s">
        <v>5127</v>
      </c>
      <c r="I847" s="18"/>
      <c r="J847" s="285" t="s">
        <v>3136</v>
      </c>
      <c r="K847" s="15">
        <v>43397</v>
      </c>
      <c r="L847" s="12" t="s">
        <v>8490</v>
      </c>
      <c r="M847" s="16"/>
      <c r="N847" s="24">
        <v>1</v>
      </c>
      <c r="O847" s="17">
        <v>6965</v>
      </c>
      <c r="P847" s="17">
        <v>6965</v>
      </c>
      <c r="Q847" s="48">
        <f t="shared" si="21"/>
        <v>0</v>
      </c>
      <c r="R847" s="289"/>
      <c r="S847" s="289"/>
      <c r="T847" s="285"/>
    </row>
    <row r="848" spans="1:20" ht="24" x14ac:dyDescent="0.2">
      <c r="A848" s="289">
        <v>861</v>
      </c>
      <c r="B848" s="30" t="s">
        <v>1384</v>
      </c>
      <c r="C848" s="289"/>
      <c r="D848" s="9" t="s">
        <v>3088</v>
      </c>
      <c r="E848" s="285"/>
      <c r="F848" s="13"/>
      <c r="G848" s="285" t="s">
        <v>7983</v>
      </c>
      <c r="H848" s="49" t="s">
        <v>5127</v>
      </c>
      <c r="I848" s="18"/>
      <c r="J848" s="285" t="s">
        <v>3136</v>
      </c>
      <c r="K848" s="15">
        <v>41156</v>
      </c>
      <c r="L848" s="12" t="s">
        <v>9413</v>
      </c>
      <c r="M848" s="15">
        <v>41156</v>
      </c>
      <c r="N848" s="24">
        <v>1</v>
      </c>
      <c r="O848" s="17">
        <v>3190</v>
      </c>
      <c r="P848" s="17">
        <v>3190</v>
      </c>
      <c r="Q848" s="48">
        <f t="shared" si="21"/>
        <v>0</v>
      </c>
      <c r="R848" s="289"/>
      <c r="S848" s="289"/>
      <c r="T848" s="285"/>
    </row>
    <row r="849" spans="1:20" ht="24" x14ac:dyDescent="0.2">
      <c r="A849" s="289">
        <v>862</v>
      </c>
      <c r="B849" s="30" t="s">
        <v>2270</v>
      </c>
      <c r="C849" s="289"/>
      <c r="D849" s="9" t="s">
        <v>5914</v>
      </c>
      <c r="E849" s="285"/>
      <c r="F849" s="13"/>
      <c r="G849" s="285" t="s">
        <v>7983</v>
      </c>
      <c r="H849" s="49" t="s">
        <v>5127</v>
      </c>
      <c r="I849" s="18"/>
      <c r="J849" s="285" t="s">
        <v>3136</v>
      </c>
      <c r="K849" s="15">
        <v>41156</v>
      </c>
      <c r="L849" s="12" t="s">
        <v>9413</v>
      </c>
      <c r="M849" s="15">
        <v>41156</v>
      </c>
      <c r="N849" s="24">
        <v>1</v>
      </c>
      <c r="O849" s="17">
        <v>8010</v>
      </c>
      <c r="P849" s="17">
        <v>8010</v>
      </c>
      <c r="Q849" s="48">
        <f t="shared" si="21"/>
        <v>0</v>
      </c>
      <c r="R849" s="289"/>
      <c r="S849" s="289"/>
      <c r="T849" s="285"/>
    </row>
    <row r="850" spans="1:20" ht="36" x14ac:dyDescent="0.2">
      <c r="A850" s="289">
        <v>863</v>
      </c>
      <c r="B850" s="30" t="s">
        <v>2271</v>
      </c>
      <c r="C850" s="289"/>
      <c r="D850" s="9" t="s">
        <v>2914</v>
      </c>
      <c r="E850" s="285"/>
      <c r="F850" s="13"/>
      <c r="G850" s="285" t="s">
        <v>7983</v>
      </c>
      <c r="H850" s="49" t="s">
        <v>5127</v>
      </c>
      <c r="I850" s="18"/>
      <c r="J850" s="285" t="s">
        <v>9412</v>
      </c>
      <c r="K850" s="15">
        <v>43831</v>
      </c>
      <c r="L850" s="22" t="s">
        <v>1029</v>
      </c>
      <c r="M850" s="285">
        <v>2006</v>
      </c>
      <c r="N850" s="24">
        <v>1</v>
      </c>
      <c r="O850" s="17">
        <v>200</v>
      </c>
      <c r="P850" s="17">
        <v>200</v>
      </c>
      <c r="Q850" s="48">
        <f t="shared" si="21"/>
        <v>0</v>
      </c>
      <c r="R850" s="289"/>
      <c r="S850" s="289"/>
      <c r="T850" s="285"/>
    </row>
    <row r="851" spans="1:20" ht="68.25" customHeight="1" x14ac:dyDescent="0.2">
      <c r="A851" s="289">
        <v>864</v>
      </c>
      <c r="B851" s="30" t="s">
        <v>2272</v>
      </c>
      <c r="C851" s="289"/>
      <c r="D851" s="9" t="s">
        <v>581</v>
      </c>
      <c r="E851" s="285">
        <v>2013</v>
      </c>
      <c r="F851" s="13" t="s">
        <v>1266</v>
      </c>
      <c r="G851" s="285" t="s">
        <v>7981</v>
      </c>
      <c r="H851" s="49" t="s">
        <v>5127</v>
      </c>
      <c r="I851" s="18"/>
      <c r="J851" s="285" t="s">
        <v>3136</v>
      </c>
      <c r="K851" s="15">
        <v>42118</v>
      </c>
      <c r="L851" s="12" t="s">
        <v>6084</v>
      </c>
      <c r="M851" s="15">
        <v>42093</v>
      </c>
      <c r="N851" s="24">
        <v>1</v>
      </c>
      <c r="O851" s="17">
        <v>8000</v>
      </c>
      <c r="P851" s="17">
        <v>8000</v>
      </c>
      <c r="Q851" s="17">
        <f t="shared" si="21"/>
        <v>0</v>
      </c>
      <c r="R851" s="285" t="s">
        <v>5377</v>
      </c>
      <c r="S851" s="14">
        <v>42093</v>
      </c>
      <c r="T851" s="285" t="s">
        <v>1029</v>
      </c>
    </row>
    <row r="852" spans="1:20" ht="68.25" customHeight="1" x14ac:dyDescent="0.2">
      <c r="A852" s="289">
        <v>868</v>
      </c>
      <c r="B852" s="30" t="s">
        <v>4665</v>
      </c>
      <c r="C852" s="289"/>
      <c r="D852" s="9" t="s">
        <v>5820</v>
      </c>
      <c r="E852" s="285"/>
      <c r="F852" s="13" t="s">
        <v>2502</v>
      </c>
      <c r="G852" s="285" t="s">
        <v>4946</v>
      </c>
      <c r="H852" s="49" t="s">
        <v>5127</v>
      </c>
      <c r="I852" s="18"/>
      <c r="J852" s="285"/>
      <c r="K852" s="15"/>
      <c r="L852" s="12"/>
      <c r="M852" s="15"/>
      <c r="N852" s="24">
        <v>1</v>
      </c>
      <c r="O852" s="17">
        <v>5228.1000000000004</v>
      </c>
      <c r="P852" s="17">
        <v>5228.1000000000004</v>
      </c>
      <c r="Q852" s="17">
        <f t="shared" ref="Q852:Q895" si="22">O852-P852</f>
        <v>0</v>
      </c>
      <c r="R852" s="285"/>
      <c r="S852" s="14"/>
      <c r="T852" s="285"/>
    </row>
    <row r="853" spans="1:20" ht="68.25" customHeight="1" x14ac:dyDescent="0.2">
      <c r="A853" s="289">
        <v>869</v>
      </c>
      <c r="B853" s="30" t="s">
        <v>6031</v>
      </c>
      <c r="C853" s="289"/>
      <c r="D853" s="9" t="s">
        <v>2753</v>
      </c>
      <c r="E853" s="285"/>
      <c r="F853" s="13" t="s">
        <v>5977</v>
      </c>
      <c r="G853" s="285" t="s">
        <v>4946</v>
      </c>
      <c r="H853" s="49" t="s">
        <v>5127</v>
      </c>
      <c r="I853" s="18"/>
      <c r="J853" s="285"/>
      <c r="K853" s="289"/>
      <c r="L853" s="12"/>
      <c r="M853" s="15"/>
      <c r="N853" s="24">
        <v>1</v>
      </c>
      <c r="O853" s="17">
        <v>7261.44</v>
      </c>
      <c r="P853" s="17">
        <v>7261.44</v>
      </c>
      <c r="Q853" s="17">
        <f t="shared" si="22"/>
        <v>0</v>
      </c>
      <c r="R853" s="285"/>
      <c r="S853" s="14"/>
      <c r="T853" s="285"/>
    </row>
    <row r="854" spans="1:20" ht="68.25" customHeight="1" x14ac:dyDescent="0.2">
      <c r="A854" s="289">
        <v>870</v>
      </c>
      <c r="B854" s="30" t="s">
        <v>6032</v>
      </c>
      <c r="C854" s="289"/>
      <c r="D854" s="9" t="s">
        <v>4390</v>
      </c>
      <c r="E854" s="285"/>
      <c r="F854" s="13" t="s">
        <v>5978</v>
      </c>
      <c r="G854" s="285" t="s">
        <v>4946</v>
      </c>
      <c r="H854" s="49" t="s">
        <v>5127</v>
      </c>
      <c r="I854" s="18"/>
      <c r="J854" s="285"/>
      <c r="K854" s="289"/>
      <c r="L854" s="12"/>
      <c r="M854" s="15"/>
      <c r="N854" s="24">
        <v>1</v>
      </c>
      <c r="O854" s="17">
        <v>4601</v>
      </c>
      <c r="P854" s="17">
        <v>4601</v>
      </c>
      <c r="Q854" s="17">
        <f t="shared" si="22"/>
        <v>0</v>
      </c>
      <c r="R854" s="285"/>
      <c r="S854" s="14"/>
      <c r="T854" s="285"/>
    </row>
    <row r="855" spans="1:20" ht="68.25" customHeight="1" x14ac:dyDescent="0.2">
      <c r="A855" s="289">
        <v>871</v>
      </c>
      <c r="B855" s="30" t="s">
        <v>6033</v>
      </c>
      <c r="C855" s="289"/>
      <c r="D855" s="9" t="s">
        <v>3725</v>
      </c>
      <c r="E855" s="285"/>
      <c r="F855" s="13" t="s">
        <v>6760</v>
      </c>
      <c r="G855" s="285" t="s">
        <v>4946</v>
      </c>
      <c r="H855" s="49" t="s">
        <v>5127</v>
      </c>
      <c r="I855" s="18"/>
      <c r="J855" s="285"/>
      <c r="K855" s="289"/>
      <c r="L855" s="12"/>
      <c r="M855" s="15"/>
      <c r="N855" s="24">
        <v>1</v>
      </c>
      <c r="O855" s="17">
        <v>3410</v>
      </c>
      <c r="P855" s="17">
        <v>3410</v>
      </c>
      <c r="Q855" s="17">
        <f t="shared" si="22"/>
        <v>0</v>
      </c>
      <c r="R855" s="285"/>
      <c r="S855" s="14"/>
      <c r="T855" s="285"/>
    </row>
    <row r="856" spans="1:20" ht="93.75" customHeight="1" x14ac:dyDescent="0.2">
      <c r="A856" s="289">
        <v>872</v>
      </c>
      <c r="B856" s="30" t="s">
        <v>6034</v>
      </c>
      <c r="C856" s="289"/>
      <c r="D856" s="9" t="s">
        <v>3726</v>
      </c>
      <c r="E856" s="285"/>
      <c r="F856" s="13" t="s">
        <v>4357</v>
      </c>
      <c r="G856" s="285" t="s">
        <v>4946</v>
      </c>
      <c r="H856" s="49" t="s">
        <v>5127</v>
      </c>
      <c r="I856" s="18"/>
      <c r="J856" s="285"/>
      <c r="K856" s="289"/>
      <c r="L856" s="12"/>
      <c r="M856" s="15"/>
      <c r="N856" s="24">
        <v>1</v>
      </c>
      <c r="O856" s="17">
        <v>7287.5</v>
      </c>
      <c r="P856" s="17">
        <v>7287.5</v>
      </c>
      <c r="Q856" s="17">
        <f t="shared" si="22"/>
        <v>0</v>
      </c>
      <c r="R856" s="285"/>
      <c r="S856" s="14"/>
      <c r="T856" s="285"/>
    </row>
    <row r="857" spans="1:20" ht="69" customHeight="1" x14ac:dyDescent="0.2">
      <c r="A857" s="289">
        <v>873</v>
      </c>
      <c r="B857" s="30" t="s">
        <v>6035</v>
      </c>
      <c r="C857" s="289" t="s">
        <v>5274</v>
      </c>
      <c r="D857" s="9" t="s">
        <v>2561</v>
      </c>
      <c r="E857" s="285"/>
      <c r="F857" s="13" t="s">
        <v>4567</v>
      </c>
      <c r="G857" s="285" t="s">
        <v>4946</v>
      </c>
      <c r="H857" s="49" t="s">
        <v>5127</v>
      </c>
      <c r="I857" s="18"/>
      <c r="J857" s="285"/>
      <c r="K857" s="289"/>
      <c r="L857" s="12"/>
      <c r="M857" s="15"/>
      <c r="N857" s="24">
        <v>1</v>
      </c>
      <c r="O857" s="17">
        <v>8706.75</v>
      </c>
      <c r="P857" s="17">
        <v>8706.75</v>
      </c>
      <c r="Q857" s="17">
        <f t="shared" si="22"/>
        <v>0</v>
      </c>
      <c r="R857" s="285"/>
      <c r="S857" s="14"/>
      <c r="T857" s="285"/>
    </row>
    <row r="858" spans="1:20" ht="69" customHeight="1" x14ac:dyDescent="0.2">
      <c r="A858" s="289">
        <v>874</v>
      </c>
      <c r="B858" s="30" t="s">
        <v>6036</v>
      </c>
      <c r="C858" s="289" t="s">
        <v>5274</v>
      </c>
      <c r="D858" s="9" t="s">
        <v>1038</v>
      </c>
      <c r="E858" s="285"/>
      <c r="F858" s="13" t="s">
        <v>4568</v>
      </c>
      <c r="G858" s="285" t="s">
        <v>4946</v>
      </c>
      <c r="H858" s="49" t="s">
        <v>5127</v>
      </c>
      <c r="I858" s="18"/>
      <c r="J858" s="285"/>
      <c r="K858" s="289"/>
      <c r="L858" s="12"/>
      <c r="M858" s="15"/>
      <c r="N858" s="24">
        <v>1</v>
      </c>
      <c r="O858" s="17">
        <v>6198.36</v>
      </c>
      <c r="P858" s="17">
        <v>6198.36</v>
      </c>
      <c r="Q858" s="17">
        <f t="shared" si="22"/>
        <v>0</v>
      </c>
      <c r="R858" s="285"/>
      <c r="S858" s="14"/>
      <c r="T858" s="285"/>
    </row>
    <row r="859" spans="1:20" ht="69" customHeight="1" x14ac:dyDescent="0.2">
      <c r="A859" s="289">
        <v>875</v>
      </c>
      <c r="B859" s="30" t="s">
        <v>6037</v>
      </c>
      <c r="C859" s="289" t="s">
        <v>5274</v>
      </c>
      <c r="D859" s="9" t="s">
        <v>281</v>
      </c>
      <c r="E859" s="285"/>
      <c r="F859" s="13" t="s">
        <v>4569</v>
      </c>
      <c r="G859" s="285" t="s">
        <v>4946</v>
      </c>
      <c r="H859" s="49" t="s">
        <v>5127</v>
      </c>
      <c r="I859" s="18"/>
      <c r="J859" s="285"/>
      <c r="K859" s="289"/>
      <c r="L859" s="12"/>
      <c r="M859" s="15"/>
      <c r="N859" s="24">
        <v>1</v>
      </c>
      <c r="O859" s="17">
        <v>7227.66</v>
      </c>
      <c r="P859" s="17">
        <v>7227.66</v>
      </c>
      <c r="Q859" s="17">
        <f t="shared" si="22"/>
        <v>0</v>
      </c>
      <c r="R859" s="285"/>
      <c r="S859" s="14"/>
      <c r="T859" s="285"/>
    </row>
    <row r="860" spans="1:20" ht="69" customHeight="1" x14ac:dyDescent="0.2">
      <c r="A860" s="289">
        <v>876</v>
      </c>
      <c r="B860" s="30" t="s">
        <v>6038</v>
      </c>
      <c r="C860" s="289"/>
      <c r="D860" s="9" t="s">
        <v>5379</v>
      </c>
      <c r="E860" s="285"/>
      <c r="F860" s="13" t="s">
        <v>4570</v>
      </c>
      <c r="G860" s="285" t="s">
        <v>4946</v>
      </c>
      <c r="H860" s="49" t="s">
        <v>5127</v>
      </c>
      <c r="I860" s="18"/>
      <c r="J860" s="285"/>
      <c r="K860" s="289"/>
      <c r="L860" s="12"/>
      <c r="M860" s="15"/>
      <c r="N860" s="24">
        <v>1</v>
      </c>
      <c r="O860" s="17">
        <v>8739.36</v>
      </c>
      <c r="P860" s="17">
        <v>8739.36</v>
      </c>
      <c r="Q860" s="17">
        <f t="shared" si="22"/>
        <v>0</v>
      </c>
      <c r="R860" s="285"/>
      <c r="S860" s="14"/>
      <c r="T860" s="285"/>
    </row>
    <row r="861" spans="1:20" ht="61.5" customHeight="1" x14ac:dyDescent="0.2">
      <c r="A861" s="289">
        <v>877</v>
      </c>
      <c r="B861" s="30" t="s">
        <v>6039</v>
      </c>
      <c r="C861" s="289"/>
      <c r="D861" s="9" t="s">
        <v>4524</v>
      </c>
      <c r="E861" s="285"/>
      <c r="F861" s="13" t="s">
        <v>6761</v>
      </c>
      <c r="G861" s="285" t="s">
        <v>4946</v>
      </c>
      <c r="H861" s="49" t="s">
        <v>5127</v>
      </c>
      <c r="I861" s="18"/>
      <c r="J861" s="285"/>
      <c r="K861" s="289"/>
      <c r="L861" s="12"/>
      <c r="M861" s="15"/>
      <c r="N861" s="24">
        <v>1</v>
      </c>
      <c r="O861" s="17">
        <v>4860</v>
      </c>
      <c r="P861" s="17">
        <v>4860</v>
      </c>
      <c r="Q861" s="17">
        <f t="shared" si="22"/>
        <v>0</v>
      </c>
      <c r="R861" s="285"/>
      <c r="S861" s="14"/>
      <c r="T861" s="285"/>
    </row>
    <row r="862" spans="1:20" ht="61.5" customHeight="1" x14ac:dyDescent="0.2">
      <c r="A862" s="289">
        <v>878</v>
      </c>
      <c r="B862" s="30" t="s">
        <v>6040</v>
      </c>
      <c r="C862" s="289"/>
      <c r="D862" s="9" t="s">
        <v>953</v>
      </c>
      <c r="E862" s="285"/>
      <c r="F862" s="13" t="s">
        <v>6762</v>
      </c>
      <c r="G862" s="285" t="s">
        <v>4946</v>
      </c>
      <c r="H862" s="49" t="s">
        <v>5127</v>
      </c>
      <c r="I862" s="18"/>
      <c r="J862" s="285"/>
      <c r="K862" s="289"/>
      <c r="L862" s="12"/>
      <c r="M862" s="15"/>
      <c r="N862" s="24">
        <v>1</v>
      </c>
      <c r="O862" s="17">
        <v>8800</v>
      </c>
      <c r="P862" s="17">
        <v>8800</v>
      </c>
      <c r="Q862" s="17">
        <f t="shared" si="22"/>
        <v>0</v>
      </c>
      <c r="R862" s="285"/>
      <c r="S862" s="14"/>
      <c r="T862" s="285"/>
    </row>
    <row r="863" spans="1:20" ht="61.5" customHeight="1" x14ac:dyDescent="0.2">
      <c r="A863" s="289">
        <v>879</v>
      </c>
      <c r="B863" s="30" t="s">
        <v>6041</v>
      </c>
      <c r="C863" s="289"/>
      <c r="D863" s="9" t="s">
        <v>2306</v>
      </c>
      <c r="E863" s="285"/>
      <c r="F863" s="13" t="s">
        <v>4571</v>
      </c>
      <c r="G863" s="285" t="s">
        <v>4946</v>
      </c>
      <c r="H863" s="49" t="s">
        <v>5127</v>
      </c>
      <c r="I863" s="18"/>
      <c r="J863" s="285"/>
      <c r="K863" s="289"/>
      <c r="L863" s="12"/>
      <c r="M863" s="15"/>
      <c r="N863" s="24">
        <v>1</v>
      </c>
      <c r="O863" s="17">
        <v>9500</v>
      </c>
      <c r="P863" s="17">
        <v>9500</v>
      </c>
      <c r="Q863" s="17">
        <f t="shared" si="22"/>
        <v>0</v>
      </c>
      <c r="R863" s="285"/>
      <c r="S863" s="14"/>
      <c r="T863" s="285"/>
    </row>
    <row r="864" spans="1:20" ht="62.25" customHeight="1" x14ac:dyDescent="0.2">
      <c r="A864" s="289">
        <v>880</v>
      </c>
      <c r="B864" s="30" t="s">
        <v>1469</v>
      </c>
      <c r="C864" s="289"/>
      <c r="D864" s="9" t="s">
        <v>2501</v>
      </c>
      <c r="E864" s="285"/>
      <c r="F864" s="13" t="s">
        <v>3829</v>
      </c>
      <c r="G864" s="285" t="s">
        <v>4946</v>
      </c>
      <c r="H864" s="49" t="s">
        <v>5127</v>
      </c>
      <c r="I864" s="18"/>
      <c r="J864" s="285"/>
      <c r="K864" s="289"/>
      <c r="L864" s="12"/>
      <c r="M864" s="15"/>
      <c r="N864" s="24">
        <v>1</v>
      </c>
      <c r="O864" s="17">
        <v>6000</v>
      </c>
      <c r="P864" s="17">
        <v>6000</v>
      </c>
      <c r="Q864" s="17">
        <f t="shared" si="22"/>
        <v>0</v>
      </c>
      <c r="R864" s="285"/>
      <c r="S864" s="14"/>
      <c r="T864" s="285"/>
    </row>
    <row r="865" spans="1:20" ht="62.25" customHeight="1" x14ac:dyDescent="0.2">
      <c r="A865" s="289">
        <v>881</v>
      </c>
      <c r="B865" s="30" t="s">
        <v>1470</v>
      </c>
      <c r="C865" s="289" t="s">
        <v>5274</v>
      </c>
      <c r="D865" s="9" t="s">
        <v>4370</v>
      </c>
      <c r="E865" s="285"/>
      <c r="F865" s="13" t="s">
        <v>4655</v>
      </c>
      <c r="G865" s="285" t="s">
        <v>4946</v>
      </c>
      <c r="H865" s="49" t="s">
        <v>5127</v>
      </c>
      <c r="I865" s="18"/>
      <c r="J865" s="285"/>
      <c r="K865" s="289"/>
      <c r="L865" s="12"/>
      <c r="M865" s="15"/>
      <c r="N865" s="24">
        <v>2</v>
      </c>
      <c r="O865" s="17">
        <v>6400.8</v>
      </c>
      <c r="P865" s="17">
        <v>6400.8</v>
      </c>
      <c r="Q865" s="17">
        <f t="shared" si="22"/>
        <v>0</v>
      </c>
      <c r="R865" s="285"/>
      <c r="S865" s="14"/>
      <c r="T865" s="285"/>
    </row>
    <row r="866" spans="1:20" ht="62.25" customHeight="1" x14ac:dyDescent="0.2">
      <c r="A866" s="289">
        <v>882</v>
      </c>
      <c r="B866" s="30" t="s">
        <v>1471</v>
      </c>
      <c r="C866" s="289"/>
      <c r="D866" s="9" t="s">
        <v>3727</v>
      </c>
      <c r="E866" s="285"/>
      <c r="F866" s="13" t="s">
        <v>2967</v>
      </c>
      <c r="G866" s="285" t="s">
        <v>4946</v>
      </c>
      <c r="H866" s="49" t="s">
        <v>5127</v>
      </c>
      <c r="I866" s="18"/>
      <c r="J866" s="285"/>
      <c r="K866" s="289"/>
      <c r="L866" s="12"/>
      <c r="M866" s="15"/>
      <c r="N866" s="24">
        <v>1</v>
      </c>
      <c r="O866" s="17">
        <v>3160</v>
      </c>
      <c r="P866" s="17">
        <v>3160</v>
      </c>
      <c r="Q866" s="17">
        <f t="shared" si="22"/>
        <v>0</v>
      </c>
      <c r="R866" s="285"/>
      <c r="S866" s="14"/>
      <c r="T866" s="285"/>
    </row>
    <row r="867" spans="1:20" ht="56.25" customHeight="1" x14ac:dyDescent="0.2">
      <c r="A867" s="289">
        <v>883</v>
      </c>
      <c r="B867" s="30" t="s">
        <v>1472</v>
      </c>
      <c r="C867" s="289"/>
      <c r="D867" s="9" t="s">
        <v>6030</v>
      </c>
      <c r="E867" s="285"/>
      <c r="F867" s="13" t="s">
        <v>4656</v>
      </c>
      <c r="G867" s="285" t="s">
        <v>4946</v>
      </c>
      <c r="H867" s="49" t="s">
        <v>5127</v>
      </c>
      <c r="I867" s="18"/>
      <c r="J867" s="285"/>
      <c r="K867" s="289"/>
      <c r="L867" s="12"/>
      <c r="M867" s="15"/>
      <c r="N867" s="24">
        <v>1</v>
      </c>
      <c r="O867" s="17">
        <v>3405.78</v>
      </c>
      <c r="P867" s="17">
        <v>3405.78</v>
      </c>
      <c r="Q867" s="17">
        <f t="shared" si="22"/>
        <v>0</v>
      </c>
      <c r="R867" s="285"/>
      <c r="S867" s="14"/>
      <c r="T867" s="285"/>
    </row>
    <row r="868" spans="1:20" ht="56.25" customHeight="1" x14ac:dyDescent="0.2">
      <c r="A868" s="289">
        <v>884</v>
      </c>
      <c r="B868" s="30" t="s">
        <v>1473</v>
      </c>
      <c r="C868" s="289"/>
      <c r="D868" s="9" t="s">
        <v>3728</v>
      </c>
      <c r="E868" s="285"/>
      <c r="F868" s="13" t="s">
        <v>5189</v>
      </c>
      <c r="G868" s="285" t="s">
        <v>4946</v>
      </c>
      <c r="H868" s="49" t="s">
        <v>5127</v>
      </c>
      <c r="I868" s="18"/>
      <c r="J868" s="285"/>
      <c r="K868" s="289"/>
      <c r="L868" s="12"/>
      <c r="M868" s="15"/>
      <c r="N868" s="24">
        <v>1</v>
      </c>
      <c r="O868" s="17">
        <v>7136</v>
      </c>
      <c r="P868" s="17">
        <v>7136</v>
      </c>
      <c r="Q868" s="17">
        <f t="shared" si="22"/>
        <v>0</v>
      </c>
      <c r="R868" s="285"/>
      <c r="S868" s="14"/>
      <c r="T868" s="285"/>
    </row>
    <row r="869" spans="1:20" ht="56.25" customHeight="1" x14ac:dyDescent="0.2">
      <c r="A869" s="289">
        <v>885</v>
      </c>
      <c r="B869" s="30" t="s">
        <v>4488</v>
      </c>
      <c r="C869" s="289"/>
      <c r="D869" s="9" t="s">
        <v>4849</v>
      </c>
      <c r="E869" s="285"/>
      <c r="F869" s="13" t="s">
        <v>2449</v>
      </c>
      <c r="G869" s="285" t="s">
        <v>4946</v>
      </c>
      <c r="H869" s="49" t="s">
        <v>5127</v>
      </c>
      <c r="I869" s="18"/>
      <c r="J869" s="285"/>
      <c r="K869" s="289"/>
      <c r="L869" s="12"/>
      <c r="M869" s="15"/>
      <c r="N869" s="24">
        <v>1</v>
      </c>
      <c r="O869" s="17">
        <v>5518</v>
      </c>
      <c r="P869" s="17">
        <v>5518</v>
      </c>
      <c r="Q869" s="17">
        <f t="shared" si="22"/>
        <v>0</v>
      </c>
      <c r="R869" s="285"/>
      <c r="S869" s="14"/>
      <c r="T869" s="285"/>
    </row>
    <row r="870" spans="1:20" ht="57" customHeight="1" x14ac:dyDescent="0.2">
      <c r="A870" s="289">
        <v>886</v>
      </c>
      <c r="B870" s="30" t="s">
        <v>4489</v>
      </c>
      <c r="C870" s="289"/>
      <c r="D870" s="46" t="s">
        <v>3817</v>
      </c>
      <c r="E870" s="285"/>
      <c r="F870" s="47" t="s">
        <v>6057</v>
      </c>
      <c r="G870" s="285" t="s">
        <v>4946</v>
      </c>
      <c r="H870" s="49" t="s">
        <v>5127</v>
      </c>
      <c r="I870" s="18"/>
      <c r="J870" s="285"/>
      <c r="K870" s="289"/>
      <c r="L870" s="12"/>
      <c r="M870" s="15"/>
      <c r="N870" s="52">
        <v>1</v>
      </c>
      <c r="O870" s="48">
        <v>3996</v>
      </c>
      <c r="P870" s="48">
        <v>3996</v>
      </c>
      <c r="Q870" s="17">
        <f t="shared" si="22"/>
        <v>0</v>
      </c>
      <c r="R870" s="285"/>
      <c r="S870" s="14"/>
      <c r="T870" s="285"/>
    </row>
    <row r="871" spans="1:20" ht="57" customHeight="1" x14ac:dyDescent="0.2">
      <c r="A871" s="289">
        <v>887</v>
      </c>
      <c r="B871" s="30" t="s">
        <v>4490</v>
      </c>
      <c r="C871" s="289"/>
      <c r="D871" s="9" t="s">
        <v>3729</v>
      </c>
      <c r="E871" s="285"/>
      <c r="F871" s="13" t="s">
        <v>6274</v>
      </c>
      <c r="G871" s="285" t="s">
        <v>4946</v>
      </c>
      <c r="H871" s="49" t="s">
        <v>5127</v>
      </c>
      <c r="I871" s="18"/>
      <c r="J871" s="285"/>
      <c r="K871" s="289"/>
      <c r="L871" s="12"/>
      <c r="M871" s="15"/>
      <c r="N871" s="24">
        <v>2</v>
      </c>
      <c r="O871" s="17">
        <v>10000</v>
      </c>
      <c r="P871" s="17">
        <v>10000</v>
      </c>
      <c r="Q871" s="17">
        <f t="shared" si="22"/>
        <v>0</v>
      </c>
      <c r="R871" s="285"/>
      <c r="S871" s="14"/>
      <c r="T871" s="285"/>
    </row>
    <row r="872" spans="1:20" ht="57" customHeight="1" x14ac:dyDescent="0.2">
      <c r="A872" s="289">
        <v>888</v>
      </c>
      <c r="B872" s="30" t="s">
        <v>4491</v>
      </c>
      <c r="C872" s="289"/>
      <c r="D872" s="9" t="s">
        <v>2500</v>
      </c>
      <c r="E872" s="285"/>
      <c r="F872" s="13" t="s">
        <v>6763</v>
      </c>
      <c r="G872" s="285" t="s">
        <v>4946</v>
      </c>
      <c r="H872" s="49" t="s">
        <v>5127</v>
      </c>
      <c r="I872" s="18"/>
      <c r="J872" s="285"/>
      <c r="K872" s="289"/>
      <c r="L872" s="12"/>
      <c r="M872" s="15"/>
      <c r="N872" s="24">
        <v>3</v>
      </c>
      <c r="O872" s="17">
        <v>16590</v>
      </c>
      <c r="P872" s="17">
        <v>16590</v>
      </c>
      <c r="Q872" s="17">
        <f t="shared" si="22"/>
        <v>0</v>
      </c>
      <c r="R872" s="285"/>
      <c r="S872" s="14"/>
      <c r="T872" s="285"/>
    </row>
    <row r="873" spans="1:20" ht="57.75" customHeight="1" x14ac:dyDescent="0.2">
      <c r="A873" s="289">
        <v>889</v>
      </c>
      <c r="B873" s="30" t="s">
        <v>4492</v>
      </c>
      <c r="C873" s="289"/>
      <c r="D873" s="9" t="s">
        <v>5374</v>
      </c>
      <c r="E873" s="285"/>
      <c r="F873" s="13" t="s">
        <v>1014</v>
      </c>
      <c r="G873" s="285" t="s">
        <v>4946</v>
      </c>
      <c r="H873" s="49" t="s">
        <v>5127</v>
      </c>
      <c r="I873" s="18"/>
      <c r="J873" s="285"/>
      <c r="K873" s="289"/>
      <c r="L873" s="12"/>
      <c r="M873" s="15"/>
      <c r="N873" s="24">
        <v>1</v>
      </c>
      <c r="O873" s="17">
        <v>4128</v>
      </c>
      <c r="P873" s="17">
        <v>4128</v>
      </c>
      <c r="Q873" s="17">
        <f t="shared" si="22"/>
        <v>0</v>
      </c>
      <c r="R873" s="285"/>
      <c r="S873" s="14"/>
      <c r="T873" s="285"/>
    </row>
    <row r="874" spans="1:20" ht="57.75" customHeight="1" x14ac:dyDescent="0.2">
      <c r="A874" s="289">
        <v>890</v>
      </c>
      <c r="B874" s="30" t="s">
        <v>4493</v>
      </c>
      <c r="C874" s="289"/>
      <c r="D874" s="9" t="s">
        <v>2323</v>
      </c>
      <c r="E874" s="285"/>
      <c r="F874" s="13" t="s">
        <v>2324</v>
      </c>
      <c r="G874" s="285" t="s">
        <v>4946</v>
      </c>
      <c r="H874" s="49" t="s">
        <v>5127</v>
      </c>
      <c r="I874" s="18"/>
      <c r="J874" s="285"/>
      <c r="K874" s="289"/>
      <c r="L874" s="12"/>
      <c r="M874" s="15"/>
      <c r="N874" s="24">
        <v>1</v>
      </c>
      <c r="O874" s="17">
        <v>5000</v>
      </c>
      <c r="P874" s="17">
        <v>5000</v>
      </c>
      <c r="Q874" s="17">
        <f t="shared" si="22"/>
        <v>0</v>
      </c>
      <c r="R874" s="285"/>
      <c r="S874" s="14"/>
      <c r="T874" s="285"/>
    </row>
    <row r="875" spans="1:20" ht="57.75" customHeight="1" x14ac:dyDescent="0.2">
      <c r="A875" s="289">
        <v>891</v>
      </c>
      <c r="B875" s="30" t="s">
        <v>4494</v>
      </c>
      <c r="C875" s="289"/>
      <c r="D875" s="9" t="s">
        <v>2499</v>
      </c>
      <c r="E875" s="285"/>
      <c r="F875" s="13" t="s">
        <v>4263</v>
      </c>
      <c r="G875" s="285" t="s">
        <v>4946</v>
      </c>
      <c r="H875" s="49" t="s">
        <v>5127</v>
      </c>
      <c r="I875" s="18"/>
      <c r="J875" s="285"/>
      <c r="K875" s="289"/>
      <c r="L875" s="12"/>
      <c r="M875" s="15"/>
      <c r="N875" s="24">
        <v>2</v>
      </c>
      <c r="O875" s="17">
        <v>18200</v>
      </c>
      <c r="P875" s="17">
        <v>18200</v>
      </c>
      <c r="Q875" s="17">
        <f t="shared" si="22"/>
        <v>0</v>
      </c>
      <c r="R875" s="285"/>
      <c r="S875" s="14"/>
      <c r="T875" s="285"/>
    </row>
    <row r="876" spans="1:20" ht="57.75" customHeight="1" x14ac:dyDescent="0.2">
      <c r="A876" s="289">
        <v>892</v>
      </c>
      <c r="B876" s="30" t="s">
        <v>4495</v>
      </c>
      <c r="C876" s="289"/>
      <c r="D876" s="46" t="s">
        <v>988</v>
      </c>
      <c r="E876" s="285"/>
      <c r="F876" s="47" t="s">
        <v>989</v>
      </c>
      <c r="G876" s="285" t="s">
        <v>4946</v>
      </c>
      <c r="H876" s="49" t="s">
        <v>5127</v>
      </c>
      <c r="I876" s="18"/>
      <c r="J876" s="285"/>
      <c r="K876" s="289"/>
      <c r="L876" s="12"/>
      <c r="M876" s="15"/>
      <c r="N876" s="162">
        <v>1</v>
      </c>
      <c r="O876" s="163">
        <v>9610</v>
      </c>
      <c r="P876" s="163">
        <v>9610</v>
      </c>
      <c r="Q876" s="17">
        <f t="shared" si="22"/>
        <v>0</v>
      </c>
      <c r="R876" s="285"/>
      <c r="S876" s="14"/>
      <c r="T876" s="285"/>
    </row>
    <row r="877" spans="1:20" ht="57.75" customHeight="1" x14ac:dyDescent="0.2">
      <c r="A877" s="289">
        <v>893</v>
      </c>
      <c r="B877" s="30" t="s">
        <v>4496</v>
      </c>
      <c r="C877" s="289"/>
      <c r="D877" s="9" t="s">
        <v>6764</v>
      </c>
      <c r="E877" s="285"/>
      <c r="F877" s="13" t="s">
        <v>6765</v>
      </c>
      <c r="G877" s="285" t="s">
        <v>4946</v>
      </c>
      <c r="H877" s="49" t="s">
        <v>5127</v>
      </c>
      <c r="I877" s="18"/>
      <c r="J877" s="285"/>
      <c r="K877" s="289"/>
      <c r="L877" s="12"/>
      <c r="M877" s="15"/>
      <c r="N877" s="24">
        <v>1</v>
      </c>
      <c r="O877" s="17">
        <v>4550</v>
      </c>
      <c r="P877" s="17">
        <v>4550</v>
      </c>
      <c r="Q877" s="17">
        <f t="shared" si="22"/>
        <v>0</v>
      </c>
      <c r="R877" s="285"/>
      <c r="S877" s="14"/>
      <c r="T877" s="285"/>
    </row>
    <row r="878" spans="1:20" ht="62.25" customHeight="1" x14ac:dyDescent="0.2">
      <c r="A878" s="289">
        <v>894</v>
      </c>
      <c r="B878" s="30" t="s">
        <v>4497</v>
      </c>
      <c r="C878" s="289"/>
      <c r="D878" s="9" t="s">
        <v>990</v>
      </c>
      <c r="E878" s="285"/>
      <c r="F878" s="13" t="s">
        <v>6766</v>
      </c>
      <c r="G878" s="285" t="s">
        <v>4946</v>
      </c>
      <c r="H878" s="49" t="s">
        <v>5127</v>
      </c>
      <c r="I878" s="18"/>
      <c r="J878" s="285" t="s">
        <v>9408</v>
      </c>
      <c r="K878" s="289">
        <v>2011</v>
      </c>
      <c r="L878" s="12" t="s">
        <v>1029</v>
      </c>
      <c r="M878" s="15"/>
      <c r="N878" s="24">
        <v>1</v>
      </c>
      <c r="O878" s="17">
        <v>3600</v>
      </c>
      <c r="P878" s="17">
        <v>3600</v>
      </c>
      <c r="Q878" s="17">
        <f t="shared" si="22"/>
        <v>0</v>
      </c>
      <c r="R878" s="285" t="s">
        <v>5071</v>
      </c>
      <c r="S878" s="14">
        <v>40703</v>
      </c>
      <c r="T878" s="285">
        <v>69</v>
      </c>
    </row>
    <row r="879" spans="1:20" ht="62.25" customHeight="1" x14ac:dyDescent="0.2">
      <c r="A879" s="289">
        <v>895</v>
      </c>
      <c r="B879" s="30" t="s">
        <v>4498</v>
      </c>
      <c r="C879" s="289"/>
      <c r="D879" s="9" t="s">
        <v>4510</v>
      </c>
      <c r="E879" s="285"/>
      <c r="F879" s="13" t="s">
        <v>5021</v>
      </c>
      <c r="G879" s="285" t="s">
        <v>4946</v>
      </c>
      <c r="H879" s="49" t="s">
        <v>5127</v>
      </c>
      <c r="I879" s="18"/>
      <c r="J879" s="285"/>
      <c r="K879" s="289"/>
      <c r="L879" s="12"/>
      <c r="M879" s="15"/>
      <c r="N879" s="24">
        <v>1</v>
      </c>
      <c r="O879" s="17">
        <v>7780</v>
      </c>
      <c r="P879" s="17">
        <v>7780</v>
      </c>
      <c r="Q879" s="17">
        <f t="shared" si="22"/>
        <v>0</v>
      </c>
      <c r="R879" s="285"/>
      <c r="S879" s="14"/>
      <c r="T879" s="285"/>
    </row>
    <row r="880" spans="1:20" ht="62.25" customHeight="1" x14ac:dyDescent="0.2">
      <c r="A880" s="289">
        <v>896</v>
      </c>
      <c r="B880" s="30" t="s">
        <v>4499</v>
      </c>
      <c r="C880" s="289"/>
      <c r="D880" s="9" t="s">
        <v>4511</v>
      </c>
      <c r="E880" s="285"/>
      <c r="F880" s="13" t="s">
        <v>4376</v>
      </c>
      <c r="G880" s="285" t="s">
        <v>4946</v>
      </c>
      <c r="H880" s="49" t="s">
        <v>5127</v>
      </c>
      <c r="I880" s="18"/>
      <c r="J880" s="285"/>
      <c r="K880" s="289"/>
      <c r="L880" s="12"/>
      <c r="M880" s="15"/>
      <c r="N880" s="24">
        <v>1</v>
      </c>
      <c r="O880" s="17">
        <v>7000</v>
      </c>
      <c r="P880" s="17">
        <v>7000</v>
      </c>
      <c r="Q880" s="17">
        <f t="shared" si="22"/>
        <v>0</v>
      </c>
      <c r="R880" s="285"/>
      <c r="S880" s="14"/>
      <c r="T880" s="285"/>
    </row>
    <row r="881" spans="1:20" ht="66" customHeight="1" x14ac:dyDescent="0.2">
      <c r="A881" s="289">
        <v>897</v>
      </c>
      <c r="B881" s="30" t="s">
        <v>4500</v>
      </c>
      <c r="C881" s="289"/>
      <c r="D881" s="9" t="s">
        <v>4512</v>
      </c>
      <c r="E881" s="285"/>
      <c r="F881" s="13" t="s">
        <v>2456</v>
      </c>
      <c r="G881" s="285" t="s">
        <v>4946</v>
      </c>
      <c r="H881" s="49" t="s">
        <v>5127</v>
      </c>
      <c r="I881" s="18"/>
      <c r="J881" s="285"/>
      <c r="K881" s="289"/>
      <c r="L881" s="12"/>
      <c r="M881" s="15"/>
      <c r="N881" s="24">
        <v>1</v>
      </c>
      <c r="O881" s="17">
        <v>7000</v>
      </c>
      <c r="P881" s="17">
        <v>7000</v>
      </c>
      <c r="Q881" s="17">
        <f t="shared" si="22"/>
        <v>0</v>
      </c>
      <c r="R881" s="285"/>
      <c r="S881" s="14"/>
      <c r="T881" s="285"/>
    </row>
    <row r="882" spans="1:20" ht="66" customHeight="1" x14ac:dyDescent="0.2">
      <c r="A882" s="289">
        <v>898</v>
      </c>
      <c r="B882" s="30" t="s">
        <v>1093</v>
      </c>
      <c r="C882" s="289"/>
      <c r="D882" s="46" t="s">
        <v>4757</v>
      </c>
      <c r="E882" s="285"/>
      <c r="F882" s="47" t="s">
        <v>6767</v>
      </c>
      <c r="G882" s="285" t="s">
        <v>4946</v>
      </c>
      <c r="H882" s="49" t="s">
        <v>5127</v>
      </c>
      <c r="I882" s="18"/>
      <c r="J882" s="285"/>
      <c r="K882" s="289"/>
      <c r="L882" s="12"/>
      <c r="M882" s="15"/>
      <c r="N882" s="52">
        <v>1</v>
      </c>
      <c r="O882" s="48">
        <v>5964</v>
      </c>
      <c r="P882" s="48">
        <v>5964</v>
      </c>
      <c r="Q882" s="17">
        <f t="shared" si="22"/>
        <v>0</v>
      </c>
      <c r="R882" s="285"/>
      <c r="S882" s="14"/>
      <c r="T882" s="285"/>
    </row>
    <row r="883" spans="1:20" ht="61.5" customHeight="1" x14ac:dyDescent="0.2">
      <c r="A883" s="289">
        <v>899</v>
      </c>
      <c r="B883" s="30" t="s">
        <v>1721</v>
      </c>
      <c r="C883" s="289"/>
      <c r="D883" s="9" t="s">
        <v>2659</v>
      </c>
      <c r="E883" s="285"/>
      <c r="F883" s="13" t="s">
        <v>6623</v>
      </c>
      <c r="G883" s="285" t="s">
        <v>2074</v>
      </c>
      <c r="H883" s="285" t="s">
        <v>5127</v>
      </c>
      <c r="I883" s="18"/>
      <c r="J883" s="285" t="s">
        <v>3136</v>
      </c>
      <c r="K883" s="15">
        <v>39444</v>
      </c>
      <c r="L883" s="12" t="s">
        <v>9409</v>
      </c>
      <c r="M883" s="15">
        <v>39444</v>
      </c>
      <c r="N883" s="24">
        <v>1</v>
      </c>
      <c r="O883" s="17">
        <v>8946.76</v>
      </c>
      <c r="P883" s="17">
        <v>8946.76</v>
      </c>
      <c r="Q883" s="17">
        <f t="shared" si="22"/>
        <v>0</v>
      </c>
      <c r="R883" s="285"/>
      <c r="S883" s="14"/>
      <c r="T883" s="285"/>
    </row>
    <row r="884" spans="1:20" ht="61.5" customHeight="1" x14ac:dyDescent="0.2">
      <c r="A884" s="289">
        <v>900</v>
      </c>
      <c r="B884" s="30" t="s">
        <v>3071</v>
      </c>
      <c r="C884" s="289"/>
      <c r="D884" s="9" t="s">
        <v>2658</v>
      </c>
      <c r="E884" s="285"/>
      <c r="F884" s="13" t="s">
        <v>6624</v>
      </c>
      <c r="G884" s="285" t="s">
        <v>2074</v>
      </c>
      <c r="H884" s="285" t="s">
        <v>5127</v>
      </c>
      <c r="I884" s="18"/>
      <c r="J884" s="285" t="s">
        <v>3136</v>
      </c>
      <c r="K884" s="15">
        <v>39444</v>
      </c>
      <c r="L884" s="12" t="s">
        <v>9409</v>
      </c>
      <c r="M884" s="15">
        <v>39444</v>
      </c>
      <c r="N884" s="24">
        <v>1</v>
      </c>
      <c r="O884" s="17">
        <v>3157.68</v>
      </c>
      <c r="P884" s="17">
        <v>3157.68</v>
      </c>
      <c r="Q884" s="17">
        <f t="shared" si="22"/>
        <v>0</v>
      </c>
      <c r="R884" s="285"/>
      <c r="S884" s="14"/>
      <c r="T884" s="285"/>
    </row>
    <row r="885" spans="1:20" ht="61.5" customHeight="1" x14ac:dyDescent="0.2">
      <c r="A885" s="289">
        <v>901</v>
      </c>
      <c r="B885" s="30" t="s">
        <v>3928</v>
      </c>
      <c r="C885" s="289"/>
      <c r="D885" s="9" t="s">
        <v>2657</v>
      </c>
      <c r="E885" s="285"/>
      <c r="F885" s="13" t="s">
        <v>6625</v>
      </c>
      <c r="G885" s="285" t="s">
        <v>2074</v>
      </c>
      <c r="H885" s="285" t="s">
        <v>5127</v>
      </c>
      <c r="I885" s="18"/>
      <c r="J885" s="285" t="s">
        <v>3136</v>
      </c>
      <c r="K885" s="15">
        <v>39444</v>
      </c>
      <c r="L885" s="12" t="s">
        <v>9409</v>
      </c>
      <c r="M885" s="15">
        <v>39444</v>
      </c>
      <c r="N885" s="24">
        <v>1</v>
      </c>
      <c r="O885" s="17">
        <v>4473.38</v>
      </c>
      <c r="P885" s="17">
        <v>4473.38</v>
      </c>
      <c r="Q885" s="17">
        <f t="shared" si="22"/>
        <v>0</v>
      </c>
      <c r="R885" s="285"/>
      <c r="S885" s="14"/>
      <c r="T885" s="285"/>
    </row>
    <row r="886" spans="1:20" ht="61.5" customHeight="1" x14ac:dyDescent="0.2">
      <c r="A886" s="289">
        <v>902</v>
      </c>
      <c r="B886" s="30" t="s">
        <v>3929</v>
      </c>
      <c r="C886" s="289"/>
      <c r="D886" s="9" t="s">
        <v>2656</v>
      </c>
      <c r="E886" s="285"/>
      <c r="F886" s="13" t="s">
        <v>6626</v>
      </c>
      <c r="G886" s="285" t="s">
        <v>2074</v>
      </c>
      <c r="H886" s="285" t="s">
        <v>5127</v>
      </c>
      <c r="I886" s="18"/>
      <c r="J886" s="285" t="s">
        <v>3136</v>
      </c>
      <c r="K886" s="15">
        <v>39444</v>
      </c>
      <c r="L886" s="12" t="s">
        <v>9409</v>
      </c>
      <c r="M886" s="15">
        <v>39444</v>
      </c>
      <c r="N886" s="24">
        <v>1</v>
      </c>
      <c r="O886" s="17">
        <v>3026.7</v>
      </c>
      <c r="P886" s="17">
        <v>3026.7</v>
      </c>
      <c r="Q886" s="17">
        <f t="shared" si="22"/>
        <v>0</v>
      </c>
      <c r="R886" s="285"/>
      <c r="S886" s="14"/>
      <c r="T886" s="285"/>
    </row>
    <row r="887" spans="1:20" ht="61.5" customHeight="1" x14ac:dyDescent="0.2">
      <c r="A887" s="289">
        <v>903</v>
      </c>
      <c r="B887" s="30" t="s">
        <v>3930</v>
      </c>
      <c r="C887" s="289"/>
      <c r="D887" s="9" t="s">
        <v>3886</v>
      </c>
      <c r="E887" s="285"/>
      <c r="F887" s="13" t="s">
        <v>6627</v>
      </c>
      <c r="G887" s="285" t="s">
        <v>2074</v>
      </c>
      <c r="H887" s="285" t="s">
        <v>5127</v>
      </c>
      <c r="I887" s="18"/>
      <c r="J887" s="285" t="s">
        <v>3136</v>
      </c>
      <c r="K887" s="15">
        <v>39444</v>
      </c>
      <c r="L887" s="12" t="s">
        <v>9409</v>
      </c>
      <c r="M887" s="15">
        <v>39444</v>
      </c>
      <c r="N887" s="24">
        <v>1</v>
      </c>
      <c r="O887" s="17">
        <v>7050</v>
      </c>
      <c r="P887" s="17">
        <v>7050</v>
      </c>
      <c r="Q887" s="17">
        <f t="shared" si="22"/>
        <v>0</v>
      </c>
      <c r="R887" s="285"/>
      <c r="S887" s="14"/>
      <c r="T887" s="285"/>
    </row>
    <row r="888" spans="1:20" ht="61.5" customHeight="1" x14ac:dyDescent="0.2">
      <c r="A888" s="289">
        <v>904</v>
      </c>
      <c r="B888" s="30" t="s">
        <v>3931</v>
      </c>
      <c r="C888" s="289"/>
      <c r="D888" s="46" t="s">
        <v>5144</v>
      </c>
      <c r="E888" s="285"/>
      <c r="F888" s="13" t="s">
        <v>6628</v>
      </c>
      <c r="G888" s="285" t="s">
        <v>2074</v>
      </c>
      <c r="H888" s="285" t="s">
        <v>5127</v>
      </c>
      <c r="I888" s="18"/>
      <c r="J888" s="285" t="s">
        <v>3136</v>
      </c>
      <c r="K888" s="15">
        <v>39444</v>
      </c>
      <c r="L888" s="12" t="s">
        <v>9409</v>
      </c>
      <c r="M888" s="15">
        <v>39444</v>
      </c>
      <c r="N888" s="52">
        <v>2</v>
      </c>
      <c r="O888" s="48">
        <v>13720</v>
      </c>
      <c r="P888" s="48">
        <v>13720</v>
      </c>
      <c r="Q888" s="17">
        <f t="shared" si="22"/>
        <v>0</v>
      </c>
      <c r="R888" s="285"/>
      <c r="S888" s="14"/>
      <c r="T888" s="285"/>
    </row>
    <row r="889" spans="1:20" ht="38.25" customHeight="1" x14ac:dyDescent="0.2">
      <c r="A889" s="289">
        <v>905</v>
      </c>
      <c r="B889" s="289" t="s">
        <v>684</v>
      </c>
      <c r="C889" s="289"/>
      <c r="D889" s="9" t="s">
        <v>3345</v>
      </c>
      <c r="E889" s="285"/>
      <c r="F889" s="13" t="s">
        <v>3346</v>
      </c>
      <c r="G889" s="56" t="s">
        <v>101</v>
      </c>
      <c r="H889" s="285" t="s">
        <v>5127</v>
      </c>
      <c r="I889" s="18"/>
      <c r="J889" s="285" t="s">
        <v>3136</v>
      </c>
      <c r="K889" s="15">
        <v>42118</v>
      </c>
      <c r="L889" s="12" t="s">
        <v>5342</v>
      </c>
      <c r="M889" s="15">
        <v>42101</v>
      </c>
      <c r="N889" s="24">
        <v>1</v>
      </c>
      <c r="O889" s="17">
        <v>7900</v>
      </c>
      <c r="P889" s="17">
        <v>7900</v>
      </c>
      <c r="Q889" s="17">
        <f t="shared" si="22"/>
        <v>0</v>
      </c>
      <c r="R889" s="285" t="s">
        <v>3418</v>
      </c>
      <c r="S889" s="14">
        <v>42101</v>
      </c>
      <c r="T889" s="285">
        <v>3120152055</v>
      </c>
    </row>
    <row r="890" spans="1:20" ht="55.5" customHeight="1" x14ac:dyDescent="0.2">
      <c r="A890" s="289">
        <v>906</v>
      </c>
      <c r="B890" s="30" t="s">
        <v>685</v>
      </c>
      <c r="C890" s="289"/>
      <c r="D890" s="9" t="s">
        <v>4767</v>
      </c>
      <c r="E890" s="285"/>
      <c r="F890" s="13" t="s">
        <v>4768</v>
      </c>
      <c r="G890" s="56" t="s">
        <v>101</v>
      </c>
      <c r="H890" s="285" t="s">
        <v>5127</v>
      </c>
      <c r="I890" s="18"/>
      <c r="J890" s="285" t="s">
        <v>3136</v>
      </c>
      <c r="K890" s="15">
        <v>42118</v>
      </c>
      <c r="L890" s="12" t="s">
        <v>5342</v>
      </c>
      <c r="M890" s="15">
        <v>42096</v>
      </c>
      <c r="N890" s="24">
        <v>1</v>
      </c>
      <c r="O890" s="17">
        <v>6100</v>
      </c>
      <c r="P890" s="17">
        <v>6100</v>
      </c>
      <c r="Q890" s="17">
        <f t="shared" si="22"/>
        <v>0</v>
      </c>
      <c r="R890" s="285" t="s">
        <v>3418</v>
      </c>
      <c r="S890" s="14">
        <v>42096</v>
      </c>
      <c r="T890" s="285">
        <v>3120152050</v>
      </c>
    </row>
    <row r="891" spans="1:20" ht="61.5" customHeight="1" x14ac:dyDescent="0.2">
      <c r="A891" s="289">
        <v>907</v>
      </c>
      <c r="B891" s="30" t="s">
        <v>4231</v>
      </c>
      <c r="C891" s="289"/>
      <c r="D891" s="9" t="s">
        <v>4262</v>
      </c>
      <c r="E891" s="285"/>
      <c r="F891" s="13" t="s">
        <v>4232</v>
      </c>
      <c r="G891" s="285" t="s">
        <v>4946</v>
      </c>
      <c r="H891" s="285" t="s">
        <v>5127</v>
      </c>
      <c r="I891" s="18"/>
      <c r="J891" s="285" t="s">
        <v>3136</v>
      </c>
      <c r="K891" s="15">
        <v>42118</v>
      </c>
      <c r="L891" s="12" t="s">
        <v>1626</v>
      </c>
      <c r="M891" s="15" t="s">
        <v>1627</v>
      </c>
      <c r="N891" s="24">
        <v>1</v>
      </c>
      <c r="O891" s="17">
        <v>8423</v>
      </c>
      <c r="P891" s="17">
        <v>8423</v>
      </c>
      <c r="Q891" s="17">
        <f t="shared" si="22"/>
        <v>0</v>
      </c>
      <c r="R891" s="285" t="s">
        <v>4233</v>
      </c>
      <c r="S891" s="14">
        <v>42076</v>
      </c>
      <c r="T891" s="285">
        <v>3320152021</v>
      </c>
    </row>
    <row r="892" spans="1:20" ht="65.25" customHeight="1" x14ac:dyDescent="0.2">
      <c r="A892" s="289">
        <v>909</v>
      </c>
      <c r="B892" s="30" t="s">
        <v>2885</v>
      </c>
      <c r="C892" s="289" t="s">
        <v>5274</v>
      </c>
      <c r="D892" s="9" t="s">
        <v>2887</v>
      </c>
      <c r="E892" s="22">
        <v>2015</v>
      </c>
      <c r="F892" s="13" t="s">
        <v>2888</v>
      </c>
      <c r="G892" s="285" t="s">
        <v>9194</v>
      </c>
      <c r="H892" s="285" t="s">
        <v>5127</v>
      </c>
      <c r="I892" s="18"/>
      <c r="J892" s="285" t="s">
        <v>3136</v>
      </c>
      <c r="K892" s="15">
        <v>42138</v>
      </c>
      <c r="L892" s="12" t="s">
        <v>2317</v>
      </c>
      <c r="M892" s="15">
        <v>42121</v>
      </c>
      <c r="N892" s="24">
        <v>1</v>
      </c>
      <c r="O892" s="17">
        <v>57520</v>
      </c>
      <c r="P892" s="17">
        <v>57520</v>
      </c>
      <c r="Q892" s="17">
        <f t="shared" si="22"/>
        <v>0</v>
      </c>
      <c r="R892" s="285" t="s">
        <v>5363</v>
      </c>
      <c r="S892" s="14">
        <v>42121</v>
      </c>
      <c r="T892" s="285" t="s">
        <v>2890</v>
      </c>
    </row>
    <row r="893" spans="1:20" ht="67.5" customHeight="1" x14ac:dyDescent="0.2">
      <c r="A893" s="289">
        <v>910</v>
      </c>
      <c r="B893" s="30" t="s">
        <v>2886</v>
      </c>
      <c r="C893" s="289" t="s">
        <v>5274</v>
      </c>
      <c r="D893" s="9" t="s">
        <v>4974</v>
      </c>
      <c r="E893" s="22">
        <v>2015</v>
      </c>
      <c r="F893" s="13" t="s">
        <v>2889</v>
      </c>
      <c r="G893" s="285" t="s">
        <v>9194</v>
      </c>
      <c r="H893" s="285" t="s">
        <v>5127</v>
      </c>
      <c r="I893" s="18"/>
      <c r="J893" s="285" t="s">
        <v>3136</v>
      </c>
      <c r="K893" s="15">
        <v>42138</v>
      </c>
      <c r="L893" s="12" t="s">
        <v>2317</v>
      </c>
      <c r="M893" s="15">
        <v>42121</v>
      </c>
      <c r="N893" s="24">
        <v>1</v>
      </c>
      <c r="O893" s="17">
        <v>11180</v>
      </c>
      <c r="P893" s="17">
        <v>11180</v>
      </c>
      <c r="Q893" s="17">
        <f t="shared" si="22"/>
        <v>0</v>
      </c>
      <c r="R893" s="285" t="s">
        <v>5363</v>
      </c>
      <c r="S893" s="14">
        <v>42121</v>
      </c>
      <c r="T893" s="285" t="s">
        <v>2890</v>
      </c>
    </row>
    <row r="894" spans="1:20" ht="84.75" customHeight="1" x14ac:dyDescent="0.2">
      <c r="A894" s="289">
        <v>911</v>
      </c>
      <c r="B894" s="30" t="s">
        <v>4533</v>
      </c>
      <c r="C894" s="289"/>
      <c r="D894" s="9" t="s">
        <v>4535</v>
      </c>
      <c r="E894" s="285">
        <v>2015</v>
      </c>
      <c r="F894" s="13" t="s">
        <v>4537</v>
      </c>
      <c r="G894" s="285" t="s">
        <v>7979</v>
      </c>
      <c r="H894" s="285" t="s">
        <v>5127</v>
      </c>
      <c r="I894" s="18"/>
      <c r="J894" s="285" t="s">
        <v>3136</v>
      </c>
      <c r="K894" s="15">
        <v>42138</v>
      </c>
      <c r="L894" s="12" t="s">
        <v>4539</v>
      </c>
      <c r="M894" s="15">
        <v>42114</v>
      </c>
      <c r="N894" s="24">
        <v>1</v>
      </c>
      <c r="O894" s="17">
        <v>12400</v>
      </c>
      <c r="P894" s="17">
        <v>12400</v>
      </c>
      <c r="Q894" s="17">
        <f t="shared" si="22"/>
        <v>0</v>
      </c>
      <c r="R894" s="285" t="s">
        <v>5345</v>
      </c>
      <c r="S894" s="14">
        <v>42114</v>
      </c>
      <c r="T894" s="285" t="s">
        <v>1029</v>
      </c>
    </row>
    <row r="895" spans="1:20" ht="84.75" customHeight="1" x14ac:dyDescent="0.2">
      <c r="A895" s="289">
        <v>912</v>
      </c>
      <c r="B895" s="30" t="s">
        <v>4534</v>
      </c>
      <c r="C895" s="289"/>
      <c r="D895" s="9" t="s">
        <v>4536</v>
      </c>
      <c r="E895" s="285">
        <v>2015</v>
      </c>
      <c r="F895" s="13" t="s">
        <v>4538</v>
      </c>
      <c r="G895" s="285" t="s">
        <v>7979</v>
      </c>
      <c r="H895" s="285" t="s">
        <v>5127</v>
      </c>
      <c r="I895" s="18"/>
      <c r="J895" s="285" t="s">
        <v>3136</v>
      </c>
      <c r="K895" s="15">
        <v>42138</v>
      </c>
      <c r="L895" s="12" t="s">
        <v>4539</v>
      </c>
      <c r="M895" s="15">
        <v>42114</v>
      </c>
      <c r="N895" s="24">
        <v>1</v>
      </c>
      <c r="O895" s="17">
        <v>7900</v>
      </c>
      <c r="P895" s="17">
        <v>7900</v>
      </c>
      <c r="Q895" s="17">
        <f t="shared" si="22"/>
        <v>0</v>
      </c>
      <c r="R895" s="285" t="s">
        <v>5345</v>
      </c>
      <c r="S895" s="14">
        <v>42109</v>
      </c>
      <c r="T895" s="285" t="s">
        <v>1029</v>
      </c>
    </row>
    <row r="896" spans="1:20" ht="61.5" customHeight="1" x14ac:dyDescent="0.2">
      <c r="A896" s="289">
        <v>913</v>
      </c>
      <c r="B896" s="289" t="s">
        <v>5287</v>
      </c>
      <c r="C896" s="289"/>
      <c r="D896" s="9" t="s">
        <v>3792</v>
      </c>
      <c r="E896" s="285">
        <v>2001</v>
      </c>
      <c r="F896" s="9" t="s">
        <v>4268</v>
      </c>
      <c r="G896" s="285" t="s">
        <v>7983</v>
      </c>
      <c r="H896" s="285" t="s">
        <v>5127</v>
      </c>
      <c r="I896" s="18"/>
      <c r="J896" s="285" t="s">
        <v>3136</v>
      </c>
      <c r="K896" s="15">
        <v>42150</v>
      </c>
      <c r="L896" s="12" t="s">
        <v>104</v>
      </c>
      <c r="M896" s="15">
        <v>37256</v>
      </c>
      <c r="N896" s="16">
        <v>1</v>
      </c>
      <c r="O896" s="40">
        <v>4176.4799999999996</v>
      </c>
      <c r="P896" s="40">
        <v>4176.4799999999996</v>
      </c>
      <c r="Q896" s="40">
        <v>0</v>
      </c>
      <c r="R896" s="289"/>
      <c r="S896" s="289"/>
      <c r="T896" s="285"/>
    </row>
    <row r="897" spans="1:20" ht="61.5" customHeight="1" x14ac:dyDescent="0.2">
      <c r="A897" s="289">
        <v>914</v>
      </c>
      <c r="B897" s="289" t="s">
        <v>2872</v>
      </c>
      <c r="C897" s="289"/>
      <c r="D897" s="9" t="s">
        <v>2873</v>
      </c>
      <c r="E897" s="285">
        <v>2013</v>
      </c>
      <c r="F897" s="9" t="s">
        <v>1564</v>
      </c>
      <c r="G897" s="285" t="s">
        <v>7983</v>
      </c>
      <c r="H897" s="285" t="s">
        <v>5127</v>
      </c>
      <c r="I897" s="18"/>
      <c r="J897" s="285" t="s">
        <v>3136</v>
      </c>
      <c r="K897" s="15">
        <v>42150</v>
      </c>
      <c r="L897" s="12" t="s">
        <v>104</v>
      </c>
      <c r="M897" s="15">
        <v>41485</v>
      </c>
      <c r="N897" s="16">
        <v>1</v>
      </c>
      <c r="O897" s="40">
        <v>6360</v>
      </c>
      <c r="P897" s="40">
        <v>6360</v>
      </c>
      <c r="Q897" s="40">
        <v>0</v>
      </c>
      <c r="R897" s="289"/>
      <c r="S897" s="289"/>
      <c r="T897" s="285"/>
    </row>
    <row r="898" spans="1:20" ht="61.5" customHeight="1" x14ac:dyDescent="0.2">
      <c r="A898" s="289">
        <v>915</v>
      </c>
      <c r="B898" s="289" t="s">
        <v>1565</v>
      </c>
      <c r="C898" s="289"/>
      <c r="D898" s="41" t="s">
        <v>1566</v>
      </c>
      <c r="E898" s="285">
        <v>2014</v>
      </c>
      <c r="F898" s="9" t="s">
        <v>1567</v>
      </c>
      <c r="G898" s="285" t="s">
        <v>7983</v>
      </c>
      <c r="H898" s="285" t="s">
        <v>5127</v>
      </c>
      <c r="I898" s="18"/>
      <c r="J898" s="285" t="s">
        <v>3136</v>
      </c>
      <c r="K898" s="15">
        <v>42150</v>
      </c>
      <c r="L898" s="12" t="s">
        <v>104</v>
      </c>
      <c r="M898" s="15">
        <v>41857</v>
      </c>
      <c r="N898" s="16">
        <v>1</v>
      </c>
      <c r="O898" s="40">
        <v>4600</v>
      </c>
      <c r="P898" s="40">
        <v>4600</v>
      </c>
      <c r="Q898" s="40">
        <v>0</v>
      </c>
      <c r="R898" s="289"/>
      <c r="S898" s="289"/>
      <c r="T898" s="285"/>
    </row>
    <row r="899" spans="1:20" ht="53.25" customHeight="1" x14ac:dyDescent="0.2">
      <c r="A899" s="289">
        <v>916</v>
      </c>
      <c r="B899" s="289" t="s">
        <v>1568</v>
      </c>
      <c r="C899" s="289"/>
      <c r="D899" s="9" t="s">
        <v>4872</v>
      </c>
      <c r="E899" s="285">
        <v>2014</v>
      </c>
      <c r="F899" s="9" t="s">
        <v>4873</v>
      </c>
      <c r="G899" s="285" t="s">
        <v>7983</v>
      </c>
      <c r="H899" s="285" t="s">
        <v>5127</v>
      </c>
      <c r="I899" s="18"/>
      <c r="J899" s="285" t="s">
        <v>3136</v>
      </c>
      <c r="K899" s="15">
        <v>42150</v>
      </c>
      <c r="L899" s="12" t="s">
        <v>104</v>
      </c>
      <c r="M899" s="15">
        <v>41857</v>
      </c>
      <c r="N899" s="16">
        <v>1</v>
      </c>
      <c r="O899" s="40">
        <v>3604</v>
      </c>
      <c r="P899" s="40">
        <v>3604</v>
      </c>
      <c r="Q899" s="40">
        <v>0</v>
      </c>
      <c r="R899" s="289"/>
      <c r="S899" s="289"/>
      <c r="T899" s="285"/>
    </row>
    <row r="900" spans="1:20" ht="53.25" customHeight="1" x14ac:dyDescent="0.2">
      <c r="A900" s="289">
        <v>917</v>
      </c>
      <c r="B900" s="289" t="s">
        <v>4874</v>
      </c>
      <c r="C900" s="289"/>
      <c r="D900" s="41" t="s">
        <v>3124</v>
      </c>
      <c r="E900" s="285">
        <v>2009</v>
      </c>
      <c r="F900" s="9" t="s">
        <v>3125</v>
      </c>
      <c r="G900" s="285" t="s">
        <v>4946</v>
      </c>
      <c r="H900" s="285" t="s">
        <v>5127</v>
      </c>
      <c r="I900" s="18"/>
      <c r="J900" s="285" t="s">
        <v>3136</v>
      </c>
      <c r="K900" s="15">
        <v>43397</v>
      </c>
      <c r="L900" s="12" t="s">
        <v>8490</v>
      </c>
      <c r="M900" s="15">
        <v>40165</v>
      </c>
      <c r="N900" s="16">
        <v>1</v>
      </c>
      <c r="O900" s="40">
        <v>13800</v>
      </c>
      <c r="P900" s="40">
        <v>13800</v>
      </c>
      <c r="Q900" s="40">
        <v>0</v>
      </c>
      <c r="R900" s="289"/>
      <c r="S900" s="289"/>
      <c r="T900" s="285"/>
    </row>
    <row r="901" spans="1:20" ht="53.25" customHeight="1" x14ac:dyDescent="0.2">
      <c r="A901" s="289">
        <v>918</v>
      </c>
      <c r="B901" s="289" t="s">
        <v>3126</v>
      </c>
      <c r="C901" s="289"/>
      <c r="D901" s="9" t="s">
        <v>3127</v>
      </c>
      <c r="E901" s="29">
        <v>2009</v>
      </c>
      <c r="F901" s="9" t="s">
        <v>4931</v>
      </c>
      <c r="G901" s="285" t="s">
        <v>7983</v>
      </c>
      <c r="H901" s="285" t="s">
        <v>5127</v>
      </c>
      <c r="I901" s="18"/>
      <c r="J901" s="285" t="s">
        <v>3136</v>
      </c>
      <c r="K901" s="15">
        <v>42150</v>
      </c>
      <c r="L901" s="12" t="s">
        <v>104</v>
      </c>
      <c r="M901" s="15">
        <v>39884</v>
      </c>
      <c r="N901" s="16">
        <v>1</v>
      </c>
      <c r="O901" s="40">
        <v>3400</v>
      </c>
      <c r="P901" s="40">
        <v>3400</v>
      </c>
      <c r="Q901" s="40">
        <v>0</v>
      </c>
      <c r="R901" s="289"/>
      <c r="S901" s="289"/>
      <c r="T901" s="285"/>
    </row>
    <row r="902" spans="1:20" ht="61.5" customHeight="1" x14ac:dyDescent="0.2">
      <c r="A902" s="289">
        <v>919</v>
      </c>
      <c r="B902" s="289" t="s">
        <v>3128</v>
      </c>
      <c r="C902" s="289"/>
      <c r="D902" s="46" t="s">
        <v>3129</v>
      </c>
      <c r="E902" s="29">
        <v>2008</v>
      </c>
      <c r="F902" s="9" t="s">
        <v>3190</v>
      </c>
      <c r="G902" s="285" t="s">
        <v>7983</v>
      </c>
      <c r="H902" s="285" t="s">
        <v>5127</v>
      </c>
      <c r="I902" s="18"/>
      <c r="J902" s="285" t="s">
        <v>3136</v>
      </c>
      <c r="K902" s="15">
        <v>42150</v>
      </c>
      <c r="L902" s="12" t="s">
        <v>104</v>
      </c>
      <c r="M902" s="15">
        <v>39603</v>
      </c>
      <c r="N902" s="16">
        <v>1</v>
      </c>
      <c r="O902" s="40">
        <v>3172</v>
      </c>
      <c r="P902" s="40">
        <v>3172</v>
      </c>
      <c r="Q902" s="40">
        <v>0</v>
      </c>
      <c r="R902" s="289"/>
      <c r="S902" s="289"/>
      <c r="T902" s="285"/>
    </row>
    <row r="903" spans="1:20" ht="61.5" customHeight="1" x14ac:dyDescent="0.2">
      <c r="A903" s="289">
        <v>920</v>
      </c>
      <c r="B903" s="289" t="s">
        <v>3191</v>
      </c>
      <c r="C903" s="289"/>
      <c r="D903" s="9" t="s">
        <v>3192</v>
      </c>
      <c r="E903" s="29">
        <v>2008</v>
      </c>
      <c r="F903" s="9" t="s">
        <v>3193</v>
      </c>
      <c r="G903" s="285" t="s">
        <v>7983</v>
      </c>
      <c r="H903" s="285" t="s">
        <v>5127</v>
      </c>
      <c r="I903" s="18"/>
      <c r="J903" s="285" t="s">
        <v>3136</v>
      </c>
      <c r="K903" s="15">
        <v>42150</v>
      </c>
      <c r="L903" s="12" t="s">
        <v>104</v>
      </c>
      <c r="M903" s="15">
        <v>39603</v>
      </c>
      <c r="N903" s="16">
        <v>1</v>
      </c>
      <c r="O903" s="62">
        <v>4880</v>
      </c>
      <c r="P903" s="62">
        <v>4880</v>
      </c>
      <c r="Q903" s="62">
        <v>0</v>
      </c>
      <c r="R903" s="289"/>
      <c r="S903" s="289"/>
      <c r="T903" s="285"/>
    </row>
    <row r="904" spans="1:20" ht="61.5" customHeight="1" x14ac:dyDescent="0.2">
      <c r="A904" s="289">
        <v>921</v>
      </c>
      <c r="B904" s="289" t="s">
        <v>3194</v>
      </c>
      <c r="C904" s="289"/>
      <c r="D904" s="9" t="s">
        <v>4572</v>
      </c>
      <c r="E904" s="29">
        <v>1996</v>
      </c>
      <c r="F904" s="9" t="s">
        <v>4573</v>
      </c>
      <c r="G904" s="285" t="s">
        <v>7983</v>
      </c>
      <c r="H904" s="285" t="s">
        <v>5127</v>
      </c>
      <c r="I904" s="18"/>
      <c r="J904" s="285" t="s">
        <v>3136</v>
      </c>
      <c r="K904" s="15">
        <v>42150</v>
      </c>
      <c r="L904" s="12" t="s">
        <v>104</v>
      </c>
      <c r="M904" s="15">
        <v>35430</v>
      </c>
      <c r="N904" s="16">
        <v>1</v>
      </c>
      <c r="O904" s="62">
        <v>3201.68</v>
      </c>
      <c r="P904" s="62">
        <v>3201.68</v>
      </c>
      <c r="Q904" s="62">
        <v>0</v>
      </c>
      <c r="R904" s="289"/>
      <c r="S904" s="289"/>
      <c r="T904" s="285"/>
    </row>
    <row r="905" spans="1:20" ht="61.5" customHeight="1" x14ac:dyDescent="0.2">
      <c r="A905" s="289">
        <v>922</v>
      </c>
      <c r="B905" s="289" t="s">
        <v>1010</v>
      </c>
      <c r="C905" s="289"/>
      <c r="D905" s="9" t="s">
        <v>1011</v>
      </c>
      <c r="E905" s="29">
        <v>2011</v>
      </c>
      <c r="F905" s="9" t="s">
        <v>1012</v>
      </c>
      <c r="G905" s="285" t="s">
        <v>7983</v>
      </c>
      <c r="H905" s="285" t="s">
        <v>5127</v>
      </c>
      <c r="I905" s="18"/>
      <c r="J905" s="285" t="s">
        <v>3136</v>
      </c>
      <c r="K905" s="15">
        <v>42150</v>
      </c>
      <c r="L905" s="12" t="s">
        <v>104</v>
      </c>
      <c r="M905" s="15">
        <v>40657</v>
      </c>
      <c r="N905" s="16">
        <v>1</v>
      </c>
      <c r="O905" s="62">
        <v>7300</v>
      </c>
      <c r="P905" s="62">
        <v>7300</v>
      </c>
      <c r="Q905" s="62">
        <v>0</v>
      </c>
      <c r="R905" s="289"/>
      <c r="S905" s="289"/>
      <c r="T905" s="285"/>
    </row>
    <row r="906" spans="1:20" ht="61.5" customHeight="1" x14ac:dyDescent="0.2">
      <c r="A906" s="289">
        <v>923</v>
      </c>
      <c r="B906" s="289" t="s">
        <v>1013</v>
      </c>
      <c r="C906" s="289"/>
      <c r="D906" s="9" t="s">
        <v>4443</v>
      </c>
      <c r="E906" s="29">
        <v>2011</v>
      </c>
      <c r="F906" s="9" t="s">
        <v>5971</v>
      </c>
      <c r="G906" s="285" t="s">
        <v>7983</v>
      </c>
      <c r="H906" s="285" t="s">
        <v>5127</v>
      </c>
      <c r="I906" s="18"/>
      <c r="J906" s="285" t="s">
        <v>3136</v>
      </c>
      <c r="K906" s="15">
        <v>42150</v>
      </c>
      <c r="L906" s="12" t="s">
        <v>104</v>
      </c>
      <c r="M906" s="15">
        <v>40879</v>
      </c>
      <c r="N906" s="16">
        <v>1</v>
      </c>
      <c r="O906" s="62">
        <v>11900</v>
      </c>
      <c r="P906" s="62">
        <v>11900</v>
      </c>
      <c r="Q906" s="62">
        <v>0</v>
      </c>
      <c r="R906" s="289"/>
      <c r="S906" s="289"/>
      <c r="T906" s="285"/>
    </row>
    <row r="907" spans="1:20" ht="61.5" customHeight="1" x14ac:dyDescent="0.2">
      <c r="A907" s="289">
        <v>924</v>
      </c>
      <c r="B907" s="289" t="s">
        <v>5972</v>
      </c>
      <c r="C907" s="289"/>
      <c r="D907" s="9" t="s">
        <v>3297</v>
      </c>
      <c r="E907" s="29">
        <v>2013</v>
      </c>
      <c r="F907" s="9" t="s">
        <v>3298</v>
      </c>
      <c r="G907" s="285" t="s">
        <v>7983</v>
      </c>
      <c r="H907" s="285" t="s">
        <v>5127</v>
      </c>
      <c r="I907" s="18"/>
      <c r="J907" s="285" t="s">
        <v>3136</v>
      </c>
      <c r="K907" s="15">
        <v>42150</v>
      </c>
      <c r="L907" s="12" t="s">
        <v>104</v>
      </c>
      <c r="M907" s="15">
        <v>41626</v>
      </c>
      <c r="N907" s="16">
        <v>1</v>
      </c>
      <c r="O907" s="62">
        <v>7700</v>
      </c>
      <c r="P907" s="62">
        <v>7700</v>
      </c>
      <c r="Q907" s="62">
        <v>0</v>
      </c>
      <c r="R907" s="289"/>
      <c r="S907" s="289"/>
      <c r="T907" s="285"/>
    </row>
    <row r="908" spans="1:20" ht="61.5" customHeight="1" x14ac:dyDescent="0.2">
      <c r="A908" s="289">
        <v>925</v>
      </c>
      <c r="B908" s="289" t="s">
        <v>3299</v>
      </c>
      <c r="C908" s="289"/>
      <c r="D908" s="9" t="s">
        <v>2423</v>
      </c>
      <c r="E908" s="29">
        <v>2013</v>
      </c>
      <c r="F908" s="9" t="s">
        <v>2474</v>
      </c>
      <c r="G908" s="285" t="s">
        <v>7983</v>
      </c>
      <c r="H908" s="285" t="s">
        <v>5127</v>
      </c>
      <c r="I908" s="18"/>
      <c r="J908" s="285" t="s">
        <v>3136</v>
      </c>
      <c r="K908" s="15">
        <v>42150</v>
      </c>
      <c r="L908" s="12" t="s">
        <v>104</v>
      </c>
      <c r="M908" s="15">
        <v>41626</v>
      </c>
      <c r="N908" s="16">
        <v>1</v>
      </c>
      <c r="O908" s="62">
        <v>8800</v>
      </c>
      <c r="P908" s="62">
        <v>8800</v>
      </c>
      <c r="Q908" s="62">
        <v>0</v>
      </c>
      <c r="R908" s="289"/>
      <c r="S908" s="289"/>
      <c r="T908" s="285"/>
    </row>
    <row r="909" spans="1:20" ht="51" customHeight="1" x14ac:dyDescent="0.2">
      <c r="A909" s="289">
        <v>926</v>
      </c>
      <c r="B909" s="289" t="s">
        <v>2475</v>
      </c>
      <c r="C909" s="289"/>
      <c r="D909" s="9" t="s">
        <v>2423</v>
      </c>
      <c r="E909" s="29">
        <v>2013</v>
      </c>
      <c r="F909" s="9" t="s">
        <v>2476</v>
      </c>
      <c r="G909" s="285" t="s">
        <v>7983</v>
      </c>
      <c r="H909" s="285" t="s">
        <v>5127</v>
      </c>
      <c r="I909" s="18"/>
      <c r="J909" s="285" t="s">
        <v>3136</v>
      </c>
      <c r="K909" s="15">
        <v>42150</v>
      </c>
      <c r="L909" s="12" t="s">
        <v>104</v>
      </c>
      <c r="M909" s="15">
        <v>41626</v>
      </c>
      <c r="N909" s="16">
        <v>1</v>
      </c>
      <c r="O909" s="62">
        <v>7700</v>
      </c>
      <c r="P909" s="62">
        <v>7700</v>
      </c>
      <c r="Q909" s="62">
        <v>0</v>
      </c>
      <c r="R909" s="289"/>
      <c r="S909" s="289"/>
      <c r="T909" s="285"/>
    </row>
    <row r="910" spans="1:20" ht="51" customHeight="1" x14ac:dyDescent="0.2">
      <c r="A910" s="289">
        <v>927</v>
      </c>
      <c r="B910" s="289" t="s">
        <v>2477</v>
      </c>
      <c r="C910" s="289"/>
      <c r="D910" s="9" t="s">
        <v>2478</v>
      </c>
      <c r="E910" s="29">
        <v>2013</v>
      </c>
      <c r="F910" s="9" t="s">
        <v>2479</v>
      </c>
      <c r="G910" s="285" t="s">
        <v>7983</v>
      </c>
      <c r="H910" s="285" t="s">
        <v>5127</v>
      </c>
      <c r="I910" s="18"/>
      <c r="J910" s="285" t="s">
        <v>3136</v>
      </c>
      <c r="K910" s="15">
        <v>42150</v>
      </c>
      <c r="L910" s="12" t="s">
        <v>104</v>
      </c>
      <c r="M910" s="15">
        <v>41253</v>
      </c>
      <c r="N910" s="16">
        <v>1</v>
      </c>
      <c r="O910" s="62">
        <v>15415</v>
      </c>
      <c r="P910" s="62">
        <v>15415</v>
      </c>
      <c r="Q910" s="62">
        <v>0</v>
      </c>
      <c r="R910" s="289"/>
      <c r="S910" s="289"/>
      <c r="T910" s="285"/>
    </row>
    <row r="911" spans="1:20" ht="51" customHeight="1" x14ac:dyDescent="0.2">
      <c r="A911" s="289">
        <v>928</v>
      </c>
      <c r="B911" s="289" t="s">
        <v>1253</v>
      </c>
      <c r="C911" s="289"/>
      <c r="D911" s="9" t="s">
        <v>1257</v>
      </c>
      <c r="E911" s="285">
        <v>2015</v>
      </c>
      <c r="F911" s="9" t="s">
        <v>1258</v>
      </c>
      <c r="G911" s="285" t="s">
        <v>7979</v>
      </c>
      <c r="H911" s="285" t="s">
        <v>5127</v>
      </c>
      <c r="I911" s="18"/>
      <c r="J911" s="285" t="s">
        <v>3136</v>
      </c>
      <c r="K911" s="15">
        <v>42177</v>
      </c>
      <c r="L911" s="12" t="s">
        <v>3842</v>
      </c>
      <c r="M911" s="15">
        <v>42137</v>
      </c>
      <c r="N911" s="16">
        <v>1</v>
      </c>
      <c r="O911" s="62">
        <v>16883.8</v>
      </c>
      <c r="P911" s="62">
        <v>16883.8</v>
      </c>
      <c r="Q911" s="62">
        <f t="shared" ref="Q911:Q942" si="23">O911-P911</f>
        <v>0</v>
      </c>
      <c r="R911" s="285" t="s">
        <v>4876</v>
      </c>
      <c r="S911" s="15">
        <v>42137</v>
      </c>
      <c r="T911" s="285">
        <v>282015060</v>
      </c>
    </row>
    <row r="912" spans="1:20" ht="51" customHeight="1" x14ac:dyDescent="0.2">
      <c r="A912" s="289">
        <v>929</v>
      </c>
      <c r="B912" s="289" t="s">
        <v>1254</v>
      </c>
      <c r="C912" s="289"/>
      <c r="D912" s="9" t="s">
        <v>1257</v>
      </c>
      <c r="E912" s="285">
        <v>2015</v>
      </c>
      <c r="F912" s="9" t="s">
        <v>1259</v>
      </c>
      <c r="G912" s="285" t="s">
        <v>7979</v>
      </c>
      <c r="H912" s="285" t="s">
        <v>5127</v>
      </c>
      <c r="I912" s="18"/>
      <c r="J912" s="285" t="s">
        <v>3136</v>
      </c>
      <c r="K912" s="15">
        <v>42177</v>
      </c>
      <c r="L912" s="12" t="s">
        <v>3842</v>
      </c>
      <c r="M912" s="15">
        <v>42137</v>
      </c>
      <c r="N912" s="16">
        <v>2</v>
      </c>
      <c r="O912" s="62">
        <v>21690</v>
      </c>
      <c r="P912" s="62">
        <v>21690</v>
      </c>
      <c r="Q912" s="62">
        <f t="shared" si="23"/>
        <v>0</v>
      </c>
      <c r="R912" s="285" t="s">
        <v>4876</v>
      </c>
      <c r="S912" s="15">
        <v>42137</v>
      </c>
      <c r="T912" s="285">
        <v>282015060</v>
      </c>
    </row>
    <row r="913" spans="1:20" ht="51" customHeight="1" x14ac:dyDescent="0.2">
      <c r="A913" s="289">
        <v>930</v>
      </c>
      <c r="B913" s="289" t="s">
        <v>1255</v>
      </c>
      <c r="C913" s="289"/>
      <c r="D913" s="9" t="s">
        <v>1257</v>
      </c>
      <c r="E913" s="285">
        <v>2015</v>
      </c>
      <c r="F913" s="9" t="s">
        <v>3841</v>
      </c>
      <c r="G913" s="285" t="s">
        <v>7979</v>
      </c>
      <c r="H913" s="285" t="s">
        <v>5127</v>
      </c>
      <c r="I913" s="18"/>
      <c r="J913" s="285" t="s">
        <v>3136</v>
      </c>
      <c r="K913" s="15">
        <v>42177</v>
      </c>
      <c r="L913" s="12" t="s">
        <v>3842</v>
      </c>
      <c r="M913" s="15">
        <v>42137</v>
      </c>
      <c r="N913" s="16">
        <v>2</v>
      </c>
      <c r="O913" s="62">
        <v>22279.200000000001</v>
      </c>
      <c r="P913" s="62">
        <v>22279.200000000001</v>
      </c>
      <c r="Q913" s="62">
        <f t="shared" si="23"/>
        <v>0</v>
      </c>
      <c r="R913" s="285" t="s">
        <v>4876</v>
      </c>
      <c r="S913" s="15">
        <v>42137</v>
      </c>
      <c r="T913" s="285">
        <v>282015060</v>
      </c>
    </row>
    <row r="914" spans="1:20" ht="51" customHeight="1" x14ac:dyDescent="0.2">
      <c r="A914" s="289">
        <v>931</v>
      </c>
      <c r="B914" s="289" t="s">
        <v>1256</v>
      </c>
      <c r="C914" s="289"/>
      <c r="D914" s="9" t="s">
        <v>1257</v>
      </c>
      <c r="E914" s="285">
        <v>2015</v>
      </c>
      <c r="F914" s="9" t="s">
        <v>4875</v>
      </c>
      <c r="G914" s="285" t="s">
        <v>7979</v>
      </c>
      <c r="H914" s="285" t="s">
        <v>5127</v>
      </c>
      <c r="I914" s="18"/>
      <c r="J914" s="285" t="s">
        <v>3136</v>
      </c>
      <c r="K914" s="15">
        <v>42177</v>
      </c>
      <c r="L914" s="12" t="s">
        <v>3842</v>
      </c>
      <c r="M914" s="15">
        <v>42137</v>
      </c>
      <c r="N914" s="16">
        <v>2</v>
      </c>
      <c r="O914" s="62">
        <v>8164</v>
      </c>
      <c r="P914" s="62">
        <v>8164</v>
      </c>
      <c r="Q914" s="62">
        <f t="shared" si="23"/>
        <v>0</v>
      </c>
      <c r="R914" s="285" t="s">
        <v>4876</v>
      </c>
      <c r="S914" s="15">
        <v>42137</v>
      </c>
      <c r="T914" s="285">
        <v>282015060</v>
      </c>
    </row>
    <row r="915" spans="1:20" ht="51" customHeight="1" x14ac:dyDescent="0.2">
      <c r="A915" s="289">
        <v>932</v>
      </c>
      <c r="B915" s="289" t="s">
        <v>5480</v>
      </c>
      <c r="C915" s="289"/>
      <c r="D915" s="9" t="s">
        <v>5482</v>
      </c>
      <c r="E915" s="285"/>
      <c r="F915" s="9" t="s">
        <v>5483</v>
      </c>
      <c r="G915" s="285" t="s">
        <v>4946</v>
      </c>
      <c r="H915" s="285" t="s">
        <v>5127</v>
      </c>
      <c r="I915" s="18"/>
      <c r="J915" s="285" t="s">
        <v>3136</v>
      </c>
      <c r="K915" s="15">
        <v>42200</v>
      </c>
      <c r="L915" s="12" t="s">
        <v>997</v>
      </c>
      <c r="M915" s="15">
        <v>42187</v>
      </c>
      <c r="N915" s="16">
        <v>1</v>
      </c>
      <c r="O915" s="40">
        <v>1170</v>
      </c>
      <c r="P915" s="40">
        <v>1170</v>
      </c>
      <c r="Q915" s="40">
        <f t="shared" si="23"/>
        <v>0</v>
      </c>
      <c r="R915" s="285" t="s">
        <v>1000</v>
      </c>
      <c r="S915" s="15">
        <v>42187</v>
      </c>
      <c r="T915" s="285">
        <v>1</v>
      </c>
    </row>
    <row r="916" spans="1:20" ht="88.5" customHeight="1" x14ac:dyDescent="0.2">
      <c r="A916" s="289">
        <v>933</v>
      </c>
      <c r="B916" s="289" t="s">
        <v>5481</v>
      </c>
      <c r="C916" s="289"/>
      <c r="D916" s="9" t="s">
        <v>5484</v>
      </c>
      <c r="E916" s="285"/>
      <c r="F916" s="9" t="s">
        <v>5485</v>
      </c>
      <c r="G916" s="285" t="s">
        <v>4946</v>
      </c>
      <c r="H916" s="285" t="s">
        <v>5127</v>
      </c>
      <c r="I916" s="18"/>
      <c r="J916" s="285" t="s">
        <v>3136</v>
      </c>
      <c r="K916" s="15">
        <v>42200</v>
      </c>
      <c r="L916" s="12" t="s">
        <v>997</v>
      </c>
      <c r="M916" s="15">
        <v>42187</v>
      </c>
      <c r="N916" s="16">
        <v>1</v>
      </c>
      <c r="O916" s="40">
        <v>10830</v>
      </c>
      <c r="P916" s="40">
        <v>10830</v>
      </c>
      <c r="Q916" s="40">
        <f t="shared" si="23"/>
        <v>0</v>
      </c>
      <c r="R916" s="285" t="s">
        <v>1000</v>
      </c>
      <c r="S916" s="15">
        <v>42187</v>
      </c>
      <c r="T916" s="285">
        <v>2</v>
      </c>
    </row>
    <row r="917" spans="1:20" ht="36.75" customHeight="1" x14ac:dyDescent="0.2">
      <c r="A917" s="289">
        <v>934</v>
      </c>
      <c r="B917" s="289" t="s">
        <v>2404</v>
      </c>
      <c r="C917" s="289"/>
      <c r="D917" s="9" t="s">
        <v>2405</v>
      </c>
      <c r="E917" s="285">
        <v>2015</v>
      </c>
      <c r="F917" s="9" t="s">
        <v>2406</v>
      </c>
      <c r="G917" s="56" t="s">
        <v>101</v>
      </c>
      <c r="H917" s="285" t="s">
        <v>5127</v>
      </c>
      <c r="I917" s="289"/>
      <c r="J917" s="285" t="s">
        <v>3136</v>
      </c>
      <c r="K917" s="15">
        <v>42230</v>
      </c>
      <c r="L917" s="12" t="s">
        <v>3985</v>
      </c>
      <c r="M917" s="15">
        <v>42199</v>
      </c>
      <c r="N917" s="16">
        <v>1</v>
      </c>
      <c r="O917" s="40">
        <v>5300</v>
      </c>
      <c r="P917" s="40">
        <v>5300</v>
      </c>
      <c r="Q917" s="40">
        <f t="shared" si="23"/>
        <v>0</v>
      </c>
      <c r="R917" s="285" t="s">
        <v>3418</v>
      </c>
      <c r="S917" s="15">
        <v>42199</v>
      </c>
      <c r="T917" s="285">
        <v>3120152110</v>
      </c>
    </row>
    <row r="918" spans="1:20" ht="67.5" customHeight="1" x14ac:dyDescent="0.2">
      <c r="A918" s="289">
        <v>935</v>
      </c>
      <c r="B918" s="289" t="s">
        <v>10590</v>
      </c>
      <c r="C918" s="289"/>
      <c r="D918" s="9" t="s">
        <v>2661</v>
      </c>
      <c r="E918" s="14"/>
      <c r="F918" s="9"/>
      <c r="G918" s="285" t="s">
        <v>10465</v>
      </c>
      <c r="H918" s="289" t="s">
        <v>2207</v>
      </c>
      <c r="I918" s="289"/>
      <c r="J918" s="285" t="s">
        <v>3136</v>
      </c>
      <c r="K918" s="14" t="s">
        <v>10585</v>
      </c>
      <c r="L918" s="12" t="s">
        <v>10586</v>
      </c>
      <c r="M918" s="15"/>
      <c r="N918" s="16">
        <v>401</v>
      </c>
      <c r="O918" s="40">
        <v>401</v>
      </c>
      <c r="P918" s="40">
        <v>401</v>
      </c>
      <c r="Q918" s="40">
        <f t="shared" si="23"/>
        <v>0</v>
      </c>
      <c r="R918" s="285"/>
      <c r="S918" s="15"/>
      <c r="T918" s="285"/>
    </row>
    <row r="919" spans="1:20" ht="67.5" customHeight="1" x14ac:dyDescent="0.2">
      <c r="A919" s="289">
        <v>936</v>
      </c>
      <c r="B919" s="289" t="s">
        <v>5255</v>
      </c>
      <c r="C919" s="289"/>
      <c r="D919" s="9" t="s">
        <v>5257</v>
      </c>
      <c r="E919" s="285">
        <v>2015</v>
      </c>
      <c r="F919" s="9" t="s">
        <v>5262</v>
      </c>
      <c r="G919" s="285" t="s">
        <v>7979</v>
      </c>
      <c r="H919" s="285" t="s">
        <v>5127</v>
      </c>
      <c r="I919" s="289"/>
      <c r="J919" s="285" t="s">
        <v>3136</v>
      </c>
      <c r="K919" s="15">
        <v>42236</v>
      </c>
      <c r="L919" s="12" t="s">
        <v>5254</v>
      </c>
      <c r="M919" s="15">
        <v>42158</v>
      </c>
      <c r="N919" s="16">
        <v>1</v>
      </c>
      <c r="O919" s="40">
        <v>14500</v>
      </c>
      <c r="P919" s="40">
        <v>14500</v>
      </c>
      <c r="Q919" s="40">
        <f t="shared" si="23"/>
        <v>0</v>
      </c>
      <c r="R919" s="285" t="s">
        <v>3919</v>
      </c>
      <c r="S919" s="15">
        <v>42158</v>
      </c>
      <c r="T919" s="285">
        <v>282015068</v>
      </c>
    </row>
    <row r="920" spans="1:20" ht="77.25" customHeight="1" x14ac:dyDescent="0.2">
      <c r="A920" s="289">
        <v>937</v>
      </c>
      <c r="B920" s="289" t="s">
        <v>5256</v>
      </c>
      <c r="C920" s="289"/>
      <c r="D920" s="9" t="s">
        <v>5616</v>
      </c>
      <c r="E920" s="285">
        <v>2015</v>
      </c>
      <c r="F920" s="9" t="s">
        <v>5258</v>
      </c>
      <c r="G920" s="285" t="s">
        <v>7979</v>
      </c>
      <c r="H920" s="285" t="s">
        <v>5127</v>
      </c>
      <c r="I920" s="289"/>
      <c r="J920" s="285" t="s">
        <v>3136</v>
      </c>
      <c r="K920" s="15">
        <v>42236</v>
      </c>
      <c r="L920" s="12" t="s">
        <v>5254</v>
      </c>
      <c r="M920" s="15">
        <v>42158</v>
      </c>
      <c r="N920" s="16">
        <v>1</v>
      </c>
      <c r="O920" s="40">
        <v>10300</v>
      </c>
      <c r="P920" s="40">
        <v>10300</v>
      </c>
      <c r="Q920" s="40">
        <f t="shared" si="23"/>
        <v>0</v>
      </c>
      <c r="R920" s="285" t="s">
        <v>3919</v>
      </c>
      <c r="S920" s="15">
        <v>42158</v>
      </c>
      <c r="T920" s="285">
        <v>282015068</v>
      </c>
    </row>
    <row r="921" spans="1:20" ht="77.25" customHeight="1" x14ac:dyDescent="0.2">
      <c r="A921" s="289">
        <v>938</v>
      </c>
      <c r="B921" s="289" t="s">
        <v>5259</v>
      </c>
      <c r="C921" s="289"/>
      <c r="D921" s="9" t="s">
        <v>5260</v>
      </c>
      <c r="E921" s="285">
        <v>2015</v>
      </c>
      <c r="F921" s="9" t="s">
        <v>5261</v>
      </c>
      <c r="G921" s="285" t="s">
        <v>7979</v>
      </c>
      <c r="H921" s="285" t="s">
        <v>5127</v>
      </c>
      <c r="I921" s="289"/>
      <c r="J921" s="285" t="s">
        <v>3136</v>
      </c>
      <c r="K921" s="15">
        <v>42236</v>
      </c>
      <c r="L921" s="12" t="s">
        <v>5254</v>
      </c>
      <c r="M921" s="15">
        <v>42158</v>
      </c>
      <c r="N921" s="16">
        <v>1</v>
      </c>
      <c r="O921" s="40">
        <v>8400</v>
      </c>
      <c r="P921" s="40">
        <v>8400</v>
      </c>
      <c r="Q921" s="40">
        <f t="shared" si="23"/>
        <v>0</v>
      </c>
      <c r="R921" s="285" t="s">
        <v>3919</v>
      </c>
      <c r="S921" s="15">
        <v>42158</v>
      </c>
      <c r="T921" s="285">
        <v>282015068</v>
      </c>
    </row>
    <row r="922" spans="1:20" ht="77.25" customHeight="1" x14ac:dyDescent="0.2">
      <c r="A922" s="289">
        <v>939</v>
      </c>
      <c r="B922" s="289" t="s">
        <v>2114</v>
      </c>
      <c r="C922" s="289"/>
      <c r="D922" s="9" t="s">
        <v>5392</v>
      </c>
      <c r="E922" s="285">
        <v>2015</v>
      </c>
      <c r="F922" s="9" t="s">
        <v>5040</v>
      </c>
      <c r="G922" s="285" t="s">
        <v>792</v>
      </c>
      <c r="H922" s="285" t="s">
        <v>5127</v>
      </c>
      <c r="I922" s="289"/>
      <c r="J922" s="285" t="s">
        <v>3136</v>
      </c>
      <c r="K922" s="15">
        <v>42236</v>
      </c>
      <c r="L922" s="12" t="s">
        <v>3870</v>
      </c>
      <c r="M922" s="15">
        <v>42185</v>
      </c>
      <c r="N922" s="16">
        <v>1</v>
      </c>
      <c r="O922" s="40">
        <v>15050</v>
      </c>
      <c r="P922" s="40">
        <v>15050</v>
      </c>
      <c r="Q922" s="40">
        <f t="shared" si="23"/>
        <v>0</v>
      </c>
      <c r="R922" s="285" t="s">
        <v>5363</v>
      </c>
      <c r="S922" s="15">
        <v>42150</v>
      </c>
      <c r="T922" s="285" t="s">
        <v>5038</v>
      </c>
    </row>
    <row r="923" spans="1:20" ht="120" customHeight="1" x14ac:dyDescent="0.2">
      <c r="A923" s="289">
        <v>940</v>
      </c>
      <c r="B923" s="289" t="s">
        <v>2115</v>
      </c>
      <c r="C923" s="289"/>
      <c r="D923" s="9" t="s">
        <v>1027</v>
      </c>
      <c r="E923" s="285">
        <v>2015</v>
      </c>
      <c r="F923" s="9" t="s">
        <v>5039</v>
      </c>
      <c r="G923" s="285" t="s">
        <v>792</v>
      </c>
      <c r="H923" s="285" t="s">
        <v>5127</v>
      </c>
      <c r="I923" s="289"/>
      <c r="J923" s="285" t="s">
        <v>3136</v>
      </c>
      <c r="K923" s="15">
        <v>42236</v>
      </c>
      <c r="L923" s="12" t="s">
        <v>3870</v>
      </c>
      <c r="M923" s="15">
        <v>42185</v>
      </c>
      <c r="N923" s="16">
        <v>1</v>
      </c>
      <c r="O923" s="40">
        <v>18800</v>
      </c>
      <c r="P923" s="40">
        <v>18800</v>
      </c>
      <c r="Q923" s="40">
        <f t="shared" si="23"/>
        <v>0</v>
      </c>
      <c r="R923" s="285" t="s">
        <v>5073</v>
      </c>
      <c r="S923" s="15">
        <v>42101</v>
      </c>
      <c r="T923" s="285" t="s">
        <v>5074</v>
      </c>
    </row>
    <row r="924" spans="1:20" ht="77.25" customHeight="1" x14ac:dyDescent="0.2">
      <c r="A924" s="289">
        <v>941</v>
      </c>
      <c r="B924" s="289" t="s">
        <v>879</v>
      </c>
      <c r="C924" s="289"/>
      <c r="D924" s="9" t="s">
        <v>881</v>
      </c>
      <c r="E924" s="285">
        <v>2015</v>
      </c>
      <c r="F924" s="9" t="s">
        <v>882</v>
      </c>
      <c r="G924" s="285" t="s">
        <v>7979</v>
      </c>
      <c r="H924" s="285" t="s">
        <v>5127</v>
      </c>
      <c r="I924" s="289"/>
      <c r="J924" s="285" t="s">
        <v>3136</v>
      </c>
      <c r="K924" s="15">
        <v>42275</v>
      </c>
      <c r="L924" s="12" t="s">
        <v>2214</v>
      </c>
      <c r="M924" s="15">
        <v>42223</v>
      </c>
      <c r="N924" s="16">
        <v>1</v>
      </c>
      <c r="O924" s="40">
        <v>3532</v>
      </c>
      <c r="P924" s="40">
        <v>3532</v>
      </c>
      <c r="Q924" s="40">
        <f t="shared" si="23"/>
        <v>0</v>
      </c>
      <c r="R924" s="285" t="s">
        <v>883</v>
      </c>
      <c r="S924" s="15">
        <v>42223</v>
      </c>
      <c r="T924" s="285">
        <v>282015094</v>
      </c>
    </row>
    <row r="925" spans="1:20" ht="77.25" customHeight="1" x14ac:dyDescent="0.2">
      <c r="A925" s="289">
        <v>942</v>
      </c>
      <c r="B925" s="289" t="s">
        <v>880</v>
      </c>
      <c r="C925" s="289"/>
      <c r="D925" s="9" t="s">
        <v>480</v>
      </c>
      <c r="E925" s="285">
        <v>2015</v>
      </c>
      <c r="F925" s="9" t="s">
        <v>3607</v>
      </c>
      <c r="G925" s="285" t="s">
        <v>7979</v>
      </c>
      <c r="H925" s="285" t="s">
        <v>5127</v>
      </c>
      <c r="I925" s="289"/>
      <c r="J925" s="285" t="s">
        <v>3136</v>
      </c>
      <c r="K925" s="15">
        <v>42275</v>
      </c>
      <c r="L925" s="12" t="s">
        <v>2214</v>
      </c>
      <c r="M925" s="15">
        <v>42223</v>
      </c>
      <c r="N925" s="16">
        <v>1</v>
      </c>
      <c r="O925" s="40">
        <v>4700</v>
      </c>
      <c r="P925" s="40">
        <v>4700</v>
      </c>
      <c r="Q925" s="40">
        <f t="shared" si="23"/>
        <v>0</v>
      </c>
      <c r="R925" s="285" t="s">
        <v>883</v>
      </c>
      <c r="S925" s="15">
        <v>42223</v>
      </c>
      <c r="T925" s="285">
        <v>282015094</v>
      </c>
    </row>
    <row r="926" spans="1:20" ht="77.25" customHeight="1" x14ac:dyDescent="0.2">
      <c r="A926" s="289">
        <v>943</v>
      </c>
      <c r="B926" s="289" t="s">
        <v>4838</v>
      </c>
      <c r="C926" s="289"/>
      <c r="D926" s="9" t="s">
        <v>2454</v>
      </c>
      <c r="E926" s="285">
        <v>2015</v>
      </c>
      <c r="F926" s="9" t="s">
        <v>4840</v>
      </c>
      <c r="G926" s="285" t="s">
        <v>4877</v>
      </c>
      <c r="H926" s="285" t="s">
        <v>3793</v>
      </c>
      <c r="I926" s="289"/>
      <c r="J926" s="285" t="s">
        <v>3136</v>
      </c>
      <c r="K926" s="15">
        <v>42275</v>
      </c>
      <c r="L926" s="12" t="s">
        <v>2213</v>
      </c>
      <c r="M926" s="15">
        <v>42100</v>
      </c>
      <c r="N926" s="16">
        <v>4</v>
      </c>
      <c r="O926" s="40">
        <v>37000</v>
      </c>
      <c r="P926" s="62">
        <v>37000</v>
      </c>
      <c r="Q926" s="62">
        <f t="shared" si="23"/>
        <v>0</v>
      </c>
      <c r="R926" s="285" t="s">
        <v>4233</v>
      </c>
      <c r="S926" s="15">
        <v>42039</v>
      </c>
      <c r="T926" s="285" t="s">
        <v>1029</v>
      </c>
    </row>
    <row r="927" spans="1:20" ht="61.5" customHeight="1" x14ac:dyDescent="0.2">
      <c r="A927" s="289">
        <v>944</v>
      </c>
      <c r="B927" s="289" t="s">
        <v>4839</v>
      </c>
      <c r="C927" s="289"/>
      <c r="D927" s="9" t="s">
        <v>4849</v>
      </c>
      <c r="E927" s="285">
        <v>2015</v>
      </c>
      <c r="F927" s="9" t="s">
        <v>4841</v>
      </c>
      <c r="G927" s="285" t="s">
        <v>4877</v>
      </c>
      <c r="H927" s="285" t="s">
        <v>3793</v>
      </c>
      <c r="I927" s="289"/>
      <c r="J927" s="285" t="s">
        <v>3136</v>
      </c>
      <c r="K927" s="15">
        <v>42275</v>
      </c>
      <c r="L927" s="12" t="s">
        <v>2213</v>
      </c>
      <c r="M927" s="15">
        <v>42100</v>
      </c>
      <c r="N927" s="16">
        <v>3</v>
      </c>
      <c r="O927" s="40">
        <v>27000</v>
      </c>
      <c r="P927" s="62">
        <v>27000</v>
      </c>
      <c r="Q927" s="62">
        <f t="shared" si="23"/>
        <v>0</v>
      </c>
      <c r="R927" s="285" t="s">
        <v>4233</v>
      </c>
      <c r="S927" s="15">
        <v>42039</v>
      </c>
      <c r="T927" s="285" t="s">
        <v>1029</v>
      </c>
    </row>
    <row r="928" spans="1:20" ht="61.5" customHeight="1" x14ac:dyDescent="0.2">
      <c r="A928" s="289">
        <v>945</v>
      </c>
      <c r="B928" s="289" t="s">
        <v>473</v>
      </c>
      <c r="C928" s="289"/>
      <c r="D928" s="9" t="s">
        <v>474</v>
      </c>
      <c r="E928" s="285">
        <v>2015</v>
      </c>
      <c r="F928" s="9" t="s">
        <v>475</v>
      </c>
      <c r="G928" s="285" t="s">
        <v>4946</v>
      </c>
      <c r="H928" s="285" t="s">
        <v>5127</v>
      </c>
      <c r="I928" s="289"/>
      <c r="J928" s="285" t="s">
        <v>3136</v>
      </c>
      <c r="K928" s="15">
        <v>42278</v>
      </c>
      <c r="L928" s="12" t="s">
        <v>4611</v>
      </c>
      <c r="M928" s="15">
        <v>42262</v>
      </c>
      <c r="N928" s="16">
        <v>1</v>
      </c>
      <c r="O928" s="40">
        <v>23500</v>
      </c>
      <c r="P928" s="40">
        <v>23500</v>
      </c>
      <c r="Q928" s="40">
        <f t="shared" si="23"/>
        <v>0</v>
      </c>
      <c r="R928" s="285" t="s">
        <v>3418</v>
      </c>
      <c r="S928" s="15">
        <v>42262</v>
      </c>
      <c r="T928" s="285">
        <v>3320152106</v>
      </c>
    </row>
    <row r="929" spans="1:20" ht="111.75" customHeight="1" x14ac:dyDescent="0.2">
      <c r="A929" s="289">
        <v>946</v>
      </c>
      <c r="B929" s="289" t="s">
        <v>2361</v>
      </c>
      <c r="C929" s="289"/>
      <c r="D929" s="9" t="s">
        <v>2367</v>
      </c>
      <c r="E929" s="285">
        <v>2015</v>
      </c>
      <c r="F929" s="9" t="s">
        <v>3338</v>
      </c>
      <c r="G929" s="285" t="s">
        <v>7978</v>
      </c>
      <c r="H929" s="285" t="s">
        <v>5127</v>
      </c>
      <c r="I929" s="289"/>
      <c r="J929" s="285" t="s">
        <v>3136</v>
      </c>
      <c r="K929" s="15">
        <v>42285</v>
      </c>
      <c r="L929" s="12" t="s">
        <v>6175</v>
      </c>
      <c r="M929" s="15">
        <v>42285</v>
      </c>
      <c r="N929" s="44">
        <v>1</v>
      </c>
      <c r="O929" s="62">
        <v>5430</v>
      </c>
      <c r="P929" s="62">
        <v>5430</v>
      </c>
      <c r="Q929" s="40">
        <f t="shared" si="23"/>
        <v>0</v>
      </c>
      <c r="R929" s="285" t="s">
        <v>5303</v>
      </c>
      <c r="S929" s="15">
        <v>42258</v>
      </c>
      <c r="T929" s="285" t="s">
        <v>1029</v>
      </c>
    </row>
    <row r="930" spans="1:20" ht="111.75" customHeight="1" x14ac:dyDescent="0.2">
      <c r="A930" s="289">
        <v>947</v>
      </c>
      <c r="B930" s="289" t="s">
        <v>2362</v>
      </c>
      <c r="C930" s="289"/>
      <c r="D930" s="9" t="s">
        <v>2368</v>
      </c>
      <c r="E930" s="285">
        <v>2015</v>
      </c>
      <c r="F930" s="9" t="s">
        <v>3338</v>
      </c>
      <c r="G930" s="285" t="s">
        <v>7978</v>
      </c>
      <c r="H930" s="285" t="s">
        <v>5127</v>
      </c>
      <c r="I930" s="289"/>
      <c r="J930" s="285" t="s">
        <v>3136</v>
      </c>
      <c r="K930" s="15">
        <v>42285</v>
      </c>
      <c r="L930" s="12" t="s">
        <v>6175</v>
      </c>
      <c r="M930" s="15">
        <v>42285</v>
      </c>
      <c r="N930" s="44">
        <v>2</v>
      </c>
      <c r="O930" s="62">
        <v>32400</v>
      </c>
      <c r="P930" s="62">
        <v>32400</v>
      </c>
      <c r="Q930" s="40">
        <f t="shared" si="23"/>
        <v>0</v>
      </c>
      <c r="R930" s="285" t="s">
        <v>5303</v>
      </c>
      <c r="S930" s="15">
        <v>42258</v>
      </c>
      <c r="T930" s="285" t="s">
        <v>1029</v>
      </c>
    </row>
    <row r="931" spans="1:20" ht="111.75" customHeight="1" x14ac:dyDescent="0.2">
      <c r="A931" s="289">
        <v>948</v>
      </c>
      <c r="B931" s="289" t="s">
        <v>2363</v>
      </c>
      <c r="C931" s="289"/>
      <c r="D931" s="9" t="s">
        <v>948</v>
      </c>
      <c r="E931" s="285">
        <v>2015</v>
      </c>
      <c r="F931" s="9" t="s">
        <v>3338</v>
      </c>
      <c r="G931" s="285" t="s">
        <v>7978</v>
      </c>
      <c r="H931" s="285" t="s">
        <v>5127</v>
      </c>
      <c r="I931" s="289"/>
      <c r="J931" s="285" t="s">
        <v>3136</v>
      </c>
      <c r="K931" s="15">
        <v>42285</v>
      </c>
      <c r="L931" s="12" t="s">
        <v>6175</v>
      </c>
      <c r="M931" s="15">
        <v>42285</v>
      </c>
      <c r="N931" s="44">
        <v>1</v>
      </c>
      <c r="O931" s="62">
        <v>24950</v>
      </c>
      <c r="P931" s="62">
        <v>24950</v>
      </c>
      <c r="Q931" s="40">
        <f t="shared" si="23"/>
        <v>0</v>
      </c>
      <c r="R931" s="285" t="s">
        <v>5303</v>
      </c>
      <c r="S931" s="15">
        <v>42258</v>
      </c>
      <c r="T931" s="285" t="s">
        <v>1029</v>
      </c>
    </row>
    <row r="932" spans="1:20" ht="95.25" customHeight="1" x14ac:dyDescent="0.2">
      <c r="A932" s="289">
        <v>949</v>
      </c>
      <c r="B932" s="289" t="s">
        <v>2364</v>
      </c>
      <c r="C932" s="289"/>
      <c r="D932" s="9" t="s">
        <v>2095</v>
      </c>
      <c r="E932" s="285">
        <v>2015</v>
      </c>
      <c r="F932" s="9" t="s">
        <v>3338</v>
      </c>
      <c r="G932" s="285" t="s">
        <v>7978</v>
      </c>
      <c r="H932" s="285" t="s">
        <v>5127</v>
      </c>
      <c r="I932" s="289"/>
      <c r="J932" s="285" t="s">
        <v>3136</v>
      </c>
      <c r="K932" s="15">
        <v>42285</v>
      </c>
      <c r="L932" s="12" t="s">
        <v>6175</v>
      </c>
      <c r="M932" s="15">
        <v>42285</v>
      </c>
      <c r="N932" s="44">
        <v>1</v>
      </c>
      <c r="O932" s="62">
        <v>8100</v>
      </c>
      <c r="P932" s="62">
        <v>8100</v>
      </c>
      <c r="Q932" s="40">
        <f t="shared" si="23"/>
        <v>0</v>
      </c>
      <c r="R932" s="285" t="s">
        <v>5303</v>
      </c>
      <c r="S932" s="15">
        <v>42258</v>
      </c>
      <c r="T932" s="285" t="s">
        <v>1029</v>
      </c>
    </row>
    <row r="933" spans="1:20" ht="95.25" customHeight="1" x14ac:dyDescent="0.2">
      <c r="A933" s="289">
        <v>950</v>
      </c>
      <c r="B933" s="289" t="s">
        <v>2365</v>
      </c>
      <c r="C933" s="289"/>
      <c r="D933" s="9" t="s">
        <v>949</v>
      </c>
      <c r="E933" s="285">
        <v>2015</v>
      </c>
      <c r="F933" s="9" t="s">
        <v>3338</v>
      </c>
      <c r="G933" s="285" t="s">
        <v>7978</v>
      </c>
      <c r="H933" s="285" t="s">
        <v>5127</v>
      </c>
      <c r="I933" s="289"/>
      <c r="J933" s="285" t="s">
        <v>3136</v>
      </c>
      <c r="K933" s="15">
        <v>42285</v>
      </c>
      <c r="L933" s="12" t="s">
        <v>6175</v>
      </c>
      <c r="M933" s="15">
        <v>42285</v>
      </c>
      <c r="N933" s="44">
        <v>2</v>
      </c>
      <c r="O933" s="62">
        <v>5400</v>
      </c>
      <c r="P933" s="62">
        <v>5400</v>
      </c>
      <c r="Q933" s="40">
        <f t="shared" si="23"/>
        <v>0</v>
      </c>
      <c r="R933" s="285" t="s">
        <v>5303</v>
      </c>
      <c r="S933" s="15">
        <v>42258</v>
      </c>
      <c r="T933" s="285" t="s">
        <v>1029</v>
      </c>
    </row>
    <row r="934" spans="1:20" ht="95.25" customHeight="1" x14ac:dyDescent="0.2">
      <c r="A934" s="289">
        <v>951</v>
      </c>
      <c r="B934" s="289" t="s">
        <v>2366</v>
      </c>
      <c r="C934" s="289"/>
      <c r="D934" s="9" t="s">
        <v>950</v>
      </c>
      <c r="E934" s="285">
        <v>2015</v>
      </c>
      <c r="F934" s="9" t="s">
        <v>3338</v>
      </c>
      <c r="G934" s="285" t="s">
        <v>7978</v>
      </c>
      <c r="H934" s="285" t="s">
        <v>5127</v>
      </c>
      <c r="I934" s="289"/>
      <c r="J934" s="285" t="s">
        <v>3136</v>
      </c>
      <c r="K934" s="15">
        <v>42285</v>
      </c>
      <c r="L934" s="12" t="s">
        <v>6175</v>
      </c>
      <c r="M934" s="15">
        <v>42285</v>
      </c>
      <c r="N934" s="44">
        <v>1</v>
      </c>
      <c r="O934" s="62">
        <v>12100</v>
      </c>
      <c r="P934" s="62">
        <v>12100</v>
      </c>
      <c r="Q934" s="40">
        <f t="shared" si="23"/>
        <v>0</v>
      </c>
      <c r="R934" s="285" t="s">
        <v>5303</v>
      </c>
      <c r="S934" s="15">
        <v>42258</v>
      </c>
      <c r="T934" s="285" t="s">
        <v>1029</v>
      </c>
    </row>
    <row r="935" spans="1:20" ht="95.25" customHeight="1" x14ac:dyDescent="0.2">
      <c r="A935" s="289">
        <v>952</v>
      </c>
      <c r="B935" s="289" t="s">
        <v>5529</v>
      </c>
      <c r="C935" s="289"/>
      <c r="D935" s="9" t="s">
        <v>1257</v>
      </c>
      <c r="E935" s="285">
        <v>2015</v>
      </c>
      <c r="F935" s="9" t="s">
        <v>5069</v>
      </c>
      <c r="G935" s="285" t="s">
        <v>7979</v>
      </c>
      <c r="H935" s="285" t="s">
        <v>5127</v>
      </c>
      <c r="I935" s="289"/>
      <c r="J935" s="285" t="s">
        <v>3136</v>
      </c>
      <c r="K935" s="15">
        <v>42285</v>
      </c>
      <c r="L935" s="12" t="s">
        <v>2022</v>
      </c>
      <c r="M935" s="15">
        <v>42285</v>
      </c>
      <c r="N935" s="44">
        <v>5</v>
      </c>
      <c r="O935" s="62">
        <v>49225</v>
      </c>
      <c r="P935" s="62">
        <v>49225</v>
      </c>
      <c r="Q935" s="62">
        <f t="shared" si="23"/>
        <v>0</v>
      </c>
      <c r="R935" s="285" t="s">
        <v>5067</v>
      </c>
      <c r="S935" s="15">
        <v>42275</v>
      </c>
      <c r="T935" s="285" t="s">
        <v>5068</v>
      </c>
    </row>
    <row r="936" spans="1:20" ht="95.25" customHeight="1" x14ac:dyDescent="0.2">
      <c r="A936" s="289">
        <v>953</v>
      </c>
      <c r="B936" s="289" t="s">
        <v>5530</v>
      </c>
      <c r="C936" s="289"/>
      <c r="D936" s="9" t="s">
        <v>1257</v>
      </c>
      <c r="E936" s="285">
        <v>2015</v>
      </c>
      <c r="F936" s="9" t="s">
        <v>4438</v>
      </c>
      <c r="G936" s="285" t="s">
        <v>7979</v>
      </c>
      <c r="H936" s="285" t="s">
        <v>5127</v>
      </c>
      <c r="I936" s="289"/>
      <c r="J936" s="285" t="s">
        <v>3136</v>
      </c>
      <c r="K936" s="15">
        <v>42285</v>
      </c>
      <c r="L936" s="12" t="s">
        <v>2022</v>
      </c>
      <c r="M936" s="15">
        <v>42285</v>
      </c>
      <c r="N936" s="44">
        <v>4</v>
      </c>
      <c r="O936" s="62">
        <v>31100</v>
      </c>
      <c r="P936" s="62">
        <v>31100</v>
      </c>
      <c r="Q936" s="62">
        <f t="shared" si="23"/>
        <v>0</v>
      </c>
      <c r="R936" s="285" t="s">
        <v>5067</v>
      </c>
      <c r="S936" s="15">
        <v>42275</v>
      </c>
      <c r="T936" s="285" t="s">
        <v>5068</v>
      </c>
    </row>
    <row r="937" spans="1:20" ht="91.5" customHeight="1" x14ac:dyDescent="0.2">
      <c r="A937" s="289">
        <v>954</v>
      </c>
      <c r="B937" s="289" t="s">
        <v>2333</v>
      </c>
      <c r="C937" s="289"/>
      <c r="D937" s="9" t="s">
        <v>2394</v>
      </c>
      <c r="E937" s="285">
        <v>2015</v>
      </c>
      <c r="F937" s="9" t="s">
        <v>2396</v>
      </c>
      <c r="G937" s="285" t="s">
        <v>7934</v>
      </c>
      <c r="H937" s="285" t="s">
        <v>5127</v>
      </c>
      <c r="I937" s="289"/>
      <c r="J937" s="285" t="s">
        <v>3136</v>
      </c>
      <c r="K937" s="15">
        <v>42304</v>
      </c>
      <c r="L937" s="12" t="s">
        <v>1593</v>
      </c>
      <c r="M937" s="15">
        <v>42191</v>
      </c>
      <c r="N937" s="44">
        <v>1</v>
      </c>
      <c r="O937" s="62">
        <v>4700</v>
      </c>
      <c r="P937" s="62">
        <v>4700</v>
      </c>
      <c r="Q937" s="62">
        <f t="shared" si="23"/>
        <v>0</v>
      </c>
      <c r="R937" s="285" t="s">
        <v>5377</v>
      </c>
      <c r="S937" s="15">
        <v>42191</v>
      </c>
      <c r="T937" s="285" t="s">
        <v>1029</v>
      </c>
    </row>
    <row r="938" spans="1:20" ht="117" customHeight="1" x14ac:dyDescent="0.2">
      <c r="A938" s="289">
        <v>955</v>
      </c>
      <c r="B938" s="289" t="s">
        <v>2334</v>
      </c>
      <c r="C938" s="289"/>
      <c r="D938" s="9" t="s">
        <v>2395</v>
      </c>
      <c r="E938" s="285">
        <v>2015</v>
      </c>
      <c r="F938" s="9" t="s">
        <v>2397</v>
      </c>
      <c r="G938" s="285" t="s">
        <v>7934</v>
      </c>
      <c r="H938" s="285" t="s">
        <v>5127</v>
      </c>
      <c r="I938" s="289"/>
      <c r="J938" s="285" t="s">
        <v>3136</v>
      </c>
      <c r="K938" s="15">
        <v>42304</v>
      </c>
      <c r="L938" s="12" t="s">
        <v>1593</v>
      </c>
      <c r="M938" s="15">
        <v>42200</v>
      </c>
      <c r="N938" s="44">
        <v>1</v>
      </c>
      <c r="O938" s="62">
        <v>13000</v>
      </c>
      <c r="P938" s="62">
        <v>13000</v>
      </c>
      <c r="Q938" s="62">
        <f t="shared" si="23"/>
        <v>0</v>
      </c>
      <c r="R938" s="285" t="s">
        <v>6111</v>
      </c>
      <c r="S938" s="15">
        <v>42200</v>
      </c>
      <c r="T938" s="285">
        <v>2920150062</v>
      </c>
    </row>
    <row r="939" spans="1:20" ht="112.5" customHeight="1" x14ac:dyDescent="0.2">
      <c r="A939" s="289">
        <v>956</v>
      </c>
      <c r="B939" s="289" t="s">
        <v>2335</v>
      </c>
      <c r="C939" s="289"/>
      <c r="D939" s="9" t="s">
        <v>2398</v>
      </c>
      <c r="E939" s="285">
        <v>2015</v>
      </c>
      <c r="F939" s="9" t="s">
        <v>6110</v>
      </c>
      <c r="G939" s="285" t="s">
        <v>7934</v>
      </c>
      <c r="H939" s="285" t="s">
        <v>5127</v>
      </c>
      <c r="I939" s="289"/>
      <c r="J939" s="285" t="s">
        <v>3136</v>
      </c>
      <c r="K939" s="15">
        <v>42304</v>
      </c>
      <c r="L939" s="12" t="s">
        <v>1593</v>
      </c>
      <c r="M939" s="15">
        <v>42200</v>
      </c>
      <c r="N939" s="44">
        <v>1</v>
      </c>
      <c r="O939" s="62">
        <v>10700</v>
      </c>
      <c r="P939" s="62">
        <v>10700</v>
      </c>
      <c r="Q939" s="62">
        <f t="shared" si="23"/>
        <v>0</v>
      </c>
      <c r="R939" s="285" t="s">
        <v>6111</v>
      </c>
      <c r="S939" s="15">
        <v>42200</v>
      </c>
      <c r="T939" s="285">
        <v>2920150062</v>
      </c>
    </row>
    <row r="940" spans="1:20" ht="112.5" customHeight="1" x14ac:dyDescent="0.2">
      <c r="A940" s="289">
        <v>957</v>
      </c>
      <c r="B940" s="289" t="s">
        <v>2336</v>
      </c>
      <c r="C940" s="289"/>
      <c r="D940" s="9" t="s">
        <v>6112</v>
      </c>
      <c r="E940" s="285">
        <v>2015</v>
      </c>
      <c r="F940" s="9" t="s">
        <v>6113</v>
      </c>
      <c r="G940" s="285" t="s">
        <v>7934</v>
      </c>
      <c r="H940" s="285" t="s">
        <v>5127</v>
      </c>
      <c r="I940" s="289"/>
      <c r="J940" s="285" t="s">
        <v>3136</v>
      </c>
      <c r="K940" s="15">
        <v>42304</v>
      </c>
      <c r="L940" s="12" t="s">
        <v>1593</v>
      </c>
      <c r="M940" s="15">
        <v>42200</v>
      </c>
      <c r="N940" s="44">
        <v>1</v>
      </c>
      <c r="O940" s="62">
        <v>12000</v>
      </c>
      <c r="P940" s="62">
        <v>12000</v>
      </c>
      <c r="Q940" s="62">
        <f t="shared" si="23"/>
        <v>0</v>
      </c>
      <c r="R940" s="285" t="s">
        <v>6111</v>
      </c>
      <c r="S940" s="15">
        <v>42200</v>
      </c>
      <c r="T940" s="285">
        <v>2920150062</v>
      </c>
    </row>
    <row r="941" spans="1:20" ht="88.5" customHeight="1" x14ac:dyDescent="0.2">
      <c r="A941" s="289">
        <v>958</v>
      </c>
      <c r="B941" s="289" t="s">
        <v>431</v>
      </c>
      <c r="C941" s="289"/>
      <c r="D941" s="9" t="s">
        <v>4536</v>
      </c>
      <c r="E941" s="285">
        <v>2015</v>
      </c>
      <c r="F941" s="9" t="s">
        <v>5478</v>
      </c>
      <c r="G941" s="285" t="s">
        <v>7934</v>
      </c>
      <c r="H941" s="285" t="s">
        <v>5127</v>
      </c>
      <c r="I941" s="289"/>
      <c r="J941" s="285" t="s">
        <v>3136</v>
      </c>
      <c r="K941" s="15">
        <v>42304</v>
      </c>
      <c r="L941" s="12" t="s">
        <v>1593</v>
      </c>
      <c r="M941" s="15">
        <v>42200</v>
      </c>
      <c r="N941" s="44">
        <v>1</v>
      </c>
      <c r="O941" s="62">
        <v>4250</v>
      </c>
      <c r="P941" s="62">
        <v>4250</v>
      </c>
      <c r="Q941" s="62">
        <f t="shared" si="23"/>
        <v>0</v>
      </c>
      <c r="R941" s="285" t="s">
        <v>6111</v>
      </c>
      <c r="S941" s="15">
        <v>42200</v>
      </c>
      <c r="T941" s="285">
        <v>2920150062</v>
      </c>
    </row>
    <row r="942" spans="1:20" ht="135.75" customHeight="1" x14ac:dyDescent="0.2">
      <c r="A942" s="289">
        <v>959</v>
      </c>
      <c r="B942" s="289" t="s">
        <v>432</v>
      </c>
      <c r="C942" s="289"/>
      <c r="D942" s="9" t="s">
        <v>5479</v>
      </c>
      <c r="E942" s="285">
        <v>2015</v>
      </c>
      <c r="F942" s="9" t="s">
        <v>4902</v>
      </c>
      <c r="G942" s="285" t="s">
        <v>7934</v>
      </c>
      <c r="H942" s="285" t="s">
        <v>5127</v>
      </c>
      <c r="I942" s="289"/>
      <c r="J942" s="285" t="s">
        <v>3136</v>
      </c>
      <c r="K942" s="15">
        <v>42304</v>
      </c>
      <c r="L942" s="12" t="s">
        <v>1593</v>
      </c>
      <c r="M942" s="15">
        <v>42200</v>
      </c>
      <c r="N942" s="44">
        <v>1</v>
      </c>
      <c r="O942" s="62">
        <v>5000</v>
      </c>
      <c r="P942" s="62">
        <v>5000</v>
      </c>
      <c r="Q942" s="62">
        <f t="shared" si="23"/>
        <v>0</v>
      </c>
      <c r="R942" s="285" t="s">
        <v>6111</v>
      </c>
      <c r="S942" s="15">
        <v>42200</v>
      </c>
      <c r="T942" s="285">
        <v>2920150062</v>
      </c>
    </row>
    <row r="943" spans="1:20" ht="111.75" customHeight="1" x14ac:dyDescent="0.2">
      <c r="A943" s="289">
        <v>960</v>
      </c>
      <c r="B943" s="289" t="s">
        <v>433</v>
      </c>
      <c r="C943" s="289"/>
      <c r="D943" s="9" t="s">
        <v>4903</v>
      </c>
      <c r="E943" s="285">
        <v>2015</v>
      </c>
      <c r="F943" s="9" t="s">
        <v>2245</v>
      </c>
      <c r="G943" s="285" t="s">
        <v>7934</v>
      </c>
      <c r="H943" s="285" t="s">
        <v>5127</v>
      </c>
      <c r="I943" s="289"/>
      <c r="J943" s="285" t="s">
        <v>3136</v>
      </c>
      <c r="K943" s="15">
        <v>42304</v>
      </c>
      <c r="L943" s="12" t="s">
        <v>1593</v>
      </c>
      <c r="M943" s="15">
        <v>42229</v>
      </c>
      <c r="N943" s="44">
        <v>1</v>
      </c>
      <c r="O943" s="62">
        <v>7500</v>
      </c>
      <c r="P943" s="62">
        <v>7500</v>
      </c>
      <c r="Q943" s="62">
        <f t="shared" ref="Q943:Q974" si="24">O943-P943</f>
        <v>0</v>
      </c>
      <c r="R943" s="285" t="s">
        <v>6111</v>
      </c>
      <c r="S943" s="15">
        <v>42200</v>
      </c>
      <c r="T943" s="285">
        <v>2920150062</v>
      </c>
    </row>
    <row r="944" spans="1:20" ht="97.5" customHeight="1" x14ac:dyDescent="0.2">
      <c r="A944" s="289">
        <v>961</v>
      </c>
      <c r="B944" s="289" t="s">
        <v>434</v>
      </c>
      <c r="C944" s="289"/>
      <c r="D944" s="9" t="s">
        <v>2246</v>
      </c>
      <c r="E944" s="285">
        <v>2015</v>
      </c>
      <c r="F944" s="9" t="s">
        <v>5129</v>
      </c>
      <c r="G944" s="285" t="s">
        <v>7934</v>
      </c>
      <c r="H944" s="285" t="s">
        <v>5127</v>
      </c>
      <c r="I944" s="289"/>
      <c r="J944" s="285" t="s">
        <v>3136</v>
      </c>
      <c r="K944" s="15">
        <v>42304</v>
      </c>
      <c r="L944" s="12" t="s">
        <v>1593</v>
      </c>
      <c r="M944" s="15">
        <v>42229</v>
      </c>
      <c r="N944" s="44">
        <v>1</v>
      </c>
      <c r="O944" s="62">
        <v>7500</v>
      </c>
      <c r="P944" s="62">
        <v>7500</v>
      </c>
      <c r="Q944" s="62">
        <f t="shared" si="24"/>
        <v>0</v>
      </c>
      <c r="R944" s="285" t="s">
        <v>6111</v>
      </c>
      <c r="S944" s="15">
        <v>42200</v>
      </c>
      <c r="T944" s="285">
        <v>2920150062</v>
      </c>
    </row>
    <row r="945" spans="1:20" ht="107.25" customHeight="1" x14ac:dyDescent="0.2">
      <c r="A945" s="289">
        <v>962</v>
      </c>
      <c r="B945" s="289" t="s">
        <v>435</v>
      </c>
      <c r="C945" s="289"/>
      <c r="D945" s="9" t="s">
        <v>1835</v>
      </c>
      <c r="E945" s="285">
        <v>2015</v>
      </c>
      <c r="F945" s="9" t="s">
        <v>5130</v>
      </c>
      <c r="G945" s="285" t="s">
        <v>7934</v>
      </c>
      <c r="H945" s="285" t="s">
        <v>5127</v>
      </c>
      <c r="I945" s="289"/>
      <c r="J945" s="285" t="s">
        <v>3136</v>
      </c>
      <c r="K945" s="15">
        <v>42304</v>
      </c>
      <c r="L945" s="12" t="s">
        <v>1593</v>
      </c>
      <c r="M945" s="15">
        <v>42229</v>
      </c>
      <c r="N945" s="44">
        <v>1</v>
      </c>
      <c r="O945" s="62">
        <v>7300</v>
      </c>
      <c r="P945" s="62">
        <v>7300</v>
      </c>
      <c r="Q945" s="62">
        <f t="shared" si="24"/>
        <v>0</v>
      </c>
      <c r="R945" s="285" t="s">
        <v>5377</v>
      </c>
      <c r="S945" s="15">
        <v>42226</v>
      </c>
      <c r="T945" s="285" t="s">
        <v>1029</v>
      </c>
    </row>
    <row r="946" spans="1:20" ht="97.5" customHeight="1" x14ac:dyDescent="0.2">
      <c r="A946" s="289">
        <v>963</v>
      </c>
      <c r="B946" s="289" t="s">
        <v>436</v>
      </c>
      <c r="C946" s="289"/>
      <c r="D946" s="9" t="s">
        <v>5700</v>
      </c>
      <c r="E946" s="285">
        <v>2015</v>
      </c>
      <c r="F946" s="9" t="s">
        <v>5131</v>
      </c>
      <c r="G946" s="285" t="s">
        <v>7934</v>
      </c>
      <c r="H946" s="285" t="s">
        <v>5127</v>
      </c>
      <c r="I946" s="289"/>
      <c r="J946" s="285" t="s">
        <v>4020</v>
      </c>
      <c r="K946" s="14" t="s">
        <v>6125</v>
      </c>
      <c r="L946" s="12" t="s">
        <v>6126</v>
      </c>
      <c r="M946" s="15">
        <v>42229</v>
      </c>
      <c r="N946" s="44">
        <f>1+1+1</f>
        <v>3</v>
      </c>
      <c r="O946" s="62">
        <f>3850+3850+3290</f>
        <v>10990</v>
      </c>
      <c r="P946" s="62">
        <v>10990</v>
      </c>
      <c r="Q946" s="62">
        <f t="shared" si="24"/>
        <v>0</v>
      </c>
      <c r="R946" s="285" t="s">
        <v>2743</v>
      </c>
      <c r="S946" s="14" t="s">
        <v>2264</v>
      </c>
      <c r="T946" s="285" t="s">
        <v>2265</v>
      </c>
    </row>
    <row r="947" spans="1:20" ht="101.25" customHeight="1" x14ac:dyDescent="0.2">
      <c r="A947" s="289">
        <v>964</v>
      </c>
      <c r="B947" s="289" t="s">
        <v>2200</v>
      </c>
      <c r="C947" s="289"/>
      <c r="D947" s="9" t="s">
        <v>3802</v>
      </c>
      <c r="E947" s="285">
        <v>2014</v>
      </c>
      <c r="F947" s="9" t="s">
        <v>808</v>
      </c>
      <c r="G947" s="285" t="s">
        <v>2074</v>
      </c>
      <c r="H947" s="285" t="s">
        <v>5127</v>
      </c>
      <c r="I947" s="289"/>
      <c r="J947" s="285" t="s">
        <v>3136</v>
      </c>
      <c r="K947" s="15">
        <v>42304</v>
      </c>
      <c r="L947" s="12" t="s">
        <v>5872</v>
      </c>
      <c r="M947" s="15">
        <v>41899</v>
      </c>
      <c r="N947" s="16">
        <v>1</v>
      </c>
      <c r="O947" s="40">
        <v>7365</v>
      </c>
      <c r="P947" s="40">
        <v>7365</v>
      </c>
      <c r="Q947" s="62">
        <f t="shared" si="24"/>
        <v>0</v>
      </c>
      <c r="R947" s="285" t="s">
        <v>1120</v>
      </c>
      <c r="S947" s="15">
        <v>41899</v>
      </c>
      <c r="T947" s="285" t="s">
        <v>1122</v>
      </c>
    </row>
    <row r="948" spans="1:20" ht="97.5" customHeight="1" x14ac:dyDescent="0.2">
      <c r="A948" s="289">
        <v>965</v>
      </c>
      <c r="B948" s="289" t="s">
        <v>496</v>
      </c>
      <c r="C948" s="289"/>
      <c r="D948" s="9" t="s">
        <v>497</v>
      </c>
      <c r="E948" s="285"/>
      <c r="F948" s="9" t="s">
        <v>5285</v>
      </c>
      <c r="G948" s="285" t="s">
        <v>4946</v>
      </c>
      <c r="H948" s="285" t="s">
        <v>5127</v>
      </c>
      <c r="I948" s="289"/>
      <c r="J948" s="285" t="s">
        <v>3136</v>
      </c>
      <c r="K948" s="15">
        <v>42304</v>
      </c>
      <c r="L948" s="12" t="s">
        <v>1594</v>
      </c>
      <c r="M948" s="15">
        <v>42218</v>
      </c>
      <c r="N948" s="16">
        <v>1</v>
      </c>
      <c r="O948" s="40">
        <v>11690</v>
      </c>
      <c r="P948" s="40">
        <v>11690</v>
      </c>
      <c r="Q948" s="40">
        <f t="shared" si="24"/>
        <v>0</v>
      </c>
      <c r="R948" s="285" t="s">
        <v>1000</v>
      </c>
      <c r="S948" s="15">
        <v>42213</v>
      </c>
      <c r="T948" s="285" t="s">
        <v>1029</v>
      </c>
    </row>
    <row r="949" spans="1:20" ht="97.5" customHeight="1" x14ac:dyDescent="0.2">
      <c r="A949" s="289">
        <v>966</v>
      </c>
      <c r="B949" s="289" t="s">
        <v>1755</v>
      </c>
      <c r="C949" s="289"/>
      <c r="D949" s="9" t="s">
        <v>4708</v>
      </c>
      <c r="E949" s="285">
        <v>2015</v>
      </c>
      <c r="F949" s="9" t="s">
        <v>4709</v>
      </c>
      <c r="G949" s="285" t="s">
        <v>7978</v>
      </c>
      <c r="H949" s="285" t="s">
        <v>5127</v>
      </c>
      <c r="I949" s="289"/>
      <c r="J949" s="285" t="s">
        <v>3136</v>
      </c>
      <c r="K949" s="15">
        <v>42324</v>
      </c>
      <c r="L949" s="12" t="s">
        <v>3302</v>
      </c>
      <c r="M949" s="15">
        <v>42293</v>
      </c>
      <c r="N949" s="16">
        <v>1</v>
      </c>
      <c r="O949" s="40">
        <v>5680</v>
      </c>
      <c r="P949" s="40">
        <v>5680</v>
      </c>
      <c r="Q949" s="40">
        <f t="shared" si="24"/>
        <v>0</v>
      </c>
      <c r="R949" s="285" t="s">
        <v>5345</v>
      </c>
      <c r="S949" s="15">
        <v>42293</v>
      </c>
      <c r="T949" s="285">
        <v>2620150121</v>
      </c>
    </row>
    <row r="950" spans="1:20" ht="121.5" customHeight="1" x14ac:dyDescent="0.2">
      <c r="A950" s="289">
        <v>967</v>
      </c>
      <c r="B950" s="289" t="s">
        <v>97</v>
      </c>
      <c r="C950" s="289"/>
      <c r="D950" s="9" t="s">
        <v>1268</v>
      </c>
      <c r="E950" s="285">
        <v>2015</v>
      </c>
      <c r="F950" s="9" t="s">
        <v>1267</v>
      </c>
      <c r="G950" s="285" t="s">
        <v>792</v>
      </c>
      <c r="H950" s="285" t="s">
        <v>5127</v>
      </c>
      <c r="I950" s="289"/>
      <c r="J950" s="285" t="s">
        <v>3136</v>
      </c>
      <c r="K950" s="15">
        <v>42325</v>
      </c>
      <c r="L950" s="12" t="s">
        <v>3795</v>
      </c>
      <c r="M950" s="15">
        <v>42289</v>
      </c>
      <c r="N950" s="16">
        <v>4</v>
      </c>
      <c r="O950" s="40">
        <v>70430</v>
      </c>
      <c r="P950" s="40">
        <v>70430</v>
      </c>
      <c r="Q950" s="40">
        <f t="shared" si="24"/>
        <v>0</v>
      </c>
      <c r="R950" s="285" t="s">
        <v>5363</v>
      </c>
      <c r="S950" s="15">
        <v>42188</v>
      </c>
      <c r="T950" s="285">
        <v>212015022</v>
      </c>
    </row>
    <row r="951" spans="1:20" ht="141.75" customHeight="1" x14ac:dyDescent="0.2">
      <c r="A951" s="289">
        <v>968</v>
      </c>
      <c r="B951" s="289" t="s">
        <v>4070</v>
      </c>
      <c r="C951" s="289"/>
      <c r="D951" s="9" t="s">
        <v>5464</v>
      </c>
      <c r="E951" s="285">
        <v>2015</v>
      </c>
      <c r="F951" s="9" t="s">
        <v>5468</v>
      </c>
      <c r="G951" s="285" t="s">
        <v>7979</v>
      </c>
      <c r="H951" s="285" t="s">
        <v>5127</v>
      </c>
      <c r="I951" s="289"/>
      <c r="J951" s="285" t="s">
        <v>3136</v>
      </c>
      <c r="K951" s="15">
        <v>42346</v>
      </c>
      <c r="L951" s="12" t="s">
        <v>6289</v>
      </c>
      <c r="M951" s="15">
        <v>42332</v>
      </c>
      <c r="N951" s="16">
        <v>1</v>
      </c>
      <c r="O951" s="40">
        <v>4000</v>
      </c>
      <c r="P951" s="40">
        <v>4000</v>
      </c>
      <c r="Q951" s="40">
        <f t="shared" si="24"/>
        <v>0</v>
      </c>
      <c r="R951" s="285" t="s">
        <v>5465</v>
      </c>
      <c r="S951" s="15">
        <v>42261</v>
      </c>
      <c r="T951" s="22" t="s">
        <v>5466</v>
      </c>
    </row>
    <row r="952" spans="1:20" ht="174.75" customHeight="1" x14ac:dyDescent="0.2">
      <c r="A952" s="289">
        <v>969</v>
      </c>
      <c r="B952" s="289" t="s">
        <v>2754</v>
      </c>
      <c r="C952" s="289"/>
      <c r="D952" s="9" t="s">
        <v>5467</v>
      </c>
      <c r="E952" s="285">
        <v>2015</v>
      </c>
      <c r="F952" s="9" t="s">
        <v>5469</v>
      </c>
      <c r="G952" s="285" t="s">
        <v>7979</v>
      </c>
      <c r="H952" s="285" t="s">
        <v>5127</v>
      </c>
      <c r="I952" s="289"/>
      <c r="J952" s="285" t="s">
        <v>3136</v>
      </c>
      <c r="K952" s="15">
        <v>42346</v>
      </c>
      <c r="L952" s="12" t="s">
        <v>6289</v>
      </c>
      <c r="M952" s="15">
        <v>42332</v>
      </c>
      <c r="N952" s="16">
        <v>1</v>
      </c>
      <c r="O952" s="40">
        <v>17000</v>
      </c>
      <c r="P952" s="40">
        <v>17000</v>
      </c>
      <c r="Q952" s="40">
        <f t="shared" si="24"/>
        <v>0</v>
      </c>
      <c r="R952" s="285" t="s">
        <v>5465</v>
      </c>
      <c r="S952" s="15">
        <v>42261</v>
      </c>
      <c r="T952" s="22" t="s">
        <v>5466</v>
      </c>
    </row>
    <row r="953" spans="1:20" ht="97.5" customHeight="1" x14ac:dyDescent="0.2">
      <c r="A953" s="289">
        <v>970</v>
      </c>
      <c r="B953" s="289" t="s">
        <v>2755</v>
      </c>
      <c r="C953" s="289"/>
      <c r="D953" s="9" t="s">
        <v>5470</v>
      </c>
      <c r="E953" s="285">
        <v>2015</v>
      </c>
      <c r="F953" s="9" t="s">
        <v>5471</v>
      </c>
      <c r="G953" s="285" t="s">
        <v>7979</v>
      </c>
      <c r="H953" s="285" t="s">
        <v>5127</v>
      </c>
      <c r="I953" s="289"/>
      <c r="J953" s="285" t="s">
        <v>3136</v>
      </c>
      <c r="K953" s="15">
        <v>42346</v>
      </c>
      <c r="L953" s="12" t="s">
        <v>6289</v>
      </c>
      <c r="M953" s="15">
        <v>42332</v>
      </c>
      <c r="N953" s="16">
        <v>1</v>
      </c>
      <c r="O953" s="40">
        <v>5600</v>
      </c>
      <c r="P953" s="40">
        <v>5600</v>
      </c>
      <c r="Q953" s="40">
        <f t="shared" si="24"/>
        <v>0</v>
      </c>
      <c r="R953" s="285" t="s">
        <v>5465</v>
      </c>
      <c r="S953" s="15">
        <v>42261</v>
      </c>
      <c r="T953" s="22" t="s">
        <v>5466</v>
      </c>
    </row>
    <row r="954" spans="1:20" ht="136.5" customHeight="1" x14ac:dyDescent="0.2">
      <c r="A954" s="289">
        <v>971</v>
      </c>
      <c r="B954" s="289" t="s">
        <v>5461</v>
      </c>
      <c r="C954" s="289"/>
      <c r="D954" s="9" t="s">
        <v>5472</v>
      </c>
      <c r="E954" s="285">
        <v>2015</v>
      </c>
      <c r="F954" s="9" t="s">
        <v>5473</v>
      </c>
      <c r="G954" s="285" t="s">
        <v>7979</v>
      </c>
      <c r="H954" s="285" t="s">
        <v>5127</v>
      </c>
      <c r="I954" s="289"/>
      <c r="J954" s="285" t="s">
        <v>3136</v>
      </c>
      <c r="K954" s="15">
        <v>42346</v>
      </c>
      <c r="L954" s="12" t="s">
        <v>6289</v>
      </c>
      <c r="M954" s="15">
        <v>42332</v>
      </c>
      <c r="N954" s="16">
        <v>1</v>
      </c>
      <c r="O954" s="40">
        <v>4000</v>
      </c>
      <c r="P954" s="40">
        <v>4000</v>
      </c>
      <c r="Q954" s="40">
        <f t="shared" si="24"/>
        <v>0</v>
      </c>
      <c r="R954" s="285" t="s">
        <v>5465</v>
      </c>
      <c r="S954" s="15">
        <v>42261</v>
      </c>
      <c r="T954" s="22" t="s">
        <v>5466</v>
      </c>
    </row>
    <row r="955" spans="1:20" ht="137.25" customHeight="1" x14ac:dyDescent="0.2">
      <c r="A955" s="289">
        <v>972</v>
      </c>
      <c r="B955" s="289" t="s">
        <v>5462</v>
      </c>
      <c r="C955" s="289"/>
      <c r="D955" s="9" t="s">
        <v>5474</v>
      </c>
      <c r="E955" s="285">
        <v>2015</v>
      </c>
      <c r="F955" s="9" t="s">
        <v>5475</v>
      </c>
      <c r="G955" s="285" t="s">
        <v>7979</v>
      </c>
      <c r="H955" s="285" t="s">
        <v>5127</v>
      </c>
      <c r="I955" s="289"/>
      <c r="J955" s="285" t="s">
        <v>3136</v>
      </c>
      <c r="K955" s="15">
        <v>42346</v>
      </c>
      <c r="L955" s="12" t="s">
        <v>6289</v>
      </c>
      <c r="M955" s="15">
        <v>42332</v>
      </c>
      <c r="N955" s="16">
        <v>2</v>
      </c>
      <c r="O955" s="40">
        <v>12000</v>
      </c>
      <c r="P955" s="40">
        <v>12000</v>
      </c>
      <c r="Q955" s="40">
        <f t="shared" si="24"/>
        <v>0</v>
      </c>
      <c r="R955" s="285" t="s">
        <v>5465</v>
      </c>
      <c r="S955" s="15">
        <v>42261</v>
      </c>
      <c r="T955" s="22" t="s">
        <v>5466</v>
      </c>
    </row>
    <row r="956" spans="1:20" ht="138" customHeight="1" x14ac:dyDescent="0.2">
      <c r="A956" s="289">
        <v>973</v>
      </c>
      <c r="B956" s="289" t="s">
        <v>5463</v>
      </c>
      <c r="C956" s="289"/>
      <c r="D956" s="9" t="s">
        <v>5476</v>
      </c>
      <c r="E956" s="285">
        <v>2015</v>
      </c>
      <c r="F956" s="9" t="s">
        <v>5477</v>
      </c>
      <c r="G956" s="285" t="s">
        <v>7979</v>
      </c>
      <c r="H956" s="285" t="s">
        <v>5127</v>
      </c>
      <c r="I956" s="289"/>
      <c r="J956" s="285" t="s">
        <v>3136</v>
      </c>
      <c r="K956" s="15">
        <v>42346</v>
      </c>
      <c r="L956" s="12" t="s">
        <v>6289</v>
      </c>
      <c r="M956" s="15">
        <v>42332</v>
      </c>
      <c r="N956" s="16">
        <v>2</v>
      </c>
      <c r="O956" s="40">
        <v>28000</v>
      </c>
      <c r="P956" s="40">
        <v>28000</v>
      </c>
      <c r="Q956" s="40">
        <f t="shared" si="24"/>
        <v>0</v>
      </c>
      <c r="R956" s="285" t="s">
        <v>5465</v>
      </c>
      <c r="S956" s="15">
        <v>42261</v>
      </c>
      <c r="T956" s="22" t="s">
        <v>5466</v>
      </c>
    </row>
    <row r="957" spans="1:20" ht="138" customHeight="1" x14ac:dyDescent="0.2">
      <c r="A957" s="289">
        <v>974</v>
      </c>
      <c r="B957" s="289" t="s">
        <v>1357</v>
      </c>
      <c r="C957" s="289"/>
      <c r="D957" s="9" t="s">
        <v>1358</v>
      </c>
      <c r="E957" s="285">
        <v>2015</v>
      </c>
      <c r="F957" s="9" t="s">
        <v>1359</v>
      </c>
      <c r="G957" s="285" t="s">
        <v>7978</v>
      </c>
      <c r="H957" s="285" t="s">
        <v>5127</v>
      </c>
      <c r="I957" s="289"/>
      <c r="J957" s="285" t="s">
        <v>3136</v>
      </c>
      <c r="K957" s="15">
        <v>42346</v>
      </c>
      <c r="L957" s="12" t="s">
        <v>1677</v>
      </c>
      <c r="M957" s="15">
        <v>42318</v>
      </c>
      <c r="N957" s="16">
        <v>2</v>
      </c>
      <c r="O957" s="40">
        <v>11660</v>
      </c>
      <c r="P957" s="40">
        <v>11660</v>
      </c>
      <c r="Q957" s="40">
        <f t="shared" si="24"/>
        <v>0</v>
      </c>
      <c r="R957" s="285" t="s">
        <v>5345</v>
      </c>
      <c r="S957" s="15">
        <v>42318</v>
      </c>
      <c r="T957" s="285">
        <v>2620150132</v>
      </c>
    </row>
    <row r="958" spans="1:20" ht="138" customHeight="1" x14ac:dyDescent="0.2">
      <c r="A958" s="289">
        <v>975</v>
      </c>
      <c r="B958" s="289" t="s">
        <v>2372</v>
      </c>
      <c r="C958" s="289"/>
      <c r="D958" s="9" t="s">
        <v>2373</v>
      </c>
      <c r="E958" s="285">
        <v>2015</v>
      </c>
      <c r="F958" s="9" t="s">
        <v>1756</v>
      </c>
      <c r="G958" s="285" t="s">
        <v>7978</v>
      </c>
      <c r="H958" s="285" t="s">
        <v>5127</v>
      </c>
      <c r="I958" s="289"/>
      <c r="J958" s="285" t="s">
        <v>3136</v>
      </c>
      <c r="K958" s="15">
        <v>42346</v>
      </c>
      <c r="L958" s="12" t="s">
        <v>1677</v>
      </c>
      <c r="M958" s="15">
        <v>42327</v>
      </c>
      <c r="N958" s="16">
        <v>12</v>
      </c>
      <c r="O958" s="40">
        <v>124980</v>
      </c>
      <c r="P958" s="40">
        <v>124980</v>
      </c>
      <c r="Q958" s="40">
        <f t="shared" si="24"/>
        <v>0</v>
      </c>
      <c r="R958" s="285" t="s">
        <v>3012</v>
      </c>
      <c r="S958" s="15">
        <v>42306</v>
      </c>
      <c r="T958" s="285" t="s">
        <v>1676</v>
      </c>
    </row>
    <row r="959" spans="1:20" ht="114.75" customHeight="1" x14ac:dyDescent="0.2">
      <c r="A959" s="289">
        <v>976</v>
      </c>
      <c r="B959" s="289" t="s">
        <v>3001</v>
      </c>
      <c r="C959" s="289"/>
      <c r="D959" s="9" t="s">
        <v>3005</v>
      </c>
      <c r="E959" s="285">
        <v>2015</v>
      </c>
      <c r="F959" s="9" t="s">
        <v>3006</v>
      </c>
      <c r="G959" s="285" t="s">
        <v>7977</v>
      </c>
      <c r="H959" s="285" t="s">
        <v>5127</v>
      </c>
      <c r="I959" s="289"/>
      <c r="J959" s="285" t="s">
        <v>3136</v>
      </c>
      <c r="K959" s="15">
        <v>42362</v>
      </c>
      <c r="L959" s="12" t="s">
        <v>5898</v>
      </c>
      <c r="M959" s="15">
        <v>42338</v>
      </c>
      <c r="N959" s="44">
        <v>2</v>
      </c>
      <c r="O959" s="62">
        <v>6300</v>
      </c>
      <c r="P959" s="62">
        <v>6300</v>
      </c>
      <c r="Q959" s="40">
        <f t="shared" si="24"/>
        <v>0</v>
      </c>
      <c r="R959" s="285" t="s">
        <v>3012</v>
      </c>
      <c r="S959" s="15">
        <v>42306</v>
      </c>
      <c r="T959" s="285" t="s">
        <v>1676</v>
      </c>
    </row>
    <row r="960" spans="1:20" ht="109.5" customHeight="1" x14ac:dyDescent="0.2">
      <c r="A960" s="289">
        <v>977</v>
      </c>
      <c r="B960" s="289" t="s">
        <v>3002</v>
      </c>
      <c r="C960" s="289"/>
      <c r="D960" s="9" t="s">
        <v>3007</v>
      </c>
      <c r="E960" s="285">
        <v>2015</v>
      </c>
      <c r="F960" s="9" t="s">
        <v>3009</v>
      </c>
      <c r="G960" s="285" t="s">
        <v>7977</v>
      </c>
      <c r="H960" s="285" t="s">
        <v>5127</v>
      </c>
      <c r="I960" s="289"/>
      <c r="J960" s="285" t="s">
        <v>3136</v>
      </c>
      <c r="K960" s="15">
        <v>42362</v>
      </c>
      <c r="L960" s="12" t="s">
        <v>5898</v>
      </c>
      <c r="M960" s="15">
        <v>42338</v>
      </c>
      <c r="N960" s="44">
        <v>2</v>
      </c>
      <c r="O960" s="62">
        <v>7700</v>
      </c>
      <c r="P960" s="62">
        <v>7700</v>
      </c>
      <c r="Q960" s="40">
        <f t="shared" si="24"/>
        <v>0</v>
      </c>
      <c r="R960" s="285" t="s">
        <v>3012</v>
      </c>
      <c r="S960" s="15">
        <v>42306</v>
      </c>
      <c r="T960" s="285" t="s">
        <v>1676</v>
      </c>
    </row>
    <row r="961" spans="1:20" ht="138" customHeight="1" x14ac:dyDescent="0.2">
      <c r="A961" s="289">
        <v>978</v>
      </c>
      <c r="B961" s="289" t="s">
        <v>3003</v>
      </c>
      <c r="C961" s="289"/>
      <c r="D961" s="9" t="s">
        <v>3008</v>
      </c>
      <c r="E961" s="285">
        <v>2015</v>
      </c>
      <c r="F961" s="9" t="s">
        <v>3010</v>
      </c>
      <c r="G961" s="285" t="s">
        <v>7977</v>
      </c>
      <c r="H961" s="285" t="s">
        <v>5127</v>
      </c>
      <c r="I961" s="289"/>
      <c r="J961" s="285" t="s">
        <v>3136</v>
      </c>
      <c r="K961" s="15">
        <v>42362</v>
      </c>
      <c r="L961" s="12" t="s">
        <v>5898</v>
      </c>
      <c r="M961" s="15">
        <v>42338</v>
      </c>
      <c r="N961" s="44">
        <v>2</v>
      </c>
      <c r="O961" s="62">
        <v>9600</v>
      </c>
      <c r="P961" s="62">
        <v>9600</v>
      </c>
      <c r="Q961" s="40">
        <f t="shared" si="24"/>
        <v>0</v>
      </c>
      <c r="R961" s="285" t="s">
        <v>3012</v>
      </c>
      <c r="S961" s="15">
        <v>42306</v>
      </c>
      <c r="T961" s="285" t="s">
        <v>1676</v>
      </c>
    </row>
    <row r="962" spans="1:20" ht="221.25" customHeight="1" x14ac:dyDescent="0.2">
      <c r="A962" s="289">
        <v>979</v>
      </c>
      <c r="B962" s="289" t="s">
        <v>3004</v>
      </c>
      <c r="C962" s="289"/>
      <c r="D962" s="9" t="s">
        <v>5392</v>
      </c>
      <c r="E962" s="285">
        <v>2015</v>
      </c>
      <c r="F962" s="9" t="s">
        <v>3011</v>
      </c>
      <c r="G962" s="285" t="s">
        <v>7977</v>
      </c>
      <c r="H962" s="285" t="s">
        <v>5127</v>
      </c>
      <c r="I962" s="289"/>
      <c r="J962" s="285" t="s">
        <v>3136</v>
      </c>
      <c r="K962" s="15">
        <v>42362</v>
      </c>
      <c r="L962" s="12" t="s">
        <v>5898</v>
      </c>
      <c r="M962" s="15">
        <v>42338</v>
      </c>
      <c r="N962" s="44">
        <v>1</v>
      </c>
      <c r="O962" s="62">
        <v>21900</v>
      </c>
      <c r="P962" s="62">
        <v>21900</v>
      </c>
      <c r="Q962" s="40">
        <f t="shared" si="24"/>
        <v>0</v>
      </c>
      <c r="R962" s="285" t="s">
        <v>3012</v>
      </c>
      <c r="S962" s="15">
        <v>42306</v>
      </c>
      <c r="T962" s="285" t="s">
        <v>1676</v>
      </c>
    </row>
    <row r="963" spans="1:20" ht="138" customHeight="1" x14ac:dyDescent="0.2">
      <c r="A963" s="289">
        <v>980</v>
      </c>
      <c r="B963" s="289" t="s">
        <v>509</v>
      </c>
      <c r="C963" s="289"/>
      <c r="D963" s="9" t="s">
        <v>512</v>
      </c>
      <c r="E963" s="285">
        <v>2015</v>
      </c>
      <c r="F963" s="9" t="s">
        <v>513</v>
      </c>
      <c r="G963" s="285" t="s">
        <v>7978</v>
      </c>
      <c r="H963" s="285" t="s">
        <v>5127</v>
      </c>
      <c r="I963" s="289"/>
      <c r="J963" s="285" t="s">
        <v>3136</v>
      </c>
      <c r="K963" s="15">
        <v>42368</v>
      </c>
      <c r="L963" s="12" t="s">
        <v>5376</v>
      </c>
      <c r="M963" s="15">
        <v>42338</v>
      </c>
      <c r="N963" s="16">
        <v>1</v>
      </c>
      <c r="O963" s="40">
        <v>8020</v>
      </c>
      <c r="P963" s="40">
        <v>8020</v>
      </c>
      <c r="Q963" s="40">
        <f t="shared" si="24"/>
        <v>0</v>
      </c>
      <c r="R963" s="285" t="s">
        <v>4162</v>
      </c>
      <c r="S963" s="15">
        <v>42257</v>
      </c>
      <c r="T963" s="285">
        <v>2620150139</v>
      </c>
    </row>
    <row r="964" spans="1:20" ht="138" customHeight="1" x14ac:dyDescent="0.2">
      <c r="A964" s="289">
        <v>981</v>
      </c>
      <c r="B964" s="289" t="s">
        <v>510</v>
      </c>
      <c r="C964" s="289"/>
      <c r="D964" s="9" t="s">
        <v>512</v>
      </c>
      <c r="E964" s="285">
        <v>2015</v>
      </c>
      <c r="F964" s="9" t="s">
        <v>514</v>
      </c>
      <c r="G964" s="285" t="s">
        <v>7978</v>
      </c>
      <c r="H964" s="285" t="s">
        <v>5127</v>
      </c>
      <c r="I964" s="289"/>
      <c r="J964" s="285" t="s">
        <v>3136</v>
      </c>
      <c r="K964" s="15">
        <v>42368</v>
      </c>
      <c r="L964" s="12" t="s">
        <v>5376</v>
      </c>
      <c r="M964" s="15">
        <v>42338</v>
      </c>
      <c r="N964" s="16">
        <v>1</v>
      </c>
      <c r="O964" s="40">
        <v>10670</v>
      </c>
      <c r="P964" s="40">
        <v>10670</v>
      </c>
      <c r="Q964" s="40">
        <f t="shared" si="24"/>
        <v>0</v>
      </c>
      <c r="R964" s="285" t="s">
        <v>4162</v>
      </c>
      <c r="S964" s="15">
        <v>42257</v>
      </c>
      <c r="T964" s="285">
        <v>2620150139</v>
      </c>
    </row>
    <row r="965" spans="1:20" ht="97.5" customHeight="1" x14ac:dyDescent="0.2">
      <c r="A965" s="289">
        <v>982</v>
      </c>
      <c r="B965" s="289" t="s">
        <v>511</v>
      </c>
      <c r="C965" s="289"/>
      <c r="D965" s="9" t="s">
        <v>6182</v>
      </c>
      <c r="E965" s="285">
        <v>2015</v>
      </c>
      <c r="F965" s="9" t="s">
        <v>6191</v>
      </c>
      <c r="G965" s="285" t="s">
        <v>7978</v>
      </c>
      <c r="H965" s="285" t="s">
        <v>5127</v>
      </c>
      <c r="I965" s="289"/>
      <c r="J965" s="285" t="s">
        <v>3136</v>
      </c>
      <c r="K965" s="15">
        <v>42368</v>
      </c>
      <c r="L965" s="12" t="s">
        <v>5376</v>
      </c>
      <c r="M965" s="15">
        <v>42338</v>
      </c>
      <c r="N965" s="16">
        <v>1</v>
      </c>
      <c r="O965" s="40">
        <v>12070</v>
      </c>
      <c r="P965" s="40">
        <v>12070</v>
      </c>
      <c r="Q965" s="40">
        <f t="shared" si="24"/>
        <v>0</v>
      </c>
      <c r="R965" s="285" t="s">
        <v>4162</v>
      </c>
      <c r="S965" s="15">
        <v>42257</v>
      </c>
      <c r="T965" s="285">
        <v>2620150139</v>
      </c>
    </row>
    <row r="966" spans="1:20" ht="93.75" customHeight="1" x14ac:dyDescent="0.2">
      <c r="A966" s="289">
        <v>983</v>
      </c>
      <c r="B966" s="289" t="s">
        <v>6183</v>
      </c>
      <c r="C966" s="289"/>
      <c r="D966" s="9" t="s">
        <v>6182</v>
      </c>
      <c r="E966" s="285">
        <v>2015</v>
      </c>
      <c r="F966" s="9" t="s">
        <v>2051</v>
      </c>
      <c r="G966" s="285" t="s">
        <v>7978</v>
      </c>
      <c r="H966" s="285" t="s">
        <v>5127</v>
      </c>
      <c r="I966" s="289"/>
      <c r="J966" s="285" t="s">
        <v>3136</v>
      </c>
      <c r="K966" s="15">
        <v>42368</v>
      </c>
      <c r="L966" s="12" t="s">
        <v>5376</v>
      </c>
      <c r="M966" s="15">
        <v>42338</v>
      </c>
      <c r="N966" s="16">
        <v>1</v>
      </c>
      <c r="O966" s="40">
        <v>9120</v>
      </c>
      <c r="P966" s="40">
        <v>9120</v>
      </c>
      <c r="Q966" s="40">
        <f t="shared" si="24"/>
        <v>0</v>
      </c>
      <c r="R966" s="285" t="s">
        <v>4162</v>
      </c>
      <c r="S966" s="15">
        <v>42257</v>
      </c>
      <c r="T966" s="285">
        <v>2620150139</v>
      </c>
    </row>
    <row r="967" spans="1:20" ht="83.25" customHeight="1" x14ac:dyDescent="0.2">
      <c r="A967" s="289">
        <v>984</v>
      </c>
      <c r="B967" s="289" t="s">
        <v>6184</v>
      </c>
      <c r="C967" s="289"/>
      <c r="D967" s="9" t="s">
        <v>2050</v>
      </c>
      <c r="E967" s="285">
        <v>2015</v>
      </c>
      <c r="F967" s="9" t="s">
        <v>2052</v>
      </c>
      <c r="G967" s="285" t="s">
        <v>7978</v>
      </c>
      <c r="H967" s="285" t="s">
        <v>5127</v>
      </c>
      <c r="I967" s="289"/>
      <c r="J967" s="285" t="s">
        <v>3136</v>
      </c>
      <c r="K967" s="15">
        <v>42368</v>
      </c>
      <c r="L967" s="12" t="s">
        <v>5376</v>
      </c>
      <c r="M967" s="15">
        <v>42338</v>
      </c>
      <c r="N967" s="16">
        <v>1</v>
      </c>
      <c r="O967" s="40">
        <v>5370</v>
      </c>
      <c r="P967" s="40">
        <v>5370</v>
      </c>
      <c r="Q967" s="40">
        <f t="shared" si="24"/>
        <v>0</v>
      </c>
      <c r="R967" s="285" t="s">
        <v>4162</v>
      </c>
      <c r="S967" s="15">
        <v>42257</v>
      </c>
      <c r="T967" s="285">
        <v>2620150139</v>
      </c>
    </row>
    <row r="968" spans="1:20" ht="145.5" customHeight="1" x14ac:dyDescent="0.2">
      <c r="A968" s="289">
        <v>985</v>
      </c>
      <c r="B968" s="289" t="s">
        <v>6185</v>
      </c>
      <c r="C968" s="289"/>
      <c r="D968" s="9" t="s">
        <v>2053</v>
      </c>
      <c r="E968" s="285">
        <v>2015</v>
      </c>
      <c r="F968" s="9" t="s">
        <v>2054</v>
      </c>
      <c r="G968" s="285" t="s">
        <v>7978</v>
      </c>
      <c r="H968" s="285" t="s">
        <v>5127</v>
      </c>
      <c r="I968" s="289"/>
      <c r="J968" s="285" t="s">
        <v>3136</v>
      </c>
      <c r="K968" s="15">
        <v>42368</v>
      </c>
      <c r="L968" s="12" t="s">
        <v>5376</v>
      </c>
      <c r="M968" s="15">
        <v>42338</v>
      </c>
      <c r="N968" s="16">
        <v>1</v>
      </c>
      <c r="O968" s="40">
        <v>12370</v>
      </c>
      <c r="P968" s="40">
        <v>12370</v>
      </c>
      <c r="Q968" s="40">
        <f t="shared" si="24"/>
        <v>0</v>
      </c>
      <c r="R968" s="285" t="s">
        <v>4162</v>
      </c>
      <c r="S968" s="15">
        <v>42257</v>
      </c>
      <c r="T968" s="285">
        <v>2620150139</v>
      </c>
    </row>
    <row r="969" spans="1:20" ht="138" customHeight="1" x14ac:dyDescent="0.2">
      <c r="A969" s="289">
        <v>986</v>
      </c>
      <c r="B969" s="289" t="s">
        <v>6186</v>
      </c>
      <c r="C969" s="289"/>
      <c r="D969" s="9" t="s">
        <v>2055</v>
      </c>
      <c r="E969" s="285">
        <v>2015</v>
      </c>
      <c r="F969" s="9" t="s">
        <v>2056</v>
      </c>
      <c r="G969" s="285" t="s">
        <v>7978</v>
      </c>
      <c r="H969" s="285" t="s">
        <v>5127</v>
      </c>
      <c r="I969" s="289"/>
      <c r="J969" s="285" t="s">
        <v>3136</v>
      </c>
      <c r="K969" s="15">
        <v>42368</v>
      </c>
      <c r="L969" s="12" t="s">
        <v>5376</v>
      </c>
      <c r="M969" s="15">
        <v>42338</v>
      </c>
      <c r="N969" s="16">
        <v>1</v>
      </c>
      <c r="O969" s="40">
        <v>6570</v>
      </c>
      <c r="P969" s="40">
        <v>6570</v>
      </c>
      <c r="Q969" s="40">
        <f t="shared" si="24"/>
        <v>0</v>
      </c>
      <c r="R969" s="285" t="s">
        <v>4162</v>
      </c>
      <c r="S969" s="15">
        <v>42257</v>
      </c>
      <c r="T969" s="285">
        <v>2620150139</v>
      </c>
    </row>
    <row r="970" spans="1:20" ht="138" customHeight="1" x14ac:dyDescent="0.2">
      <c r="A970" s="289">
        <v>987</v>
      </c>
      <c r="B970" s="289" t="s">
        <v>6187</v>
      </c>
      <c r="C970" s="289"/>
      <c r="D970" s="9" t="s">
        <v>2055</v>
      </c>
      <c r="E970" s="285">
        <v>2015</v>
      </c>
      <c r="F970" s="9" t="s">
        <v>4923</v>
      </c>
      <c r="G970" s="285" t="s">
        <v>7978</v>
      </c>
      <c r="H970" s="285" t="s">
        <v>5127</v>
      </c>
      <c r="I970" s="289"/>
      <c r="J970" s="285" t="s">
        <v>3136</v>
      </c>
      <c r="K970" s="15">
        <v>42368</v>
      </c>
      <c r="L970" s="12" t="s">
        <v>5376</v>
      </c>
      <c r="M970" s="15">
        <v>42338</v>
      </c>
      <c r="N970" s="16">
        <v>1</v>
      </c>
      <c r="O970" s="40">
        <v>8870</v>
      </c>
      <c r="P970" s="40">
        <v>8870</v>
      </c>
      <c r="Q970" s="40">
        <f t="shared" si="24"/>
        <v>0</v>
      </c>
      <c r="R970" s="285" t="s">
        <v>4162</v>
      </c>
      <c r="S970" s="15">
        <v>42257</v>
      </c>
      <c r="T970" s="285">
        <v>2620150139</v>
      </c>
    </row>
    <row r="971" spans="1:20" ht="92.25" customHeight="1" x14ac:dyDescent="0.2">
      <c r="A971" s="289">
        <v>988</v>
      </c>
      <c r="B971" s="289" t="s">
        <v>6188</v>
      </c>
      <c r="C971" s="289"/>
      <c r="D971" s="9" t="s">
        <v>4924</v>
      </c>
      <c r="E971" s="285">
        <v>2015</v>
      </c>
      <c r="F971" s="9" t="s">
        <v>4925</v>
      </c>
      <c r="G971" s="285" t="s">
        <v>7978</v>
      </c>
      <c r="H971" s="285" t="s">
        <v>5127</v>
      </c>
      <c r="I971" s="289"/>
      <c r="J971" s="285" t="s">
        <v>3136</v>
      </c>
      <c r="K971" s="15">
        <v>42368</v>
      </c>
      <c r="L971" s="12" t="s">
        <v>5376</v>
      </c>
      <c r="M971" s="15">
        <v>42338</v>
      </c>
      <c r="N971" s="16">
        <v>1</v>
      </c>
      <c r="O971" s="40">
        <v>11520</v>
      </c>
      <c r="P971" s="40">
        <v>11520</v>
      </c>
      <c r="Q971" s="40">
        <f t="shared" si="24"/>
        <v>0</v>
      </c>
      <c r="R971" s="285" t="s">
        <v>4162</v>
      </c>
      <c r="S971" s="15">
        <v>42257</v>
      </c>
      <c r="T971" s="285">
        <v>2620150139</v>
      </c>
    </row>
    <row r="972" spans="1:20" ht="153" customHeight="1" x14ac:dyDescent="0.2">
      <c r="A972" s="289">
        <v>989</v>
      </c>
      <c r="B972" s="289" t="s">
        <v>6189</v>
      </c>
      <c r="C972" s="289"/>
      <c r="D972" s="9" t="s">
        <v>4926</v>
      </c>
      <c r="E972" s="285">
        <v>2015</v>
      </c>
      <c r="F972" s="9" t="s">
        <v>3471</v>
      </c>
      <c r="G972" s="285" t="s">
        <v>7978</v>
      </c>
      <c r="H972" s="285" t="s">
        <v>5127</v>
      </c>
      <c r="I972" s="289"/>
      <c r="J972" s="285" t="s">
        <v>3136</v>
      </c>
      <c r="K972" s="15">
        <v>42368</v>
      </c>
      <c r="L972" s="12" t="s">
        <v>5376</v>
      </c>
      <c r="M972" s="15">
        <v>42338</v>
      </c>
      <c r="N972" s="16">
        <v>1</v>
      </c>
      <c r="O972" s="40">
        <v>15370</v>
      </c>
      <c r="P972" s="40">
        <v>15370</v>
      </c>
      <c r="Q972" s="40">
        <f t="shared" si="24"/>
        <v>0</v>
      </c>
      <c r="R972" s="285" t="s">
        <v>4162</v>
      </c>
      <c r="S972" s="15">
        <v>42257</v>
      </c>
      <c r="T972" s="285">
        <v>2620150139</v>
      </c>
    </row>
    <row r="973" spans="1:20" ht="138" customHeight="1" x14ac:dyDescent="0.2">
      <c r="A973" s="289">
        <v>990</v>
      </c>
      <c r="B973" s="289" t="s">
        <v>6190</v>
      </c>
      <c r="C973" s="289"/>
      <c r="D973" s="9" t="s">
        <v>3472</v>
      </c>
      <c r="E973" s="285">
        <v>2015</v>
      </c>
      <c r="F973" s="9" t="s">
        <v>3473</v>
      </c>
      <c r="G973" s="285" t="s">
        <v>7934</v>
      </c>
      <c r="H973" s="285" t="s">
        <v>5127</v>
      </c>
      <c r="I973" s="289"/>
      <c r="J973" s="285" t="s">
        <v>3136</v>
      </c>
      <c r="K973" s="15">
        <v>42368</v>
      </c>
      <c r="L973" s="12" t="s">
        <v>4427</v>
      </c>
      <c r="M973" s="15">
        <v>42360</v>
      </c>
      <c r="N973" s="16">
        <v>1</v>
      </c>
      <c r="O973" s="40">
        <v>24796</v>
      </c>
      <c r="P973" s="40">
        <v>24796</v>
      </c>
      <c r="Q973" s="40">
        <f t="shared" si="24"/>
        <v>0</v>
      </c>
      <c r="R973" s="285" t="s">
        <v>3474</v>
      </c>
      <c r="S973" s="15">
        <v>42310</v>
      </c>
      <c r="T973" s="285">
        <v>22</v>
      </c>
    </row>
    <row r="974" spans="1:20" ht="108" customHeight="1" x14ac:dyDescent="0.2">
      <c r="A974" s="289">
        <v>991</v>
      </c>
      <c r="B974" s="289" t="s">
        <v>3475</v>
      </c>
      <c r="C974" s="289"/>
      <c r="D974" s="9" t="s">
        <v>3476</v>
      </c>
      <c r="E974" s="285">
        <v>2015</v>
      </c>
      <c r="F974" s="9" t="s">
        <v>3477</v>
      </c>
      <c r="G974" s="285" t="s">
        <v>7934</v>
      </c>
      <c r="H974" s="285" t="s">
        <v>5127</v>
      </c>
      <c r="I974" s="289"/>
      <c r="J974" s="285" t="s">
        <v>3136</v>
      </c>
      <c r="K974" s="15">
        <v>42368</v>
      </c>
      <c r="L974" s="12" t="s">
        <v>4427</v>
      </c>
      <c r="M974" s="15">
        <v>42360</v>
      </c>
      <c r="N974" s="16">
        <v>1</v>
      </c>
      <c r="O974" s="40">
        <v>23123</v>
      </c>
      <c r="P974" s="40">
        <v>23123</v>
      </c>
      <c r="Q974" s="40">
        <f t="shared" si="24"/>
        <v>0</v>
      </c>
      <c r="R974" s="285" t="s">
        <v>3474</v>
      </c>
      <c r="S974" s="15">
        <v>42310</v>
      </c>
      <c r="T974" s="285">
        <v>22</v>
      </c>
    </row>
    <row r="975" spans="1:20" ht="98.25" customHeight="1" x14ac:dyDescent="0.2">
      <c r="A975" s="289">
        <v>992</v>
      </c>
      <c r="B975" s="289" t="s">
        <v>3478</v>
      </c>
      <c r="C975" s="289"/>
      <c r="D975" s="9" t="s">
        <v>3479</v>
      </c>
      <c r="E975" s="285">
        <v>2015</v>
      </c>
      <c r="F975" s="9" t="s">
        <v>3480</v>
      </c>
      <c r="G975" s="285" t="s">
        <v>7934</v>
      </c>
      <c r="H975" s="285" t="s">
        <v>5127</v>
      </c>
      <c r="I975" s="289"/>
      <c r="J975" s="285" t="s">
        <v>3136</v>
      </c>
      <c r="K975" s="15">
        <v>42368</v>
      </c>
      <c r="L975" s="12" t="s">
        <v>4427</v>
      </c>
      <c r="M975" s="15">
        <v>42360</v>
      </c>
      <c r="N975" s="16">
        <v>1</v>
      </c>
      <c r="O975" s="40">
        <v>12213</v>
      </c>
      <c r="P975" s="40">
        <v>12213</v>
      </c>
      <c r="Q975" s="40">
        <f t="shared" ref="Q975:Q1001" si="25">O975-P975</f>
        <v>0</v>
      </c>
      <c r="R975" s="285" t="s">
        <v>3474</v>
      </c>
      <c r="S975" s="15">
        <v>42310</v>
      </c>
      <c r="T975" s="285">
        <v>22</v>
      </c>
    </row>
    <row r="976" spans="1:20" ht="138" customHeight="1" x14ac:dyDescent="0.2">
      <c r="A976" s="289">
        <v>993</v>
      </c>
      <c r="B976" s="289" t="s">
        <v>3481</v>
      </c>
      <c r="C976" s="289"/>
      <c r="D976" s="9" t="s">
        <v>3482</v>
      </c>
      <c r="E976" s="285">
        <v>2015</v>
      </c>
      <c r="F976" s="9" t="s">
        <v>3483</v>
      </c>
      <c r="G976" s="285" t="s">
        <v>7934</v>
      </c>
      <c r="H976" s="285" t="s">
        <v>5127</v>
      </c>
      <c r="I976" s="289"/>
      <c r="J976" s="285" t="s">
        <v>3136</v>
      </c>
      <c r="K976" s="15">
        <v>42368</v>
      </c>
      <c r="L976" s="12" t="s">
        <v>4427</v>
      </c>
      <c r="M976" s="15">
        <v>42360</v>
      </c>
      <c r="N976" s="16">
        <v>1</v>
      </c>
      <c r="O976" s="40">
        <v>5220</v>
      </c>
      <c r="P976" s="40">
        <v>5220</v>
      </c>
      <c r="Q976" s="40">
        <f t="shared" si="25"/>
        <v>0</v>
      </c>
      <c r="R976" s="285" t="s">
        <v>3474</v>
      </c>
      <c r="S976" s="15">
        <v>42310</v>
      </c>
      <c r="T976" s="285">
        <v>22</v>
      </c>
    </row>
    <row r="977" spans="1:20" ht="102" customHeight="1" x14ac:dyDescent="0.2">
      <c r="A977" s="289">
        <v>994</v>
      </c>
      <c r="B977" s="289" t="s">
        <v>3484</v>
      </c>
      <c r="C977" s="289"/>
      <c r="D977" s="9" t="s">
        <v>3485</v>
      </c>
      <c r="E977" s="285">
        <v>2015</v>
      </c>
      <c r="F977" s="9" t="s">
        <v>3486</v>
      </c>
      <c r="G977" s="285" t="s">
        <v>7934</v>
      </c>
      <c r="H977" s="285" t="s">
        <v>5127</v>
      </c>
      <c r="I977" s="289"/>
      <c r="J977" s="285" t="s">
        <v>3136</v>
      </c>
      <c r="K977" s="15">
        <v>42368</v>
      </c>
      <c r="L977" s="12" t="s">
        <v>4427</v>
      </c>
      <c r="M977" s="15">
        <v>42360</v>
      </c>
      <c r="N977" s="16">
        <v>1</v>
      </c>
      <c r="O977" s="40">
        <v>14466.6</v>
      </c>
      <c r="P977" s="40">
        <v>14466.6</v>
      </c>
      <c r="Q977" s="40">
        <f t="shared" si="25"/>
        <v>0</v>
      </c>
      <c r="R977" s="285" t="s">
        <v>3474</v>
      </c>
      <c r="S977" s="15">
        <v>42310</v>
      </c>
      <c r="T977" s="285">
        <v>22</v>
      </c>
    </row>
    <row r="978" spans="1:20" ht="170.25" customHeight="1" x14ac:dyDescent="0.2">
      <c r="A978" s="289">
        <v>995</v>
      </c>
      <c r="B978" s="289" t="s">
        <v>3487</v>
      </c>
      <c r="C978" s="289"/>
      <c r="D978" s="9" t="s">
        <v>3488</v>
      </c>
      <c r="E978" s="285">
        <v>2015</v>
      </c>
      <c r="F978" s="9" t="s">
        <v>3489</v>
      </c>
      <c r="G978" s="285" t="s">
        <v>7934</v>
      </c>
      <c r="H978" s="285" t="s">
        <v>5127</v>
      </c>
      <c r="I978" s="289"/>
      <c r="J978" s="285" t="s">
        <v>3136</v>
      </c>
      <c r="K978" s="15">
        <v>42368</v>
      </c>
      <c r="L978" s="12" t="s">
        <v>4427</v>
      </c>
      <c r="M978" s="15">
        <v>42360</v>
      </c>
      <c r="N978" s="16">
        <v>1</v>
      </c>
      <c r="O978" s="40">
        <v>15777</v>
      </c>
      <c r="P978" s="40">
        <v>15777</v>
      </c>
      <c r="Q978" s="40">
        <f t="shared" si="25"/>
        <v>0</v>
      </c>
      <c r="R978" s="285" t="s">
        <v>3474</v>
      </c>
      <c r="S978" s="15">
        <v>42310</v>
      </c>
      <c r="T978" s="285">
        <v>22</v>
      </c>
    </row>
    <row r="979" spans="1:20" ht="96.75" customHeight="1" x14ac:dyDescent="0.2">
      <c r="A979" s="289">
        <v>996</v>
      </c>
      <c r="B979" s="289" t="s">
        <v>3490</v>
      </c>
      <c r="C979" s="289"/>
      <c r="D979" s="9" t="s">
        <v>3491</v>
      </c>
      <c r="E979" s="285">
        <v>2015</v>
      </c>
      <c r="F979" s="9" t="s">
        <v>3492</v>
      </c>
      <c r="G979" s="285" t="s">
        <v>7977</v>
      </c>
      <c r="H979" s="285" t="s">
        <v>5127</v>
      </c>
      <c r="I979" s="289"/>
      <c r="J979" s="285" t="s">
        <v>3136</v>
      </c>
      <c r="K979" s="15">
        <v>42368</v>
      </c>
      <c r="L979" s="12" t="s">
        <v>4427</v>
      </c>
      <c r="M979" s="15">
        <v>42366</v>
      </c>
      <c r="N979" s="16">
        <v>6</v>
      </c>
      <c r="O979" s="40">
        <v>48600</v>
      </c>
      <c r="P979" s="40">
        <v>48600</v>
      </c>
      <c r="Q979" s="40">
        <f t="shared" si="25"/>
        <v>0</v>
      </c>
      <c r="R979" s="285" t="s">
        <v>3493</v>
      </c>
      <c r="S979" s="15">
        <v>42340</v>
      </c>
      <c r="T979" s="285" t="s">
        <v>3494</v>
      </c>
    </row>
    <row r="980" spans="1:20" ht="75.75" customHeight="1" x14ac:dyDescent="0.2">
      <c r="A980" s="289">
        <v>997</v>
      </c>
      <c r="B980" s="289" t="s">
        <v>5743</v>
      </c>
      <c r="C980" s="289"/>
      <c r="D980" s="9" t="s">
        <v>5744</v>
      </c>
      <c r="E980" s="285">
        <v>2015</v>
      </c>
      <c r="F980" s="9" t="s">
        <v>400</v>
      </c>
      <c r="G980" s="285" t="s">
        <v>7979</v>
      </c>
      <c r="H980" s="285" t="s">
        <v>5127</v>
      </c>
      <c r="I980" s="289"/>
      <c r="J980" s="285" t="s">
        <v>3136</v>
      </c>
      <c r="K980" s="15">
        <v>42394</v>
      </c>
      <c r="L980" s="12" t="s">
        <v>3550</v>
      </c>
      <c r="M980" s="15">
        <v>42369</v>
      </c>
      <c r="N980" s="16">
        <v>1</v>
      </c>
      <c r="O980" s="40">
        <v>4204.2</v>
      </c>
      <c r="P980" s="40">
        <v>4204.2</v>
      </c>
      <c r="Q980" s="40">
        <f t="shared" si="25"/>
        <v>0</v>
      </c>
      <c r="R980" s="285" t="s">
        <v>3418</v>
      </c>
      <c r="S980" s="15">
        <v>42362</v>
      </c>
      <c r="T980" s="285" t="s">
        <v>1029</v>
      </c>
    </row>
    <row r="981" spans="1:20" ht="49.5" customHeight="1" x14ac:dyDescent="0.2">
      <c r="A981" s="289">
        <v>998</v>
      </c>
      <c r="B981" s="289" t="s">
        <v>5924</v>
      </c>
      <c r="C981" s="289"/>
      <c r="D981" s="9" t="s">
        <v>5926</v>
      </c>
      <c r="E981" s="22" t="s">
        <v>5927</v>
      </c>
      <c r="F981" s="9" t="s">
        <v>5928</v>
      </c>
      <c r="G981" s="285" t="s">
        <v>101</v>
      </c>
      <c r="H981" s="285" t="s">
        <v>5127</v>
      </c>
      <c r="I981" s="289"/>
      <c r="J981" s="285" t="s">
        <v>3136</v>
      </c>
      <c r="K981" s="15">
        <v>42397</v>
      </c>
      <c r="L981" s="12" t="s">
        <v>2987</v>
      </c>
      <c r="M981" s="15">
        <v>42311</v>
      </c>
      <c r="N981" s="16">
        <v>1</v>
      </c>
      <c r="O981" s="40">
        <v>5250</v>
      </c>
      <c r="P981" s="40">
        <v>5250</v>
      </c>
      <c r="Q981" s="40">
        <f t="shared" si="25"/>
        <v>0</v>
      </c>
      <c r="R981" s="285" t="s">
        <v>5929</v>
      </c>
      <c r="S981" s="15">
        <v>42311</v>
      </c>
      <c r="T981" s="285">
        <v>3120152166</v>
      </c>
    </row>
    <row r="982" spans="1:20" ht="96.75" customHeight="1" x14ac:dyDescent="0.2">
      <c r="A982" s="289">
        <v>999</v>
      </c>
      <c r="B982" s="289" t="s">
        <v>5925</v>
      </c>
      <c r="C982" s="289"/>
      <c r="D982" s="9" t="s">
        <v>277</v>
      </c>
      <c r="E982" s="22" t="s">
        <v>278</v>
      </c>
      <c r="F982" s="9" t="s">
        <v>279</v>
      </c>
      <c r="G982" s="285" t="s">
        <v>4946</v>
      </c>
      <c r="H982" s="285" t="s">
        <v>5127</v>
      </c>
      <c r="I982" s="289"/>
      <c r="J982" s="285" t="s">
        <v>3136</v>
      </c>
      <c r="K982" s="15">
        <v>42397</v>
      </c>
      <c r="L982" s="12" t="s">
        <v>1234</v>
      </c>
      <c r="M982" s="15">
        <v>42349</v>
      </c>
      <c r="N982" s="16">
        <v>1</v>
      </c>
      <c r="O982" s="40">
        <v>22000</v>
      </c>
      <c r="P982" s="40">
        <v>22000</v>
      </c>
      <c r="Q982" s="40">
        <f t="shared" si="25"/>
        <v>0</v>
      </c>
      <c r="R982" s="285" t="s">
        <v>5995</v>
      </c>
      <c r="S982" s="15">
        <v>42348</v>
      </c>
      <c r="T982" s="285">
        <v>3320151020</v>
      </c>
    </row>
    <row r="983" spans="1:20" ht="61.5" customHeight="1" x14ac:dyDescent="0.2">
      <c r="A983" s="289">
        <v>1000</v>
      </c>
      <c r="B983" s="289" t="s">
        <v>6218</v>
      </c>
      <c r="C983" s="289"/>
      <c r="D983" s="9" t="s">
        <v>3153</v>
      </c>
      <c r="E983" s="22" t="s">
        <v>6220</v>
      </c>
      <c r="F983" s="9" t="s">
        <v>6222</v>
      </c>
      <c r="G983" s="285" t="s">
        <v>7934</v>
      </c>
      <c r="H983" s="285" t="s">
        <v>5127</v>
      </c>
      <c r="I983" s="289"/>
      <c r="J983" s="285" t="s">
        <v>3136</v>
      </c>
      <c r="K983" s="15">
        <v>42405</v>
      </c>
      <c r="L983" s="12" t="s">
        <v>893</v>
      </c>
      <c r="M983" s="15">
        <v>42388</v>
      </c>
      <c r="N983" s="16">
        <v>3</v>
      </c>
      <c r="O983" s="40">
        <v>10620</v>
      </c>
      <c r="P983" s="40">
        <v>10620</v>
      </c>
      <c r="Q983" s="40">
        <f t="shared" si="25"/>
        <v>0</v>
      </c>
      <c r="R983" s="285" t="s">
        <v>5110</v>
      </c>
      <c r="S983" s="15">
        <v>42359</v>
      </c>
      <c r="T983" s="285">
        <v>82</v>
      </c>
    </row>
    <row r="984" spans="1:20" ht="79.5" customHeight="1" x14ac:dyDescent="0.2">
      <c r="A984" s="289">
        <v>1001</v>
      </c>
      <c r="B984" s="289" t="s">
        <v>6219</v>
      </c>
      <c r="C984" s="289"/>
      <c r="D984" s="9" t="s">
        <v>6221</v>
      </c>
      <c r="E984" s="22" t="s">
        <v>6220</v>
      </c>
      <c r="F984" s="9" t="s">
        <v>6223</v>
      </c>
      <c r="G984" s="285" t="s">
        <v>7934</v>
      </c>
      <c r="H984" s="285" t="s">
        <v>5127</v>
      </c>
      <c r="I984" s="289"/>
      <c r="J984" s="285" t="s">
        <v>3136</v>
      </c>
      <c r="K984" s="15">
        <v>42405</v>
      </c>
      <c r="L984" s="12" t="s">
        <v>893</v>
      </c>
      <c r="M984" s="15">
        <v>42388</v>
      </c>
      <c r="N984" s="16">
        <v>3</v>
      </c>
      <c r="O984" s="40">
        <v>11991</v>
      </c>
      <c r="P984" s="40">
        <v>11991</v>
      </c>
      <c r="Q984" s="40">
        <f t="shared" si="25"/>
        <v>0</v>
      </c>
      <c r="R984" s="285" t="s">
        <v>5110</v>
      </c>
      <c r="S984" s="15">
        <v>42359</v>
      </c>
      <c r="T984" s="285">
        <v>82</v>
      </c>
    </row>
    <row r="985" spans="1:20" ht="96.75" customHeight="1" x14ac:dyDescent="0.2">
      <c r="A985" s="289">
        <v>1002</v>
      </c>
      <c r="B985" s="289" t="s">
        <v>6249</v>
      </c>
      <c r="C985" s="289"/>
      <c r="D985" s="9" t="s">
        <v>6250</v>
      </c>
      <c r="E985" s="22" t="s">
        <v>6220</v>
      </c>
      <c r="F985" s="9" t="s">
        <v>6251</v>
      </c>
      <c r="G985" s="285" t="s">
        <v>7979</v>
      </c>
      <c r="H985" s="285" t="s">
        <v>5127</v>
      </c>
      <c r="I985" s="289"/>
      <c r="J985" s="285" t="s">
        <v>3136</v>
      </c>
      <c r="K985" s="15">
        <v>42432</v>
      </c>
      <c r="L985" s="12" t="s">
        <v>6257</v>
      </c>
      <c r="M985" s="15">
        <v>42403</v>
      </c>
      <c r="N985" s="16">
        <v>1</v>
      </c>
      <c r="O985" s="40">
        <v>3850</v>
      </c>
      <c r="P985" s="40">
        <v>3850</v>
      </c>
      <c r="Q985" s="40">
        <f t="shared" si="25"/>
        <v>0</v>
      </c>
      <c r="R985" s="285" t="s">
        <v>3418</v>
      </c>
      <c r="S985" s="15">
        <v>42403</v>
      </c>
      <c r="T985" s="285">
        <v>282016026</v>
      </c>
    </row>
    <row r="986" spans="1:20" ht="147" customHeight="1" x14ac:dyDescent="0.2">
      <c r="A986" s="289">
        <v>1003</v>
      </c>
      <c r="B986" s="289" t="s">
        <v>6258</v>
      </c>
      <c r="C986" s="289"/>
      <c r="D986" s="9" t="s">
        <v>6259</v>
      </c>
      <c r="E986" s="22" t="s">
        <v>4834</v>
      </c>
      <c r="F986" s="9" t="s">
        <v>6260</v>
      </c>
      <c r="G986" s="285" t="s">
        <v>7978</v>
      </c>
      <c r="H986" s="285" t="s">
        <v>5127</v>
      </c>
      <c r="I986" s="289"/>
      <c r="J986" s="285" t="s">
        <v>3136</v>
      </c>
      <c r="K986" s="15">
        <v>42443</v>
      </c>
      <c r="L986" s="12" t="s">
        <v>5537</v>
      </c>
      <c r="M986" s="15">
        <v>42408</v>
      </c>
      <c r="N986" s="16">
        <v>1</v>
      </c>
      <c r="O986" s="40">
        <v>7493</v>
      </c>
      <c r="P986" s="40">
        <v>7493</v>
      </c>
      <c r="Q986" s="40">
        <f t="shared" si="25"/>
        <v>0</v>
      </c>
      <c r="R986" s="285" t="s">
        <v>6261</v>
      </c>
      <c r="S986" s="15">
        <v>42381</v>
      </c>
      <c r="T986" s="22"/>
    </row>
    <row r="987" spans="1:20" ht="111" customHeight="1" x14ac:dyDescent="0.2">
      <c r="A987" s="289">
        <v>1004</v>
      </c>
      <c r="B987" s="289" t="s">
        <v>5531</v>
      </c>
      <c r="C987" s="289" t="s">
        <v>5274</v>
      </c>
      <c r="D987" s="9" t="s">
        <v>5535</v>
      </c>
      <c r="E987" s="22" t="s">
        <v>6220</v>
      </c>
      <c r="F987" s="9" t="s">
        <v>5532</v>
      </c>
      <c r="G987" s="285" t="s">
        <v>9194</v>
      </c>
      <c r="H987" s="285" t="s">
        <v>5127</v>
      </c>
      <c r="I987" s="289"/>
      <c r="J987" s="285" t="s">
        <v>3136</v>
      </c>
      <c r="K987" s="15">
        <v>42444</v>
      </c>
      <c r="L987" s="12" t="s">
        <v>5539</v>
      </c>
      <c r="M987" s="15">
        <v>42417</v>
      </c>
      <c r="N987" s="16">
        <v>1</v>
      </c>
      <c r="O987" s="40">
        <v>5230</v>
      </c>
      <c r="P987" s="40">
        <v>5230</v>
      </c>
      <c r="Q987" s="40">
        <f t="shared" si="25"/>
        <v>0</v>
      </c>
      <c r="R987" s="285" t="s">
        <v>5533</v>
      </c>
      <c r="S987" s="15">
        <v>42412</v>
      </c>
      <c r="T987" s="22" t="s">
        <v>5534</v>
      </c>
    </row>
    <row r="988" spans="1:20" ht="96.75" customHeight="1" x14ac:dyDescent="0.2">
      <c r="A988" s="289">
        <v>1005</v>
      </c>
      <c r="B988" s="289" t="s">
        <v>624</v>
      </c>
      <c r="C988" s="289"/>
      <c r="D988" s="9" t="s">
        <v>4361</v>
      </c>
      <c r="E988" s="22"/>
      <c r="F988" s="9"/>
      <c r="G988" s="285" t="s">
        <v>4877</v>
      </c>
      <c r="H988" s="289" t="s">
        <v>2207</v>
      </c>
      <c r="I988" s="289"/>
      <c r="J988" s="285" t="s">
        <v>11660</v>
      </c>
      <c r="K988" s="14" t="s">
        <v>11662</v>
      </c>
      <c r="L988" s="22" t="s">
        <v>11661</v>
      </c>
      <c r="M988" s="15"/>
      <c r="N988" s="40">
        <f>20-8-2-4</f>
        <v>6</v>
      </c>
      <c r="O988" s="40">
        <f>4200-1680-420-840</f>
        <v>1260</v>
      </c>
      <c r="P988" s="40">
        <f>4200-1680-420-840</f>
        <v>1260</v>
      </c>
      <c r="Q988" s="40">
        <f t="shared" si="25"/>
        <v>0</v>
      </c>
      <c r="R988" s="285"/>
      <c r="S988" s="15"/>
      <c r="T988" s="22"/>
    </row>
    <row r="989" spans="1:20" ht="96.75" customHeight="1" x14ac:dyDescent="0.2">
      <c r="A989" s="289">
        <v>1006</v>
      </c>
      <c r="B989" s="289" t="s">
        <v>625</v>
      </c>
      <c r="C989" s="289"/>
      <c r="D989" s="9" t="s">
        <v>3333</v>
      </c>
      <c r="E989" s="22"/>
      <c r="F989" s="9"/>
      <c r="G989" s="285" t="s">
        <v>4877</v>
      </c>
      <c r="H989" s="289" t="s">
        <v>2207</v>
      </c>
      <c r="I989" s="289"/>
      <c r="J989" s="285" t="s">
        <v>11660</v>
      </c>
      <c r="K989" s="14" t="s">
        <v>11662</v>
      </c>
      <c r="L989" s="22" t="s">
        <v>11661</v>
      </c>
      <c r="M989" s="15"/>
      <c r="N989" s="40">
        <f>14-3-4</f>
        <v>7</v>
      </c>
      <c r="O989" s="40">
        <f>2940-630-840</f>
        <v>1470</v>
      </c>
      <c r="P989" s="40">
        <f>2940-630-840</f>
        <v>1470</v>
      </c>
      <c r="Q989" s="40">
        <f t="shared" si="25"/>
        <v>0</v>
      </c>
      <c r="R989" s="285"/>
      <c r="S989" s="15"/>
      <c r="T989" s="22"/>
    </row>
    <row r="990" spans="1:20" ht="96.75" customHeight="1" x14ac:dyDescent="0.2">
      <c r="A990" s="289">
        <v>1007</v>
      </c>
      <c r="B990" s="289" t="s">
        <v>626</v>
      </c>
      <c r="C990" s="289"/>
      <c r="D990" s="9" t="s">
        <v>3334</v>
      </c>
      <c r="E990" s="22"/>
      <c r="F990" s="9"/>
      <c r="G990" s="285" t="s">
        <v>4877</v>
      </c>
      <c r="H990" s="289" t="s">
        <v>2207</v>
      </c>
      <c r="I990" s="289"/>
      <c r="J990" s="285" t="s">
        <v>11660</v>
      </c>
      <c r="K990" s="14" t="s">
        <v>11662</v>
      </c>
      <c r="L990" s="22" t="s">
        <v>11661</v>
      </c>
      <c r="M990" s="15"/>
      <c r="N990" s="40">
        <f>16-2-6-7</f>
        <v>1</v>
      </c>
      <c r="O990" s="40">
        <f>3360-420-1260-1470</f>
        <v>210</v>
      </c>
      <c r="P990" s="40">
        <f>3360-420-1260-1470</f>
        <v>210</v>
      </c>
      <c r="Q990" s="40">
        <f t="shared" si="25"/>
        <v>0</v>
      </c>
      <c r="R990" s="285"/>
      <c r="S990" s="15"/>
      <c r="T990" s="22"/>
    </row>
    <row r="991" spans="1:20" ht="94.5" customHeight="1" x14ac:dyDescent="0.2">
      <c r="A991" s="289">
        <v>1008</v>
      </c>
      <c r="B991" s="289" t="s">
        <v>627</v>
      </c>
      <c r="C991" s="289"/>
      <c r="D991" s="9" t="s">
        <v>4360</v>
      </c>
      <c r="E991" s="22"/>
      <c r="F991" s="9"/>
      <c r="G991" s="285" t="s">
        <v>4877</v>
      </c>
      <c r="H991" s="289" t="s">
        <v>2207</v>
      </c>
      <c r="I991" s="289"/>
      <c r="J991" s="285" t="s">
        <v>11660</v>
      </c>
      <c r="K991" s="14" t="s">
        <v>11662</v>
      </c>
      <c r="L991" s="22" t="s">
        <v>11661</v>
      </c>
      <c r="M991" s="15"/>
      <c r="N991" s="40">
        <f>22-3-3-6</f>
        <v>10</v>
      </c>
      <c r="O991" s="40">
        <f>6600-900-900-1800</f>
        <v>3000</v>
      </c>
      <c r="P991" s="40">
        <f>6600-900-900-1800</f>
        <v>3000</v>
      </c>
      <c r="Q991" s="40">
        <f t="shared" si="25"/>
        <v>0</v>
      </c>
      <c r="R991" s="285"/>
      <c r="S991" s="15"/>
      <c r="T991" s="22"/>
    </row>
    <row r="992" spans="1:20" ht="91.5" customHeight="1" x14ac:dyDescent="0.2">
      <c r="A992" s="289">
        <v>1009</v>
      </c>
      <c r="B992" s="289" t="s">
        <v>628</v>
      </c>
      <c r="C992" s="289"/>
      <c r="D992" s="9" t="s">
        <v>3335</v>
      </c>
      <c r="E992" s="22"/>
      <c r="F992" s="9"/>
      <c r="G992" s="285" t="s">
        <v>4877</v>
      </c>
      <c r="H992" s="289" t="s">
        <v>2207</v>
      </c>
      <c r="I992" s="289"/>
      <c r="J992" s="285" t="s">
        <v>11660</v>
      </c>
      <c r="K992" s="14" t="s">
        <v>11662</v>
      </c>
      <c r="L992" s="22" t="s">
        <v>11661</v>
      </c>
      <c r="M992" s="15"/>
      <c r="N992" s="40">
        <f>26-3-1-5</f>
        <v>17</v>
      </c>
      <c r="O992" s="40">
        <f>7800-900-300-1500</f>
        <v>5100</v>
      </c>
      <c r="P992" s="40">
        <f>7800-900-300-1500</f>
        <v>5100</v>
      </c>
      <c r="Q992" s="40">
        <f t="shared" si="25"/>
        <v>0</v>
      </c>
      <c r="R992" s="285"/>
      <c r="S992" s="15"/>
      <c r="T992" s="22"/>
    </row>
    <row r="993" spans="1:20" ht="100.5" customHeight="1" x14ac:dyDescent="0.2">
      <c r="A993" s="289">
        <v>1010</v>
      </c>
      <c r="B993" s="289" t="s">
        <v>629</v>
      </c>
      <c r="C993" s="289"/>
      <c r="D993" s="9" t="s">
        <v>3336</v>
      </c>
      <c r="E993" s="22"/>
      <c r="F993" s="9"/>
      <c r="G993" s="285" t="s">
        <v>4877</v>
      </c>
      <c r="H993" s="289" t="s">
        <v>2207</v>
      </c>
      <c r="I993" s="289"/>
      <c r="J993" s="285" t="s">
        <v>11660</v>
      </c>
      <c r="K993" s="14" t="s">
        <v>11662</v>
      </c>
      <c r="L993" s="22" t="s">
        <v>11661</v>
      </c>
      <c r="M993" s="15"/>
      <c r="N993" s="40">
        <f>20-3-1-6</f>
        <v>10</v>
      </c>
      <c r="O993" s="40">
        <f>6000-900-300-1800</f>
        <v>3000</v>
      </c>
      <c r="P993" s="40">
        <f>6000-900-300-1800</f>
        <v>3000</v>
      </c>
      <c r="Q993" s="40">
        <f t="shared" si="25"/>
        <v>0</v>
      </c>
      <c r="R993" s="285"/>
      <c r="S993" s="15"/>
      <c r="T993" s="22"/>
    </row>
    <row r="994" spans="1:20" ht="51" customHeight="1" x14ac:dyDescent="0.2">
      <c r="A994" s="289">
        <v>1011</v>
      </c>
      <c r="B994" s="289" t="s">
        <v>630</v>
      </c>
      <c r="C994" s="289"/>
      <c r="D994" s="9" t="s">
        <v>608</v>
      </c>
      <c r="E994" s="9"/>
      <c r="F994" s="110" t="s">
        <v>607</v>
      </c>
      <c r="G994" s="285" t="s">
        <v>5718</v>
      </c>
      <c r="H994" s="285" t="s">
        <v>2614</v>
      </c>
      <c r="I994" s="289" t="s">
        <v>2207</v>
      </c>
      <c r="J994" s="285" t="s">
        <v>6309</v>
      </c>
      <c r="K994" s="14">
        <v>40511</v>
      </c>
      <c r="L994" s="12" t="s">
        <v>651</v>
      </c>
      <c r="M994" s="15"/>
      <c r="N994" s="17">
        <v>4</v>
      </c>
      <c r="O994" s="17">
        <v>3919.06</v>
      </c>
      <c r="P994" s="17">
        <v>3919.06</v>
      </c>
      <c r="Q994" s="40">
        <f t="shared" si="25"/>
        <v>0</v>
      </c>
      <c r="R994" s="285"/>
      <c r="S994" s="15"/>
      <c r="T994" s="22"/>
    </row>
    <row r="995" spans="1:20" ht="74.25" customHeight="1" x14ac:dyDescent="0.2">
      <c r="A995" s="289">
        <v>1012</v>
      </c>
      <c r="B995" s="289" t="s">
        <v>9017</v>
      </c>
      <c r="C995" s="289"/>
      <c r="D995" s="9" t="s">
        <v>9018</v>
      </c>
      <c r="E995" s="9"/>
      <c r="F995" s="110" t="s">
        <v>609</v>
      </c>
      <c r="G995" s="285" t="s">
        <v>8293</v>
      </c>
      <c r="H995" s="285" t="s">
        <v>5127</v>
      </c>
      <c r="I995" s="289"/>
      <c r="J995" s="285" t="s">
        <v>3136</v>
      </c>
      <c r="K995" s="14">
        <v>43665</v>
      </c>
      <c r="L995" s="12" t="s">
        <v>9019</v>
      </c>
      <c r="M995" s="15"/>
      <c r="N995" s="17">
        <v>1</v>
      </c>
      <c r="O995" s="17">
        <v>345</v>
      </c>
      <c r="P995" s="17">
        <v>345</v>
      </c>
      <c r="Q995" s="40">
        <f t="shared" si="25"/>
        <v>0</v>
      </c>
      <c r="R995" s="285"/>
      <c r="S995" s="15"/>
      <c r="T995" s="22"/>
    </row>
    <row r="996" spans="1:20" ht="54" customHeight="1" x14ac:dyDescent="0.2">
      <c r="A996" s="289">
        <v>1015</v>
      </c>
      <c r="B996" s="289" t="s">
        <v>631</v>
      </c>
      <c r="C996" s="289"/>
      <c r="D996" s="9" t="s">
        <v>998</v>
      </c>
      <c r="E996" s="9"/>
      <c r="F996" s="110" t="s">
        <v>11364</v>
      </c>
      <c r="G996" s="285" t="s">
        <v>5718</v>
      </c>
      <c r="H996" s="285" t="s">
        <v>2614</v>
      </c>
      <c r="I996" s="289" t="s">
        <v>2207</v>
      </c>
      <c r="J996" s="285" t="s">
        <v>11365</v>
      </c>
      <c r="K996" s="14" t="s">
        <v>11366</v>
      </c>
      <c r="L996" s="22" t="s">
        <v>11367</v>
      </c>
      <c r="M996" s="15"/>
      <c r="N996" s="17">
        <f>2-1</f>
        <v>1</v>
      </c>
      <c r="O996" s="17">
        <f>1960-980</f>
        <v>980</v>
      </c>
      <c r="P996" s="17">
        <f>1960-980</f>
        <v>980</v>
      </c>
      <c r="Q996" s="40">
        <f t="shared" si="25"/>
        <v>0</v>
      </c>
      <c r="R996" s="285"/>
      <c r="S996" s="15"/>
      <c r="T996" s="22"/>
    </row>
    <row r="997" spans="1:20" ht="54" customHeight="1" x14ac:dyDescent="0.2">
      <c r="A997" s="289">
        <v>1016</v>
      </c>
      <c r="B997" s="289" t="s">
        <v>632</v>
      </c>
      <c r="C997" s="289"/>
      <c r="D997" s="9" t="s">
        <v>1536</v>
      </c>
      <c r="E997" s="9"/>
      <c r="F997" s="110" t="s">
        <v>610</v>
      </c>
      <c r="G997" s="285" t="s">
        <v>5718</v>
      </c>
      <c r="H997" s="285" t="s">
        <v>2614</v>
      </c>
      <c r="I997" s="289" t="s">
        <v>2207</v>
      </c>
      <c r="J997" s="285" t="s">
        <v>6309</v>
      </c>
      <c r="K997" s="14">
        <v>40511</v>
      </c>
      <c r="L997" s="12" t="s">
        <v>651</v>
      </c>
      <c r="M997" s="15"/>
      <c r="N997" s="17">
        <v>1</v>
      </c>
      <c r="O997" s="17">
        <f>1900</f>
        <v>1900</v>
      </c>
      <c r="P997" s="17">
        <f>1900</f>
        <v>1900</v>
      </c>
      <c r="Q997" s="40">
        <f t="shared" si="25"/>
        <v>0</v>
      </c>
      <c r="R997" s="285"/>
      <c r="S997" s="15"/>
      <c r="T997" s="22"/>
    </row>
    <row r="998" spans="1:20" ht="51.75" customHeight="1" x14ac:dyDescent="0.2">
      <c r="A998" s="289">
        <v>1019</v>
      </c>
      <c r="B998" s="289" t="s">
        <v>633</v>
      </c>
      <c r="C998" s="289"/>
      <c r="D998" s="9" t="s">
        <v>5278</v>
      </c>
      <c r="E998" s="9"/>
      <c r="F998" s="110" t="s">
        <v>611</v>
      </c>
      <c r="G998" s="285" t="s">
        <v>5718</v>
      </c>
      <c r="H998" s="285" t="s">
        <v>2614</v>
      </c>
      <c r="I998" s="289" t="s">
        <v>2207</v>
      </c>
      <c r="J998" s="285" t="s">
        <v>6309</v>
      </c>
      <c r="K998" s="14">
        <v>40511</v>
      </c>
      <c r="L998" s="12" t="s">
        <v>651</v>
      </c>
      <c r="M998" s="15"/>
      <c r="N998" s="17">
        <v>1</v>
      </c>
      <c r="O998" s="17">
        <v>2150</v>
      </c>
      <c r="P998" s="17">
        <v>2150</v>
      </c>
      <c r="Q998" s="40">
        <f t="shared" si="25"/>
        <v>0</v>
      </c>
      <c r="R998" s="285"/>
      <c r="S998" s="15"/>
      <c r="T998" s="22"/>
    </row>
    <row r="999" spans="1:20" ht="55.5" customHeight="1" x14ac:dyDescent="0.2">
      <c r="A999" s="289">
        <v>1020</v>
      </c>
      <c r="B999" s="289" t="s">
        <v>634</v>
      </c>
      <c r="C999" s="289"/>
      <c r="D999" s="9" t="s">
        <v>613</v>
      </c>
      <c r="E999" s="9"/>
      <c r="F999" s="110" t="s">
        <v>612</v>
      </c>
      <c r="G999" s="285" t="s">
        <v>5718</v>
      </c>
      <c r="H999" s="285" t="s">
        <v>2614</v>
      </c>
      <c r="I999" s="289" t="s">
        <v>2207</v>
      </c>
      <c r="J999" s="285" t="s">
        <v>6309</v>
      </c>
      <c r="K999" s="14">
        <v>40511</v>
      </c>
      <c r="L999" s="12" t="s">
        <v>651</v>
      </c>
      <c r="M999" s="15"/>
      <c r="N999" s="17">
        <v>1</v>
      </c>
      <c r="O999" s="17">
        <v>806</v>
      </c>
      <c r="P999" s="17">
        <v>806</v>
      </c>
      <c r="Q999" s="40">
        <f t="shared" si="25"/>
        <v>0</v>
      </c>
      <c r="R999" s="285"/>
      <c r="S999" s="15"/>
      <c r="T999" s="22"/>
    </row>
    <row r="1000" spans="1:20" ht="57.75" customHeight="1" x14ac:dyDescent="0.2">
      <c r="A1000" s="289">
        <v>1021</v>
      </c>
      <c r="B1000" s="289" t="s">
        <v>635</v>
      </c>
      <c r="C1000" s="289"/>
      <c r="D1000" s="9" t="s">
        <v>11368</v>
      </c>
      <c r="E1000" s="9"/>
      <c r="F1000" s="110" t="s">
        <v>614</v>
      </c>
      <c r="G1000" s="285" t="s">
        <v>5718</v>
      </c>
      <c r="H1000" s="285" t="s">
        <v>2614</v>
      </c>
      <c r="I1000" s="289" t="s">
        <v>2207</v>
      </c>
      <c r="J1000" s="285" t="s">
        <v>11369</v>
      </c>
      <c r="K1000" s="14" t="s">
        <v>11366</v>
      </c>
      <c r="L1000" s="22" t="s">
        <v>11370</v>
      </c>
      <c r="M1000" s="15"/>
      <c r="N1000" s="17">
        <v>1</v>
      </c>
      <c r="O1000" s="17">
        <f>5173-517.3</f>
        <v>4655.7</v>
      </c>
      <c r="P1000" s="17">
        <f>5173-517.3</f>
        <v>4655.7</v>
      </c>
      <c r="Q1000" s="40">
        <f t="shared" si="25"/>
        <v>0</v>
      </c>
      <c r="R1000" s="285"/>
      <c r="S1000" s="15"/>
      <c r="T1000" s="22"/>
    </row>
    <row r="1001" spans="1:20" ht="59.25" customHeight="1" x14ac:dyDescent="0.2">
      <c r="A1001" s="289">
        <v>1022</v>
      </c>
      <c r="B1001" s="289" t="s">
        <v>636</v>
      </c>
      <c r="C1001" s="289"/>
      <c r="D1001" s="9" t="s">
        <v>3745</v>
      </c>
      <c r="E1001" s="9"/>
      <c r="F1001" s="110" t="s">
        <v>615</v>
      </c>
      <c r="G1001" s="285" t="s">
        <v>5718</v>
      </c>
      <c r="H1001" s="285" t="s">
        <v>2614</v>
      </c>
      <c r="I1001" s="289" t="s">
        <v>2207</v>
      </c>
      <c r="J1001" s="285" t="s">
        <v>6309</v>
      </c>
      <c r="K1001" s="14">
        <v>40511</v>
      </c>
      <c r="L1001" s="12" t="s">
        <v>651</v>
      </c>
      <c r="M1001" s="15"/>
      <c r="N1001" s="17">
        <v>1</v>
      </c>
      <c r="O1001" s="17">
        <v>3250</v>
      </c>
      <c r="P1001" s="17">
        <v>3250</v>
      </c>
      <c r="Q1001" s="40">
        <f t="shared" si="25"/>
        <v>0</v>
      </c>
      <c r="R1001" s="285"/>
      <c r="S1001" s="15"/>
      <c r="T1001" s="22"/>
    </row>
    <row r="1002" spans="1:20" ht="59.25" customHeight="1" x14ac:dyDescent="0.2">
      <c r="A1002" s="289">
        <v>1024</v>
      </c>
      <c r="B1002" s="289" t="s">
        <v>637</v>
      </c>
      <c r="C1002" s="289"/>
      <c r="D1002" s="9" t="s">
        <v>616</v>
      </c>
      <c r="E1002" s="22"/>
      <c r="F1002" s="9"/>
      <c r="G1002" s="285" t="s">
        <v>622</v>
      </c>
      <c r="H1002" s="285" t="s">
        <v>2614</v>
      </c>
      <c r="I1002" s="289" t="s">
        <v>2207</v>
      </c>
      <c r="J1002" s="285" t="s">
        <v>2641</v>
      </c>
      <c r="K1002" s="14">
        <v>41085</v>
      </c>
      <c r="L1002" s="12" t="s">
        <v>650</v>
      </c>
      <c r="M1002" s="15"/>
      <c r="N1002" s="17">
        <v>1</v>
      </c>
      <c r="O1002" s="17">
        <v>2308.6799999999998</v>
      </c>
      <c r="P1002" s="62">
        <f t="shared" ref="P1002:P1009" si="26">O1002-Q1002</f>
        <v>2308.6799999999998</v>
      </c>
      <c r="Q1002" s="24">
        <v>0</v>
      </c>
      <c r="R1002" s="285"/>
      <c r="S1002" s="15"/>
      <c r="T1002" s="22"/>
    </row>
    <row r="1003" spans="1:20" ht="48" customHeight="1" x14ac:dyDescent="0.2">
      <c r="A1003" s="289">
        <v>1025</v>
      </c>
      <c r="B1003" s="289" t="s">
        <v>638</v>
      </c>
      <c r="C1003" s="289"/>
      <c r="D1003" s="9" t="s">
        <v>617</v>
      </c>
      <c r="E1003" s="22"/>
      <c r="F1003" s="9"/>
      <c r="G1003" s="285" t="s">
        <v>622</v>
      </c>
      <c r="H1003" s="285" t="s">
        <v>2614</v>
      </c>
      <c r="I1003" s="289" t="s">
        <v>2207</v>
      </c>
      <c r="J1003" s="285" t="s">
        <v>2641</v>
      </c>
      <c r="K1003" s="14">
        <v>41085</v>
      </c>
      <c r="L1003" s="12" t="s">
        <v>650</v>
      </c>
      <c r="M1003" s="15"/>
      <c r="N1003" s="17">
        <v>2</v>
      </c>
      <c r="O1003" s="17">
        <v>8595</v>
      </c>
      <c r="P1003" s="62">
        <f t="shared" si="26"/>
        <v>8595</v>
      </c>
      <c r="Q1003" s="16">
        <v>0</v>
      </c>
      <c r="R1003" s="285"/>
      <c r="S1003" s="15"/>
      <c r="T1003" s="22"/>
    </row>
    <row r="1004" spans="1:20" ht="55.5" customHeight="1" x14ac:dyDescent="0.2">
      <c r="A1004" s="289">
        <v>1026</v>
      </c>
      <c r="B1004" s="289" t="s">
        <v>639</v>
      </c>
      <c r="C1004" s="289"/>
      <c r="D1004" s="9" t="s">
        <v>618</v>
      </c>
      <c r="E1004" s="22"/>
      <c r="F1004" s="9"/>
      <c r="G1004" s="285" t="s">
        <v>622</v>
      </c>
      <c r="H1004" s="285" t="s">
        <v>2614</v>
      </c>
      <c r="I1004" s="289" t="s">
        <v>2207</v>
      </c>
      <c r="J1004" s="285" t="s">
        <v>2641</v>
      </c>
      <c r="K1004" s="14">
        <v>41085</v>
      </c>
      <c r="L1004" s="12" t="s">
        <v>650</v>
      </c>
      <c r="M1004" s="15"/>
      <c r="N1004" s="17">
        <v>1</v>
      </c>
      <c r="O1004" s="17">
        <v>9127</v>
      </c>
      <c r="P1004" s="62">
        <f t="shared" si="26"/>
        <v>9127</v>
      </c>
      <c r="Q1004" s="16">
        <v>0</v>
      </c>
      <c r="R1004" s="285"/>
      <c r="S1004" s="15"/>
      <c r="T1004" s="22"/>
    </row>
    <row r="1005" spans="1:20" ht="52.5" customHeight="1" x14ac:dyDescent="0.2">
      <c r="A1005" s="289">
        <v>1027</v>
      </c>
      <c r="B1005" s="289" t="s">
        <v>640</v>
      </c>
      <c r="C1005" s="289"/>
      <c r="D1005" s="9" t="s">
        <v>619</v>
      </c>
      <c r="E1005" s="22"/>
      <c r="F1005" s="9"/>
      <c r="G1005" s="285" t="s">
        <v>622</v>
      </c>
      <c r="H1005" s="285" t="s">
        <v>2614</v>
      </c>
      <c r="I1005" s="289" t="s">
        <v>2207</v>
      </c>
      <c r="J1005" s="285" t="s">
        <v>2641</v>
      </c>
      <c r="K1005" s="14">
        <v>41085</v>
      </c>
      <c r="L1005" s="12" t="s">
        <v>650</v>
      </c>
      <c r="M1005" s="15"/>
      <c r="N1005" s="17">
        <v>1</v>
      </c>
      <c r="O1005" s="17">
        <v>5300</v>
      </c>
      <c r="P1005" s="62">
        <f t="shared" si="26"/>
        <v>5300</v>
      </c>
      <c r="Q1005" s="16">
        <v>0</v>
      </c>
      <c r="R1005" s="285"/>
      <c r="S1005" s="15"/>
      <c r="T1005" s="22"/>
    </row>
    <row r="1006" spans="1:20" ht="62.25" customHeight="1" x14ac:dyDescent="0.2">
      <c r="A1006" s="289">
        <v>1028</v>
      </c>
      <c r="B1006" s="289" t="s">
        <v>641</v>
      </c>
      <c r="C1006" s="289"/>
      <c r="D1006" s="9" t="s">
        <v>986</v>
      </c>
      <c r="E1006" s="22"/>
      <c r="F1006" s="9"/>
      <c r="G1006" s="285" t="s">
        <v>7983</v>
      </c>
      <c r="H1006" s="285" t="s">
        <v>5127</v>
      </c>
      <c r="I1006" s="289"/>
      <c r="J1006" s="285" t="s">
        <v>3136</v>
      </c>
      <c r="K1006" s="14">
        <v>43665</v>
      </c>
      <c r="L1006" s="12" t="s">
        <v>1918</v>
      </c>
      <c r="M1006" s="14">
        <v>43665</v>
      </c>
      <c r="N1006" s="17">
        <v>1</v>
      </c>
      <c r="O1006" s="17">
        <v>3164</v>
      </c>
      <c r="P1006" s="62">
        <f t="shared" si="26"/>
        <v>3164</v>
      </c>
      <c r="Q1006" s="16">
        <v>0</v>
      </c>
      <c r="R1006" s="285"/>
      <c r="S1006" s="15"/>
      <c r="T1006" s="22"/>
    </row>
    <row r="1007" spans="1:20" ht="51" customHeight="1" x14ac:dyDescent="0.2">
      <c r="A1007" s="289">
        <v>1029</v>
      </c>
      <c r="B1007" s="289" t="s">
        <v>642</v>
      </c>
      <c r="C1007" s="289"/>
      <c r="D1007" s="9" t="s">
        <v>3844</v>
      </c>
      <c r="E1007" s="22"/>
      <c r="F1007" s="9"/>
      <c r="G1007" s="285" t="s">
        <v>622</v>
      </c>
      <c r="H1007" s="285" t="s">
        <v>2614</v>
      </c>
      <c r="I1007" s="289" t="s">
        <v>2207</v>
      </c>
      <c r="J1007" s="285" t="s">
        <v>2641</v>
      </c>
      <c r="K1007" s="14">
        <v>41085</v>
      </c>
      <c r="L1007" s="12" t="s">
        <v>650</v>
      </c>
      <c r="M1007" s="15"/>
      <c r="N1007" s="17">
        <v>3</v>
      </c>
      <c r="O1007" s="17">
        <v>2670</v>
      </c>
      <c r="P1007" s="62">
        <f t="shared" si="26"/>
        <v>0</v>
      </c>
      <c r="Q1007" s="16">
        <v>2670</v>
      </c>
      <c r="R1007" s="285"/>
      <c r="S1007" s="15"/>
      <c r="T1007" s="22"/>
    </row>
    <row r="1008" spans="1:20" ht="50.25" customHeight="1" x14ac:dyDescent="0.2">
      <c r="A1008" s="289">
        <v>1030</v>
      </c>
      <c r="B1008" s="289" t="s">
        <v>643</v>
      </c>
      <c r="C1008" s="289"/>
      <c r="D1008" s="9" t="s">
        <v>1300</v>
      </c>
      <c r="E1008" s="22"/>
      <c r="F1008" s="9"/>
      <c r="G1008" s="285" t="s">
        <v>622</v>
      </c>
      <c r="H1008" s="285" t="s">
        <v>2614</v>
      </c>
      <c r="I1008" s="289" t="s">
        <v>2207</v>
      </c>
      <c r="J1008" s="285" t="s">
        <v>2641</v>
      </c>
      <c r="K1008" s="14">
        <v>41085</v>
      </c>
      <c r="L1008" s="12" t="s">
        <v>650</v>
      </c>
      <c r="M1008" s="15"/>
      <c r="N1008" s="17">
        <f>2-1</f>
        <v>1</v>
      </c>
      <c r="O1008" s="17">
        <f>3335-1667.5</f>
        <v>1667.5</v>
      </c>
      <c r="P1008" s="62">
        <f t="shared" si="26"/>
        <v>1667.5</v>
      </c>
      <c r="Q1008" s="16">
        <v>0</v>
      </c>
      <c r="R1008" s="285"/>
      <c r="S1008" s="15"/>
      <c r="T1008" s="22"/>
    </row>
    <row r="1009" spans="1:20" ht="57.75" customHeight="1" x14ac:dyDescent="0.2">
      <c r="A1009" s="289">
        <v>1031</v>
      </c>
      <c r="B1009" s="289" t="s">
        <v>643</v>
      </c>
      <c r="C1009" s="289"/>
      <c r="D1009" s="9" t="s">
        <v>1300</v>
      </c>
      <c r="E1009" s="22"/>
      <c r="F1009" s="9"/>
      <c r="G1009" s="285" t="s">
        <v>622</v>
      </c>
      <c r="H1009" s="285" t="s">
        <v>2614</v>
      </c>
      <c r="I1009" s="289" t="s">
        <v>2207</v>
      </c>
      <c r="J1009" s="285" t="s">
        <v>2641</v>
      </c>
      <c r="K1009" s="14">
        <v>41085</v>
      </c>
      <c r="L1009" s="12" t="s">
        <v>650</v>
      </c>
      <c r="M1009" s="15"/>
      <c r="N1009" s="17">
        <f>2-1</f>
        <v>1</v>
      </c>
      <c r="O1009" s="17">
        <f>3335-1667.5</f>
        <v>1667.5</v>
      </c>
      <c r="P1009" s="62">
        <f t="shared" si="26"/>
        <v>1667.5</v>
      </c>
      <c r="Q1009" s="16">
        <v>0</v>
      </c>
      <c r="R1009" s="285"/>
      <c r="S1009" s="15"/>
      <c r="T1009" s="22"/>
    </row>
    <row r="1010" spans="1:20" ht="65.25" customHeight="1" x14ac:dyDescent="0.2">
      <c r="A1010" s="289">
        <v>1032</v>
      </c>
      <c r="B1010" s="289" t="s">
        <v>644</v>
      </c>
      <c r="C1010" s="289"/>
      <c r="D1010" s="9" t="s">
        <v>620</v>
      </c>
      <c r="E1010" s="22"/>
      <c r="F1010" s="9"/>
      <c r="G1010" s="285" t="s">
        <v>622</v>
      </c>
      <c r="H1010" s="285" t="s">
        <v>2614</v>
      </c>
      <c r="I1010" s="289" t="s">
        <v>2207</v>
      </c>
      <c r="J1010" s="285" t="s">
        <v>2641</v>
      </c>
      <c r="K1010" s="14">
        <v>41085</v>
      </c>
      <c r="L1010" s="12" t="s">
        <v>650</v>
      </c>
      <c r="M1010" s="15"/>
      <c r="N1010" s="17">
        <f>4-2</f>
        <v>2</v>
      </c>
      <c r="O1010" s="17">
        <f>1210-302.5-302.5</f>
        <v>605</v>
      </c>
      <c r="P1010" s="62">
        <v>0</v>
      </c>
      <c r="Q1010" s="16">
        <f>O1010-P1010</f>
        <v>605</v>
      </c>
      <c r="R1010" s="285"/>
      <c r="S1010" s="15"/>
      <c r="T1010" s="22"/>
    </row>
    <row r="1011" spans="1:20" ht="59.25" customHeight="1" x14ac:dyDescent="0.2">
      <c r="A1011" s="289">
        <v>1033</v>
      </c>
      <c r="B1011" s="289" t="s">
        <v>9079</v>
      </c>
      <c r="C1011" s="289"/>
      <c r="D1011" s="9" t="s">
        <v>620</v>
      </c>
      <c r="E1011" s="22"/>
      <c r="F1011" s="9"/>
      <c r="G1011" s="285" t="s">
        <v>7983</v>
      </c>
      <c r="H1011" s="285" t="s">
        <v>5127</v>
      </c>
      <c r="I1011" s="289"/>
      <c r="J1011" s="285" t="s">
        <v>3136</v>
      </c>
      <c r="K1011" s="14">
        <v>43721</v>
      </c>
      <c r="L1011" s="12" t="s">
        <v>9080</v>
      </c>
      <c r="M1011" s="14">
        <v>43721</v>
      </c>
      <c r="N1011" s="17">
        <v>2</v>
      </c>
      <c r="O1011" s="17">
        <v>605</v>
      </c>
      <c r="P1011" s="62">
        <v>605</v>
      </c>
      <c r="Q1011" s="16">
        <f>O1011-P1011</f>
        <v>0</v>
      </c>
      <c r="R1011" s="285"/>
      <c r="S1011" s="15"/>
      <c r="T1011" s="22"/>
    </row>
    <row r="1012" spans="1:20" ht="60.75" customHeight="1" x14ac:dyDescent="0.2">
      <c r="A1012" s="289">
        <v>1034</v>
      </c>
      <c r="B1012" s="289" t="s">
        <v>645</v>
      </c>
      <c r="C1012" s="289"/>
      <c r="D1012" s="9" t="s">
        <v>621</v>
      </c>
      <c r="E1012" s="22"/>
      <c r="F1012" s="9"/>
      <c r="G1012" s="285" t="s">
        <v>622</v>
      </c>
      <c r="H1012" s="285" t="s">
        <v>2614</v>
      </c>
      <c r="I1012" s="289" t="s">
        <v>2207</v>
      </c>
      <c r="J1012" s="285" t="s">
        <v>2641</v>
      </c>
      <c r="K1012" s="14">
        <v>41085</v>
      </c>
      <c r="L1012" s="12" t="s">
        <v>650</v>
      </c>
      <c r="M1012" s="15"/>
      <c r="N1012" s="17">
        <v>1</v>
      </c>
      <c r="O1012" s="17">
        <v>1623</v>
      </c>
      <c r="P1012" s="62">
        <f>O1012-Q1012</f>
        <v>0</v>
      </c>
      <c r="Q1012" s="16">
        <v>1623</v>
      </c>
      <c r="R1012" s="285"/>
      <c r="S1012" s="15"/>
      <c r="T1012" s="22"/>
    </row>
    <row r="1013" spans="1:20" ht="46.5" customHeight="1" x14ac:dyDescent="0.2">
      <c r="A1013" s="289">
        <v>1035</v>
      </c>
      <c r="B1013" s="289" t="s">
        <v>646</v>
      </c>
      <c r="C1013" s="289"/>
      <c r="D1013" s="9" t="s">
        <v>620</v>
      </c>
      <c r="E1013" s="22"/>
      <c r="F1013" s="9"/>
      <c r="G1013" s="285" t="s">
        <v>622</v>
      </c>
      <c r="H1013" s="285" t="s">
        <v>2614</v>
      </c>
      <c r="I1013" s="289" t="s">
        <v>2207</v>
      </c>
      <c r="J1013" s="285" t="s">
        <v>2641</v>
      </c>
      <c r="K1013" s="14">
        <v>41085</v>
      </c>
      <c r="L1013" s="12" t="s">
        <v>650</v>
      </c>
      <c r="M1013" s="15"/>
      <c r="N1013" s="17">
        <v>6</v>
      </c>
      <c r="O1013" s="17">
        <f>1815</f>
        <v>1815</v>
      </c>
      <c r="P1013" s="62">
        <v>0</v>
      </c>
      <c r="Q1013" s="16">
        <f>O1013-P1013</f>
        <v>1815</v>
      </c>
      <c r="R1013" s="285"/>
      <c r="S1013" s="15"/>
      <c r="T1013" s="22"/>
    </row>
    <row r="1014" spans="1:20" ht="48.75" customHeight="1" x14ac:dyDescent="0.2">
      <c r="A1014" s="289">
        <v>1036</v>
      </c>
      <c r="B1014" s="289" t="s">
        <v>647</v>
      </c>
      <c r="C1014" s="289"/>
      <c r="D1014" s="9" t="s">
        <v>3734</v>
      </c>
      <c r="E1014" s="22"/>
      <c r="F1014" s="9"/>
      <c r="G1014" s="285" t="s">
        <v>622</v>
      </c>
      <c r="H1014" s="285" t="s">
        <v>2614</v>
      </c>
      <c r="I1014" s="289" t="s">
        <v>2207</v>
      </c>
      <c r="J1014" s="285" t="s">
        <v>2641</v>
      </c>
      <c r="K1014" s="14">
        <v>41085</v>
      </c>
      <c r="L1014" s="12" t="s">
        <v>650</v>
      </c>
      <c r="M1014" s="15"/>
      <c r="N1014" s="17">
        <v>4</v>
      </c>
      <c r="O1014" s="17">
        <v>25200</v>
      </c>
      <c r="P1014" s="62">
        <f>O1014-Q1014</f>
        <v>0</v>
      </c>
      <c r="Q1014" s="16">
        <v>25200</v>
      </c>
      <c r="R1014" s="285"/>
      <c r="S1014" s="15"/>
      <c r="T1014" s="22"/>
    </row>
    <row r="1015" spans="1:20" ht="53.25" customHeight="1" x14ac:dyDescent="0.2">
      <c r="A1015" s="289">
        <v>1037</v>
      </c>
      <c r="B1015" s="289" t="s">
        <v>648</v>
      </c>
      <c r="C1015" s="289"/>
      <c r="D1015" s="9" t="s">
        <v>1535</v>
      </c>
      <c r="E1015" s="22"/>
      <c r="F1015" s="325"/>
      <c r="G1015" s="285" t="s">
        <v>10465</v>
      </c>
      <c r="H1015" s="289" t="s">
        <v>2207</v>
      </c>
      <c r="I1015" s="289"/>
      <c r="J1015" s="285"/>
      <c r="K1015" s="14"/>
      <c r="L1015" s="12"/>
      <c r="M1015" s="15"/>
      <c r="N1015" s="17">
        <v>2</v>
      </c>
      <c r="O1015" s="17">
        <v>1700</v>
      </c>
      <c r="P1015" s="62">
        <f>O1015-Q1015</f>
        <v>1700</v>
      </c>
      <c r="Q1015" s="16">
        <v>0</v>
      </c>
      <c r="R1015" s="285"/>
      <c r="S1015" s="15"/>
      <c r="T1015" s="22"/>
    </row>
    <row r="1016" spans="1:20" ht="48" customHeight="1" x14ac:dyDescent="0.2">
      <c r="A1016" s="289">
        <v>1038</v>
      </c>
      <c r="B1016" s="289" t="s">
        <v>649</v>
      </c>
      <c r="C1016" s="289"/>
      <c r="D1016" s="9" t="s">
        <v>963</v>
      </c>
      <c r="E1016" s="22"/>
      <c r="F1016" s="325"/>
      <c r="G1016" s="285" t="s">
        <v>10465</v>
      </c>
      <c r="H1016" s="289" t="s">
        <v>2207</v>
      </c>
      <c r="I1016" s="289"/>
      <c r="J1016" s="285"/>
      <c r="K1016" s="14"/>
      <c r="L1016" s="12"/>
      <c r="M1016" s="15"/>
      <c r="N1016" s="17">
        <v>4</v>
      </c>
      <c r="O1016" s="17">
        <v>850</v>
      </c>
      <c r="P1016" s="62">
        <f>O1016-Q1016</f>
        <v>850</v>
      </c>
      <c r="Q1016" s="16">
        <v>0</v>
      </c>
      <c r="R1016" s="285"/>
      <c r="S1016" s="15"/>
      <c r="T1016" s="22"/>
    </row>
    <row r="1017" spans="1:20" ht="95.25" customHeight="1" x14ac:dyDescent="0.2">
      <c r="A1017" s="289">
        <v>1039</v>
      </c>
      <c r="B1017" s="289" t="s">
        <v>6364</v>
      </c>
      <c r="C1017" s="289"/>
      <c r="D1017" s="9" t="s">
        <v>6365</v>
      </c>
      <c r="E1017" s="22" t="s">
        <v>6220</v>
      </c>
      <c r="F1017" s="13" t="s">
        <v>6366</v>
      </c>
      <c r="G1017" s="285" t="s">
        <v>7934</v>
      </c>
      <c r="H1017" s="285" t="s">
        <v>5127</v>
      </c>
      <c r="I1017" s="289"/>
      <c r="J1017" s="285" t="s">
        <v>3136</v>
      </c>
      <c r="K1017" s="14">
        <v>42501</v>
      </c>
      <c r="L1017" s="12" t="s">
        <v>6384</v>
      </c>
      <c r="M1017" s="15">
        <v>42482</v>
      </c>
      <c r="N1017" s="17">
        <v>1</v>
      </c>
      <c r="O1017" s="17">
        <v>3200</v>
      </c>
      <c r="P1017" s="40">
        <v>3200</v>
      </c>
      <c r="Q1017" s="40">
        <f t="shared" ref="Q1017:Q1047" si="27">O1017-P1017</f>
        <v>0</v>
      </c>
      <c r="R1017" s="285" t="s">
        <v>5345</v>
      </c>
      <c r="S1017" s="15">
        <v>42482</v>
      </c>
      <c r="T1017" s="22" t="s">
        <v>6367</v>
      </c>
    </row>
    <row r="1018" spans="1:20" ht="65.25" customHeight="1" x14ac:dyDescent="0.2">
      <c r="A1018" s="289">
        <v>1040</v>
      </c>
      <c r="B1018" s="289" t="s">
        <v>6372</v>
      </c>
      <c r="C1018" s="289"/>
      <c r="D1018" s="9" t="s">
        <v>6373</v>
      </c>
      <c r="E1018" s="22" t="s">
        <v>6374</v>
      </c>
      <c r="F1018" s="13" t="s">
        <v>6375</v>
      </c>
      <c r="G1018" s="285" t="s">
        <v>7934</v>
      </c>
      <c r="H1018" s="285" t="s">
        <v>5127</v>
      </c>
      <c r="I1018" s="289"/>
      <c r="J1018" s="285" t="s">
        <v>3136</v>
      </c>
      <c r="K1018" s="14">
        <v>42501</v>
      </c>
      <c r="L1018" s="12" t="s">
        <v>6383</v>
      </c>
      <c r="M1018" s="15">
        <v>42478</v>
      </c>
      <c r="N1018" s="17">
        <v>1</v>
      </c>
      <c r="O1018" s="17">
        <v>3050</v>
      </c>
      <c r="P1018" s="40">
        <v>3050</v>
      </c>
      <c r="Q1018" s="40">
        <f t="shared" si="27"/>
        <v>0</v>
      </c>
      <c r="R1018" s="285" t="s">
        <v>5377</v>
      </c>
      <c r="S1018" s="15">
        <v>42478</v>
      </c>
      <c r="T1018" s="22" t="s">
        <v>1029</v>
      </c>
    </row>
    <row r="1019" spans="1:20" ht="62.25" customHeight="1" x14ac:dyDescent="0.2">
      <c r="A1019" s="289">
        <v>1041</v>
      </c>
      <c r="B1019" s="289" t="s">
        <v>6423</v>
      </c>
      <c r="C1019" s="289"/>
      <c r="D1019" s="9" t="s">
        <v>4974</v>
      </c>
      <c r="E1019" s="22"/>
      <c r="F1019" s="13" t="s">
        <v>6435</v>
      </c>
      <c r="G1019" s="285" t="s">
        <v>7983</v>
      </c>
      <c r="H1019" s="285" t="s">
        <v>5127</v>
      </c>
      <c r="I1019" s="289"/>
      <c r="J1019" s="285" t="s">
        <v>3136</v>
      </c>
      <c r="K1019" s="14">
        <v>43075</v>
      </c>
      <c r="L1019" s="12" t="s">
        <v>7911</v>
      </c>
      <c r="M1019" s="15">
        <v>40170</v>
      </c>
      <c r="N1019" s="34">
        <v>1</v>
      </c>
      <c r="O1019" s="34">
        <v>11500</v>
      </c>
      <c r="P1019" s="62">
        <v>11500</v>
      </c>
      <c r="Q1019" s="44">
        <f t="shared" si="27"/>
        <v>0</v>
      </c>
      <c r="R1019" s="285"/>
      <c r="S1019" s="15"/>
      <c r="T1019" s="22"/>
    </row>
    <row r="1020" spans="1:20" ht="145.5" customHeight="1" x14ac:dyDescent="0.2">
      <c r="A1020" s="289">
        <v>1042</v>
      </c>
      <c r="B1020" s="289" t="s">
        <v>6424</v>
      </c>
      <c r="C1020" s="289"/>
      <c r="D1020" s="9" t="s">
        <v>6436</v>
      </c>
      <c r="E1020" s="22"/>
      <c r="F1020" s="13" t="s">
        <v>6437</v>
      </c>
      <c r="G1020" s="285" t="s">
        <v>4720</v>
      </c>
      <c r="H1020" s="285" t="s">
        <v>5127</v>
      </c>
      <c r="I1020" s="289"/>
      <c r="J1020" s="285" t="s">
        <v>3136</v>
      </c>
      <c r="K1020" s="14">
        <v>42509</v>
      </c>
      <c r="L1020" s="12" t="s">
        <v>6450</v>
      </c>
      <c r="M1020" s="15">
        <v>36739</v>
      </c>
      <c r="N1020" s="34">
        <v>1</v>
      </c>
      <c r="O1020" s="34">
        <v>5998.21</v>
      </c>
      <c r="P1020" s="62">
        <v>5998.21</v>
      </c>
      <c r="Q1020" s="44">
        <f t="shared" si="27"/>
        <v>0</v>
      </c>
      <c r="R1020" s="285"/>
      <c r="S1020" s="15"/>
      <c r="T1020" s="22"/>
    </row>
    <row r="1021" spans="1:20" ht="157.5" customHeight="1" x14ac:dyDescent="0.2">
      <c r="A1021" s="289">
        <v>1043</v>
      </c>
      <c r="B1021" s="289" t="s">
        <v>6425</v>
      </c>
      <c r="C1021" s="289"/>
      <c r="D1021" s="9" t="s">
        <v>1536</v>
      </c>
      <c r="E1021" s="22"/>
      <c r="F1021" s="13" t="s">
        <v>5390</v>
      </c>
      <c r="G1021" s="285" t="s">
        <v>4720</v>
      </c>
      <c r="H1021" s="285" t="s">
        <v>5127</v>
      </c>
      <c r="I1021" s="289"/>
      <c r="J1021" s="285" t="s">
        <v>3136</v>
      </c>
      <c r="K1021" s="14">
        <v>42509</v>
      </c>
      <c r="L1021" s="12" t="s">
        <v>6450</v>
      </c>
      <c r="M1021" s="15">
        <v>39071</v>
      </c>
      <c r="N1021" s="34">
        <v>1</v>
      </c>
      <c r="O1021" s="34">
        <v>5712</v>
      </c>
      <c r="P1021" s="62">
        <v>5712</v>
      </c>
      <c r="Q1021" s="44">
        <f t="shared" si="27"/>
        <v>0</v>
      </c>
      <c r="R1021" s="285"/>
      <c r="S1021" s="15"/>
      <c r="T1021" s="22"/>
    </row>
    <row r="1022" spans="1:20" ht="157.5" customHeight="1" x14ac:dyDescent="0.2">
      <c r="A1022" s="289">
        <v>1044</v>
      </c>
      <c r="B1022" s="289" t="s">
        <v>6426</v>
      </c>
      <c r="C1022" s="289"/>
      <c r="D1022" s="9" t="s">
        <v>5278</v>
      </c>
      <c r="E1022" s="22"/>
      <c r="F1022" s="13" t="s">
        <v>6438</v>
      </c>
      <c r="G1022" s="285" t="s">
        <v>4720</v>
      </c>
      <c r="H1022" s="285" t="s">
        <v>5127</v>
      </c>
      <c r="I1022" s="289"/>
      <c r="J1022" s="285" t="s">
        <v>3136</v>
      </c>
      <c r="K1022" s="14">
        <v>42509</v>
      </c>
      <c r="L1022" s="12" t="s">
        <v>6450</v>
      </c>
      <c r="M1022" s="15">
        <v>39071</v>
      </c>
      <c r="N1022" s="34">
        <v>1</v>
      </c>
      <c r="O1022" s="34">
        <v>8262</v>
      </c>
      <c r="P1022" s="62">
        <v>8262</v>
      </c>
      <c r="Q1022" s="44">
        <f t="shared" si="27"/>
        <v>0</v>
      </c>
      <c r="R1022" s="285"/>
      <c r="S1022" s="15"/>
      <c r="T1022" s="22"/>
    </row>
    <row r="1023" spans="1:20" ht="64.5" customHeight="1" x14ac:dyDescent="0.2">
      <c r="A1023" s="289">
        <v>1045</v>
      </c>
      <c r="B1023" s="289" t="s">
        <v>6427</v>
      </c>
      <c r="C1023" s="289"/>
      <c r="D1023" s="9" t="s">
        <v>5278</v>
      </c>
      <c r="E1023" s="22"/>
      <c r="F1023" s="13" t="s">
        <v>6439</v>
      </c>
      <c r="G1023" s="285" t="s">
        <v>7983</v>
      </c>
      <c r="H1023" s="285" t="s">
        <v>5127</v>
      </c>
      <c r="I1023" s="289"/>
      <c r="J1023" s="285" t="s">
        <v>3136</v>
      </c>
      <c r="K1023" s="14">
        <v>43075</v>
      </c>
      <c r="L1023" s="12" t="s">
        <v>7911</v>
      </c>
      <c r="M1023" s="15">
        <v>39071</v>
      </c>
      <c r="N1023" s="34">
        <v>1</v>
      </c>
      <c r="O1023" s="34">
        <v>9608.4</v>
      </c>
      <c r="P1023" s="34">
        <v>9608.4</v>
      </c>
      <c r="Q1023" s="44">
        <f t="shared" si="27"/>
        <v>0</v>
      </c>
      <c r="R1023" s="285"/>
      <c r="S1023" s="15"/>
      <c r="T1023" s="22"/>
    </row>
    <row r="1024" spans="1:20" ht="157.5" customHeight="1" x14ac:dyDescent="0.2">
      <c r="A1024" s="289">
        <v>1046</v>
      </c>
      <c r="B1024" s="289" t="s">
        <v>6428</v>
      </c>
      <c r="C1024" s="289"/>
      <c r="D1024" s="9" t="s">
        <v>4282</v>
      </c>
      <c r="E1024" s="22"/>
      <c r="F1024" s="13" t="s">
        <v>4388</v>
      </c>
      <c r="G1024" s="285" t="s">
        <v>4720</v>
      </c>
      <c r="H1024" s="285" t="s">
        <v>5127</v>
      </c>
      <c r="I1024" s="289"/>
      <c r="J1024" s="285" t="s">
        <v>3136</v>
      </c>
      <c r="K1024" s="14">
        <v>42509</v>
      </c>
      <c r="L1024" s="12" t="s">
        <v>6450</v>
      </c>
      <c r="M1024" s="15">
        <v>39071</v>
      </c>
      <c r="N1024" s="34">
        <v>2</v>
      </c>
      <c r="O1024" s="34">
        <v>17166.599999999999</v>
      </c>
      <c r="P1024" s="34">
        <v>17166.599999999999</v>
      </c>
      <c r="Q1024" s="44">
        <f t="shared" si="27"/>
        <v>0</v>
      </c>
      <c r="R1024" s="285"/>
      <c r="S1024" s="15"/>
      <c r="T1024" s="22"/>
    </row>
    <row r="1025" spans="1:20" ht="157.5" customHeight="1" x14ac:dyDescent="0.2">
      <c r="A1025" s="289">
        <v>1047</v>
      </c>
      <c r="B1025" s="289" t="s">
        <v>6429</v>
      </c>
      <c r="C1025" s="289"/>
      <c r="D1025" s="9" t="s">
        <v>1261</v>
      </c>
      <c r="E1025" s="22"/>
      <c r="F1025" s="13" t="s">
        <v>6440</v>
      </c>
      <c r="G1025" s="285" t="s">
        <v>4720</v>
      </c>
      <c r="H1025" s="285" t="s">
        <v>5127</v>
      </c>
      <c r="I1025" s="289"/>
      <c r="J1025" s="285" t="s">
        <v>3136</v>
      </c>
      <c r="K1025" s="14">
        <v>42509</v>
      </c>
      <c r="L1025" s="12" t="s">
        <v>6450</v>
      </c>
      <c r="M1025" s="15">
        <v>38335</v>
      </c>
      <c r="N1025" s="34">
        <v>1</v>
      </c>
      <c r="O1025" s="34">
        <v>6543.6</v>
      </c>
      <c r="P1025" s="62">
        <v>6543.6</v>
      </c>
      <c r="Q1025" s="44">
        <f t="shared" si="27"/>
        <v>0</v>
      </c>
      <c r="R1025" s="285"/>
      <c r="S1025" s="15"/>
      <c r="T1025" s="22"/>
    </row>
    <row r="1026" spans="1:20" ht="157.5" customHeight="1" x14ac:dyDescent="0.2">
      <c r="A1026" s="289">
        <v>1048</v>
      </c>
      <c r="B1026" s="289" t="s">
        <v>6430</v>
      </c>
      <c r="C1026" s="289"/>
      <c r="D1026" s="9" t="s">
        <v>1261</v>
      </c>
      <c r="E1026" s="22"/>
      <c r="F1026" s="13" t="s">
        <v>6441</v>
      </c>
      <c r="G1026" s="285" t="s">
        <v>4720</v>
      </c>
      <c r="H1026" s="285" t="s">
        <v>5127</v>
      </c>
      <c r="I1026" s="289"/>
      <c r="J1026" s="285" t="s">
        <v>3136</v>
      </c>
      <c r="K1026" s="14">
        <v>42509</v>
      </c>
      <c r="L1026" s="12" t="s">
        <v>6450</v>
      </c>
      <c r="M1026" s="15">
        <v>39071</v>
      </c>
      <c r="N1026" s="34">
        <v>2</v>
      </c>
      <c r="O1026" s="34">
        <v>12852</v>
      </c>
      <c r="P1026" s="62">
        <v>12852</v>
      </c>
      <c r="Q1026" s="44">
        <f t="shared" si="27"/>
        <v>0</v>
      </c>
      <c r="R1026" s="285"/>
      <c r="S1026" s="15"/>
      <c r="T1026" s="22"/>
    </row>
    <row r="1027" spans="1:20" ht="157.5" customHeight="1" x14ac:dyDescent="0.2">
      <c r="A1027" s="289">
        <v>1049</v>
      </c>
      <c r="B1027" s="289" t="s">
        <v>6431</v>
      </c>
      <c r="C1027" s="289"/>
      <c r="D1027" s="9" t="s">
        <v>6442</v>
      </c>
      <c r="E1027" s="22"/>
      <c r="F1027" s="13" t="s">
        <v>6443</v>
      </c>
      <c r="G1027" s="285" t="s">
        <v>4720</v>
      </c>
      <c r="H1027" s="285" t="s">
        <v>5127</v>
      </c>
      <c r="I1027" s="289"/>
      <c r="J1027" s="285" t="s">
        <v>3136</v>
      </c>
      <c r="K1027" s="14">
        <v>42509</v>
      </c>
      <c r="L1027" s="12" t="s">
        <v>6450</v>
      </c>
      <c r="M1027" s="15">
        <v>35062</v>
      </c>
      <c r="N1027" s="34">
        <v>1</v>
      </c>
      <c r="O1027" s="34">
        <v>4850.1000000000004</v>
      </c>
      <c r="P1027" s="62">
        <v>4850.1000000000004</v>
      </c>
      <c r="Q1027" s="44">
        <f t="shared" si="27"/>
        <v>0</v>
      </c>
      <c r="R1027" s="285"/>
      <c r="S1027" s="15"/>
      <c r="T1027" s="22"/>
    </row>
    <row r="1028" spans="1:20" ht="157.5" customHeight="1" x14ac:dyDescent="0.2">
      <c r="A1028" s="289">
        <v>1050</v>
      </c>
      <c r="B1028" s="289" t="s">
        <v>6432</v>
      </c>
      <c r="C1028" s="289"/>
      <c r="D1028" s="9" t="s">
        <v>5914</v>
      </c>
      <c r="E1028" s="22"/>
      <c r="F1028" s="13" t="s">
        <v>6444</v>
      </c>
      <c r="G1028" s="285" t="s">
        <v>4720</v>
      </c>
      <c r="H1028" s="285" t="s">
        <v>5127</v>
      </c>
      <c r="I1028" s="289"/>
      <c r="J1028" s="285" t="s">
        <v>3136</v>
      </c>
      <c r="K1028" s="14">
        <v>42509</v>
      </c>
      <c r="L1028" s="12" t="s">
        <v>6450</v>
      </c>
      <c r="M1028" s="15">
        <v>38335</v>
      </c>
      <c r="N1028" s="34">
        <v>1</v>
      </c>
      <c r="O1028" s="34">
        <v>6612</v>
      </c>
      <c r="P1028" s="62">
        <v>6612</v>
      </c>
      <c r="Q1028" s="44">
        <f t="shared" si="27"/>
        <v>0</v>
      </c>
      <c r="R1028" s="285"/>
      <c r="S1028" s="15"/>
      <c r="T1028" s="22"/>
    </row>
    <row r="1029" spans="1:20" ht="157.5" customHeight="1" x14ac:dyDescent="0.2">
      <c r="A1029" s="289">
        <v>1051</v>
      </c>
      <c r="B1029" s="289" t="s">
        <v>6433</v>
      </c>
      <c r="C1029" s="289"/>
      <c r="D1029" s="9" t="s">
        <v>2454</v>
      </c>
      <c r="E1029" s="22"/>
      <c r="F1029" s="13" t="s">
        <v>6445</v>
      </c>
      <c r="G1029" s="285" t="s">
        <v>4720</v>
      </c>
      <c r="H1029" s="285" t="s">
        <v>5127</v>
      </c>
      <c r="I1029" s="289"/>
      <c r="J1029" s="285" t="s">
        <v>3136</v>
      </c>
      <c r="K1029" s="14">
        <v>42509</v>
      </c>
      <c r="L1029" s="12" t="s">
        <v>6450</v>
      </c>
      <c r="M1029" s="15">
        <v>39440</v>
      </c>
      <c r="N1029" s="34">
        <v>5</v>
      </c>
      <c r="O1029" s="34">
        <v>37170</v>
      </c>
      <c r="P1029" s="62">
        <v>37170</v>
      </c>
      <c r="Q1029" s="44">
        <f t="shared" si="27"/>
        <v>0</v>
      </c>
      <c r="R1029" s="285"/>
      <c r="S1029" s="15"/>
      <c r="T1029" s="22"/>
    </row>
    <row r="1030" spans="1:20" ht="157.5" customHeight="1" x14ac:dyDescent="0.2">
      <c r="A1030" s="289">
        <v>1052</v>
      </c>
      <c r="B1030" s="289" t="s">
        <v>6434</v>
      </c>
      <c r="C1030" s="289"/>
      <c r="D1030" s="9" t="s">
        <v>2454</v>
      </c>
      <c r="E1030" s="22"/>
      <c r="F1030" s="13" t="s">
        <v>6446</v>
      </c>
      <c r="G1030" s="285" t="s">
        <v>4720</v>
      </c>
      <c r="H1030" s="285" t="s">
        <v>5127</v>
      </c>
      <c r="I1030" s="289"/>
      <c r="J1030" s="285" t="s">
        <v>3136</v>
      </c>
      <c r="K1030" s="14">
        <v>42509</v>
      </c>
      <c r="L1030" s="12" t="s">
        <v>6450</v>
      </c>
      <c r="M1030" s="15">
        <v>39440</v>
      </c>
      <c r="N1030" s="34">
        <v>4</v>
      </c>
      <c r="O1030" s="34">
        <v>30750</v>
      </c>
      <c r="P1030" s="62">
        <v>30750</v>
      </c>
      <c r="Q1030" s="44">
        <f t="shared" si="27"/>
        <v>0</v>
      </c>
      <c r="R1030" s="285"/>
      <c r="S1030" s="15"/>
      <c r="T1030" s="22"/>
    </row>
    <row r="1031" spans="1:20" ht="75" customHeight="1" x14ac:dyDescent="0.2">
      <c r="A1031" s="289">
        <v>1053</v>
      </c>
      <c r="B1031" s="289" t="s">
        <v>6453</v>
      </c>
      <c r="C1031" s="289"/>
      <c r="D1031" s="9" t="s">
        <v>3502</v>
      </c>
      <c r="E1031" s="22" t="s">
        <v>6455</v>
      </c>
      <c r="F1031" s="13" t="s">
        <v>6456</v>
      </c>
      <c r="G1031" s="285" t="s">
        <v>7934</v>
      </c>
      <c r="H1031" s="285" t="s">
        <v>5127</v>
      </c>
      <c r="I1031" s="289"/>
      <c r="J1031" s="285" t="s">
        <v>3136</v>
      </c>
      <c r="K1031" s="14">
        <v>42531</v>
      </c>
      <c r="L1031" s="12" t="s">
        <v>6465</v>
      </c>
      <c r="M1031" s="15">
        <v>42501</v>
      </c>
      <c r="N1031" s="34">
        <v>2</v>
      </c>
      <c r="O1031" s="34">
        <v>10800</v>
      </c>
      <c r="P1031" s="62">
        <v>10800</v>
      </c>
      <c r="Q1031" s="40">
        <f t="shared" si="27"/>
        <v>0</v>
      </c>
      <c r="R1031" s="285" t="s">
        <v>3418</v>
      </c>
      <c r="S1031" s="15">
        <v>42496</v>
      </c>
      <c r="T1031" s="22" t="s">
        <v>6457</v>
      </c>
    </row>
    <row r="1032" spans="1:20" ht="75" customHeight="1" x14ac:dyDescent="0.2">
      <c r="A1032" s="289">
        <v>1054</v>
      </c>
      <c r="B1032" s="289" t="s">
        <v>6454</v>
      </c>
      <c r="C1032" s="289"/>
      <c r="D1032" s="9" t="s">
        <v>3005</v>
      </c>
      <c r="E1032" s="22" t="s">
        <v>6455</v>
      </c>
      <c r="F1032" s="13" t="s">
        <v>6458</v>
      </c>
      <c r="G1032" s="285" t="s">
        <v>7934</v>
      </c>
      <c r="H1032" s="285" t="s">
        <v>5127</v>
      </c>
      <c r="I1032" s="289"/>
      <c r="J1032" s="285" t="s">
        <v>3136</v>
      </c>
      <c r="K1032" s="14">
        <v>42531</v>
      </c>
      <c r="L1032" s="12" t="s">
        <v>6465</v>
      </c>
      <c r="M1032" s="15">
        <v>42501</v>
      </c>
      <c r="N1032" s="34">
        <v>2</v>
      </c>
      <c r="O1032" s="34">
        <v>6400</v>
      </c>
      <c r="P1032" s="62">
        <v>6400</v>
      </c>
      <c r="Q1032" s="40">
        <f t="shared" si="27"/>
        <v>0</v>
      </c>
      <c r="R1032" s="285" t="s">
        <v>3418</v>
      </c>
      <c r="S1032" s="15">
        <v>42495</v>
      </c>
      <c r="T1032" s="22" t="s">
        <v>6459</v>
      </c>
    </row>
    <row r="1033" spans="1:20" ht="84.75" customHeight="1" x14ac:dyDescent="0.2">
      <c r="A1033" s="289">
        <v>1055</v>
      </c>
      <c r="B1033" s="289" t="s">
        <v>6466</v>
      </c>
      <c r="C1033" s="289"/>
      <c r="D1033" s="9" t="s">
        <v>1534</v>
      </c>
      <c r="E1033" s="22" t="s">
        <v>6257</v>
      </c>
      <c r="F1033" s="13" t="s">
        <v>6467</v>
      </c>
      <c r="G1033" s="285" t="s">
        <v>7934</v>
      </c>
      <c r="H1033" s="285" t="s">
        <v>5127</v>
      </c>
      <c r="I1033" s="289"/>
      <c r="J1033" s="285" t="s">
        <v>3136</v>
      </c>
      <c r="K1033" s="14">
        <v>42545</v>
      </c>
      <c r="L1033" s="12" t="s">
        <v>6498</v>
      </c>
      <c r="M1033" s="15">
        <v>42508</v>
      </c>
      <c r="N1033" s="17">
        <v>1</v>
      </c>
      <c r="O1033" s="17">
        <v>4999</v>
      </c>
      <c r="P1033" s="40">
        <v>4999</v>
      </c>
      <c r="Q1033" s="40">
        <f t="shared" si="27"/>
        <v>0</v>
      </c>
      <c r="R1033" s="285" t="s">
        <v>6468</v>
      </c>
      <c r="S1033" s="14">
        <v>42508</v>
      </c>
      <c r="T1033" s="22" t="s">
        <v>1029</v>
      </c>
    </row>
    <row r="1034" spans="1:20" ht="62.25" customHeight="1" x14ac:dyDescent="0.2">
      <c r="A1034" s="289">
        <v>1057</v>
      </c>
      <c r="B1034" s="289" t="s">
        <v>6500</v>
      </c>
      <c r="C1034" s="289"/>
      <c r="D1034" s="9" t="s">
        <v>6501</v>
      </c>
      <c r="E1034" s="22" t="s">
        <v>6220</v>
      </c>
      <c r="F1034" s="13" t="s">
        <v>6504</v>
      </c>
      <c r="G1034" s="285" t="s">
        <v>4296</v>
      </c>
      <c r="H1034" s="285" t="s">
        <v>3793</v>
      </c>
      <c r="I1034" s="289"/>
      <c r="J1034" s="285" t="s">
        <v>3136</v>
      </c>
      <c r="K1034" s="14">
        <v>42563</v>
      </c>
      <c r="L1034" s="12" t="s">
        <v>6503</v>
      </c>
      <c r="M1034" s="15">
        <v>42537</v>
      </c>
      <c r="N1034" s="17">
        <v>1</v>
      </c>
      <c r="O1034" s="17">
        <v>23806.78</v>
      </c>
      <c r="P1034" s="40">
        <v>23806.78</v>
      </c>
      <c r="Q1034" s="16">
        <f t="shared" si="27"/>
        <v>0</v>
      </c>
      <c r="R1034" s="285" t="s">
        <v>5110</v>
      </c>
      <c r="S1034" s="14">
        <v>42516</v>
      </c>
      <c r="T1034" s="22" t="s">
        <v>6502</v>
      </c>
    </row>
    <row r="1035" spans="1:20" ht="81" customHeight="1" x14ac:dyDescent="0.2">
      <c r="A1035" s="289">
        <v>1059</v>
      </c>
      <c r="B1035" s="289" t="s">
        <v>7133</v>
      </c>
      <c r="C1035" s="289"/>
      <c r="D1035" s="9" t="s">
        <v>7134</v>
      </c>
      <c r="E1035" s="22" t="s">
        <v>6220</v>
      </c>
      <c r="F1035" s="13" t="s">
        <v>7135</v>
      </c>
      <c r="G1035" s="285" t="s">
        <v>4946</v>
      </c>
      <c r="H1035" s="285" t="s">
        <v>5127</v>
      </c>
      <c r="I1035" s="289"/>
      <c r="J1035" s="285" t="s">
        <v>3136</v>
      </c>
      <c r="K1035" s="14">
        <v>42614</v>
      </c>
      <c r="L1035" s="12" t="s">
        <v>7140</v>
      </c>
      <c r="M1035" s="15">
        <v>42585</v>
      </c>
      <c r="N1035" s="17">
        <v>1</v>
      </c>
      <c r="O1035" s="17">
        <v>3980</v>
      </c>
      <c r="P1035" s="40">
        <v>3980</v>
      </c>
      <c r="Q1035" s="16">
        <f t="shared" si="27"/>
        <v>0</v>
      </c>
      <c r="R1035" s="285" t="s">
        <v>3418</v>
      </c>
      <c r="S1035" s="14">
        <v>42585</v>
      </c>
      <c r="T1035" s="22" t="s">
        <v>7136</v>
      </c>
    </row>
    <row r="1036" spans="1:20" ht="96" customHeight="1" x14ac:dyDescent="0.2">
      <c r="A1036" s="289">
        <v>1060</v>
      </c>
      <c r="B1036" s="289" t="s">
        <v>7141</v>
      </c>
      <c r="C1036" s="289"/>
      <c r="D1036" s="9" t="s">
        <v>474</v>
      </c>
      <c r="E1036" s="22" t="s">
        <v>6220</v>
      </c>
      <c r="F1036" s="13" t="s">
        <v>7142</v>
      </c>
      <c r="G1036" s="285" t="s">
        <v>8293</v>
      </c>
      <c r="H1036" s="285" t="s">
        <v>5127</v>
      </c>
      <c r="I1036" s="289"/>
      <c r="J1036" s="285" t="s">
        <v>3136</v>
      </c>
      <c r="K1036" s="14">
        <v>42619</v>
      </c>
      <c r="L1036" s="12" t="s">
        <v>7145</v>
      </c>
      <c r="M1036" s="15">
        <v>42598</v>
      </c>
      <c r="N1036" s="17">
        <v>1</v>
      </c>
      <c r="O1036" s="17">
        <v>32100</v>
      </c>
      <c r="P1036" s="40">
        <v>32100</v>
      </c>
      <c r="Q1036" s="16">
        <f t="shared" si="27"/>
        <v>0</v>
      </c>
      <c r="R1036" s="285" t="s">
        <v>5345</v>
      </c>
      <c r="S1036" s="14">
        <v>42597</v>
      </c>
      <c r="T1036" s="22" t="s">
        <v>7143</v>
      </c>
    </row>
    <row r="1037" spans="1:20" ht="118.5" customHeight="1" x14ac:dyDescent="0.2">
      <c r="A1037" s="289">
        <v>1061</v>
      </c>
      <c r="B1037" s="289" t="s">
        <v>7146</v>
      </c>
      <c r="C1037" s="289"/>
      <c r="D1037" s="9" t="s">
        <v>7147</v>
      </c>
      <c r="E1037" s="22" t="s">
        <v>6220</v>
      </c>
      <c r="F1037" s="13" t="s">
        <v>7148</v>
      </c>
      <c r="G1037" s="285" t="s">
        <v>8661</v>
      </c>
      <c r="H1037" s="285" t="s">
        <v>5127</v>
      </c>
      <c r="I1037" s="289"/>
      <c r="J1037" s="285" t="s">
        <v>3136</v>
      </c>
      <c r="K1037" s="14">
        <v>42634</v>
      </c>
      <c r="L1037" s="12" t="s">
        <v>7175</v>
      </c>
      <c r="M1037" s="15">
        <v>42606</v>
      </c>
      <c r="N1037" s="17">
        <v>10</v>
      </c>
      <c r="O1037" s="17">
        <v>33200</v>
      </c>
      <c r="P1037" s="40">
        <v>33200</v>
      </c>
      <c r="Q1037" s="40">
        <f t="shared" si="27"/>
        <v>0</v>
      </c>
      <c r="R1037" s="285" t="s">
        <v>970</v>
      </c>
      <c r="S1037" s="14">
        <v>42605</v>
      </c>
      <c r="T1037" s="22" t="s">
        <v>7149</v>
      </c>
    </row>
    <row r="1038" spans="1:20" ht="126" customHeight="1" x14ac:dyDescent="0.2">
      <c r="A1038" s="289">
        <v>1062</v>
      </c>
      <c r="B1038" s="289" t="s">
        <v>7158</v>
      </c>
      <c r="C1038" s="289"/>
      <c r="D1038" s="9" t="s">
        <v>2394</v>
      </c>
      <c r="E1038" s="22" t="s">
        <v>6220</v>
      </c>
      <c r="F1038" s="13" t="s">
        <v>7161</v>
      </c>
      <c r="G1038" s="285" t="s">
        <v>515</v>
      </c>
      <c r="H1038" s="285" t="s">
        <v>5127</v>
      </c>
      <c r="I1038" s="289"/>
      <c r="J1038" s="285" t="s">
        <v>3136</v>
      </c>
      <c r="K1038" s="14">
        <v>42635</v>
      </c>
      <c r="L1038" s="12" t="s">
        <v>7176</v>
      </c>
      <c r="M1038" s="15">
        <v>42592</v>
      </c>
      <c r="N1038" s="17">
        <v>1</v>
      </c>
      <c r="O1038" s="17">
        <v>20501</v>
      </c>
      <c r="P1038" s="40">
        <v>20501</v>
      </c>
      <c r="Q1038" s="40">
        <f t="shared" si="27"/>
        <v>0</v>
      </c>
      <c r="R1038" s="285" t="s">
        <v>6111</v>
      </c>
      <c r="S1038" s="14">
        <v>42576</v>
      </c>
      <c r="T1038" s="22" t="s">
        <v>7162</v>
      </c>
    </row>
    <row r="1039" spans="1:20" ht="93.75" customHeight="1" x14ac:dyDescent="0.2">
      <c r="A1039" s="289">
        <v>1063</v>
      </c>
      <c r="B1039" s="289" t="s">
        <v>7159</v>
      </c>
      <c r="C1039" s="289"/>
      <c r="D1039" s="9" t="s">
        <v>7163</v>
      </c>
      <c r="E1039" s="22" t="s">
        <v>6220</v>
      </c>
      <c r="F1039" s="13" t="s">
        <v>7164</v>
      </c>
      <c r="G1039" s="285" t="s">
        <v>515</v>
      </c>
      <c r="H1039" s="285" t="s">
        <v>5127</v>
      </c>
      <c r="I1039" s="289"/>
      <c r="J1039" s="285" t="s">
        <v>3136</v>
      </c>
      <c r="K1039" s="14">
        <v>42635</v>
      </c>
      <c r="L1039" s="12" t="s">
        <v>7176</v>
      </c>
      <c r="M1039" s="15">
        <v>42592</v>
      </c>
      <c r="N1039" s="17">
        <v>1</v>
      </c>
      <c r="O1039" s="17">
        <v>8900</v>
      </c>
      <c r="P1039" s="40">
        <v>8900</v>
      </c>
      <c r="Q1039" s="40">
        <f t="shared" si="27"/>
        <v>0</v>
      </c>
      <c r="R1039" s="285" t="s">
        <v>6111</v>
      </c>
      <c r="S1039" s="14">
        <v>42576</v>
      </c>
      <c r="T1039" s="22" t="s">
        <v>7162</v>
      </c>
    </row>
    <row r="1040" spans="1:20" ht="75.75" customHeight="1" x14ac:dyDescent="0.2">
      <c r="A1040" s="289">
        <v>1064</v>
      </c>
      <c r="B1040" s="289" t="s">
        <v>7160</v>
      </c>
      <c r="C1040" s="289"/>
      <c r="D1040" s="9" t="s">
        <v>7165</v>
      </c>
      <c r="E1040" s="22" t="s">
        <v>6220</v>
      </c>
      <c r="F1040" s="13" t="s">
        <v>7166</v>
      </c>
      <c r="G1040" s="285" t="s">
        <v>515</v>
      </c>
      <c r="H1040" s="285" t="s">
        <v>5127</v>
      </c>
      <c r="I1040" s="289"/>
      <c r="J1040" s="285" t="s">
        <v>3136</v>
      </c>
      <c r="K1040" s="14">
        <v>42635</v>
      </c>
      <c r="L1040" s="12" t="s">
        <v>7176</v>
      </c>
      <c r="M1040" s="15">
        <v>42592</v>
      </c>
      <c r="N1040" s="17">
        <v>1</v>
      </c>
      <c r="O1040" s="17">
        <v>5076</v>
      </c>
      <c r="P1040" s="40">
        <v>5076</v>
      </c>
      <c r="Q1040" s="40">
        <f t="shared" si="27"/>
        <v>0</v>
      </c>
      <c r="R1040" s="285" t="s">
        <v>6111</v>
      </c>
      <c r="S1040" s="14">
        <v>42576</v>
      </c>
      <c r="T1040" s="22" t="s">
        <v>7162</v>
      </c>
    </row>
    <row r="1041" spans="1:20" ht="57" customHeight="1" x14ac:dyDescent="0.2">
      <c r="A1041" s="289">
        <v>1065</v>
      </c>
      <c r="B1041" s="289" t="s">
        <v>7177</v>
      </c>
      <c r="C1041" s="289"/>
      <c r="D1041" s="9" t="s">
        <v>7178</v>
      </c>
      <c r="E1041" s="22" t="s">
        <v>6220</v>
      </c>
      <c r="F1041" s="13" t="s">
        <v>7181</v>
      </c>
      <c r="G1041" s="285" t="s">
        <v>7179</v>
      </c>
      <c r="H1041" s="285" t="s">
        <v>5127</v>
      </c>
      <c r="I1041" s="289"/>
      <c r="J1041" s="285" t="s">
        <v>3136</v>
      </c>
      <c r="K1041" s="14">
        <v>42642</v>
      </c>
      <c r="L1041" s="12" t="s">
        <v>7188</v>
      </c>
      <c r="M1041" s="15">
        <v>42626</v>
      </c>
      <c r="N1041" s="17">
        <v>1</v>
      </c>
      <c r="O1041" s="17">
        <v>5199</v>
      </c>
      <c r="P1041" s="40">
        <v>5199</v>
      </c>
      <c r="Q1041" s="40">
        <f t="shared" si="27"/>
        <v>0</v>
      </c>
      <c r="R1041" s="285" t="s">
        <v>3418</v>
      </c>
      <c r="S1041" s="14">
        <v>42626</v>
      </c>
      <c r="T1041" s="22" t="s">
        <v>7180</v>
      </c>
    </row>
    <row r="1042" spans="1:20" ht="67.5" customHeight="1" x14ac:dyDescent="0.2">
      <c r="A1042" s="289">
        <v>1067</v>
      </c>
      <c r="B1042" s="289" t="s">
        <v>7206</v>
      </c>
      <c r="C1042" s="289"/>
      <c r="D1042" s="9" t="s">
        <v>4849</v>
      </c>
      <c r="E1042" s="22" t="s">
        <v>6220</v>
      </c>
      <c r="F1042" s="13" t="s">
        <v>7207</v>
      </c>
      <c r="G1042" s="285" t="s">
        <v>4877</v>
      </c>
      <c r="H1042" s="285" t="s">
        <v>3793</v>
      </c>
      <c r="I1042" s="289"/>
      <c r="J1042" s="285" t="s">
        <v>3136</v>
      </c>
      <c r="K1042" s="14">
        <v>42653</v>
      </c>
      <c r="L1042" s="12" t="s">
        <v>7211</v>
      </c>
      <c r="M1042" s="15">
        <v>42613</v>
      </c>
      <c r="N1042" s="17">
        <v>1</v>
      </c>
      <c r="O1042" s="17">
        <v>11300</v>
      </c>
      <c r="P1042" s="40">
        <v>11300</v>
      </c>
      <c r="Q1042" s="40">
        <f t="shared" si="27"/>
        <v>0</v>
      </c>
      <c r="R1042" s="285" t="s">
        <v>7208</v>
      </c>
      <c r="S1042" s="14">
        <v>42569</v>
      </c>
      <c r="T1042" s="22" t="s">
        <v>1029</v>
      </c>
    </row>
    <row r="1043" spans="1:20" ht="90.75" customHeight="1" x14ac:dyDescent="0.2">
      <c r="A1043" s="289">
        <v>1068</v>
      </c>
      <c r="B1043" s="289" t="s">
        <v>7212</v>
      </c>
      <c r="C1043" s="289"/>
      <c r="D1043" s="9" t="s">
        <v>7213</v>
      </c>
      <c r="E1043" s="22" t="s">
        <v>6220</v>
      </c>
      <c r="F1043" s="13" t="s">
        <v>7214</v>
      </c>
      <c r="G1043" s="285" t="s">
        <v>515</v>
      </c>
      <c r="H1043" s="285" t="s">
        <v>5127</v>
      </c>
      <c r="I1043" s="289"/>
      <c r="J1043" s="285" t="s">
        <v>3136</v>
      </c>
      <c r="K1043" s="14">
        <v>42662</v>
      </c>
      <c r="L1043" s="12" t="s">
        <v>7221</v>
      </c>
      <c r="M1043" s="15">
        <v>42626</v>
      </c>
      <c r="N1043" s="17">
        <v>1</v>
      </c>
      <c r="O1043" s="17">
        <v>22962</v>
      </c>
      <c r="P1043" s="40">
        <v>22962</v>
      </c>
      <c r="Q1043" s="40">
        <f t="shared" si="27"/>
        <v>0</v>
      </c>
      <c r="R1043" s="285" t="s">
        <v>7215</v>
      </c>
      <c r="S1043" s="14">
        <v>42620</v>
      </c>
      <c r="T1043" s="22" t="s">
        <v>7216</v>
      </c>
    </row>
    <row r="1044" spans="1:20" ht="124.5" customHeight="1" x14ac:dyDescent="0.2">
      <c r="A1044" s="289">
        <v>1072</v>
      </c>
      <c r="B1044" s="289" t="s">
        <v>7250</v>
      </c>
      <c r="C1044" s="289"/>
      <c r="D1044" s="9" t="s">
        <v>7251</v>
      </c>
      <c r="E1044" s="22" t="s">
        <v>6220</v>
      </c>
      <c r="F1044" s="13" t="s">
        <v>7252</v>
      </c>
      <c r="G1044" s="285" t="s">
        <v>7934</v>
      </c>
      <c r="H1044" s="285" t="s">
        <v>5127</v>
      </c>
      <c r="I1044" s="289"/>
      <c r="J1044" s="285" t="s">
        <v>3136</v>
      </c>
      <c r="K1044" s="14">
        <v>42689</v>
      </c>
      <c r="L1044" s="12" t="s">
        <v>7254</v>
      </c>
      <c r="M1044" s="15">
        <v>42652</v>
      </c>
      <c r="N1044" s="17">
        <v>3</v>
      </c>
      <c r="O1044" s="17">
        <v>19185</v>
      </c>
      <c r="P1044" s="40">
        <v>19185</v>
      </c>
      <c r="Q1044" s="40">
        <f t="shared" si="27"/>
        <v>0</v>
      </c>
      <c r="R1044" s="285" t="s">
        <v>3418</v>
      </c>
      <c r="S1044" s="14">
        <v>42652</v>
      </c>
      <c r="T1044" s="285">
        <v>2920160129</v>
      </c>
    </row>
    <row r="1045" spans="1:20" ht="116.25" customHeight="1" x14ac:dyDescent="0.2">
      <c r="A1045" s="289">
        <v>1073</v>
      </c>
      <c r="B1045" s="289" t="s">
        <v>7275</v>
      </c>
      <c r="C1045" s="289"/>
      <c r="D1045" s="9" t="s">
        <v>7277</v>
      </c>
      <c r="E1045" s="22" t="s">
        <v>6220</v>
      </c>
      <c r="F1045" s="13" t="s">
        <v>7278</v>
      </c>
      <c r="G1045" s="285" t="s">
        <v>7983</v>
      </c>
      <c r="H1045" s="285" t="s">
        <v>5127</v>
      </c>
      <c r="I1045" s="289"/>
      <c r="J1045" s="285" t="s">
        <v>3136</v>
      </c>
      <c r="K1045" s="14">
        <v>42718</v>
      </c>
      <c r="L1045" s="12" t="s">
        <v>7288</v>
      </c>
      <c r="M1045" s="15">
        <v>42704</v>
      </c>
      <c r="N1045" s="17">
        <v>1</v>
      </c>
      <c r="O1045" s="17">
        <v>17999</v>
      </c>
      <c r="P1045" s="40">
        <v>17999</v>
      </c>
      <c r="Q1045" s="40">
        <f t="shared" si="27"/>
        <v>0</v>
      </c>
      <c r="R1045" s="285" t="s">
        <v>5498</v>
      </c>
      <c r="S1045" s="14">
        <v>42695</v>
      </c>
      <c r="T1045" s="285" t="s">
        <v>7279</v>
      </c>
    </row>
    <row r="1046" spans="1:20" ht="112.5" customHeight="1" x14ac:dyDescent="0.2">
      <c r="A1046" s="289">
        <v>1074</v>
      </c>
      <c r="B1046" s="289" t="s">
        <v>7276</v>
      </c>
      <c r="C1046" s="289"/>
      <c r="D1046" s="9" t="s">
        <v>7282</v>
      </c>
      <c r="E1046" s="22" t="s">
        <v>6220</v>
      </c>
      <c r="F1046" s="13" t="s">
        <v>7283</v>
      </c>
      <c r="G1046" s="285" t="s">
        <v>7983</v>
      </c>
      <c r="H1046" s="285" t="s">
        <v>5127</v>
      </c>
      <c r="I1046" s="289"/>
      <c r="J1046" s="285" t="s">
        <v>3136</v>
      </c>
      <c r="K1046" s="14">
        <v>42718</v>
      </c>
      <c r="L1046" s="12" t="s">
        <v>7288</v>
      </c>
      <c r="M1046" s="15">
        <v>42710</v>
      </c>
      <c r="N1046" s="17">
        <v>1</v>
      </c>
      <c r="O1046" s="17">
        <v>5300</v>
      </c>
      <c r="P1046" s="40">
        <v>5300</v>
      </c>
      <c r="Q1046" s="40">
        <f t="shared" si="27"/>
        <v>0</v>
      </c>
      <c r="R1046" s="285" t="s">
        <v>5498</v>
      </c>
      <c r="S1046" s="14" t="s">
        <v>7280</v>
      </c>
      <c r="T1046" s="285" t="s">
        <v>7281</v>
      </c>
    </row>
    <row r="1047" spans="1:20" ht="72.75" customHeight="1" x14ac:dyDescent="0.2">
      <c r="A1047" s="289">
        <v>1075</v>
      </c>
      <c r="B1047" s="289" t="s">
        <v>7284</v>
      </c>
      <c r="C1047" s="289"/>
      <c r="D1047" s="9" t="s">
        <v>7163</v>
      </c>
      <c r="E1047" s="284">
        <v>2016</v>
      </c>
      <c r="F1047" s="22" t="s">
        <v>7286</v>
      </c>
      <c r="G1047" s="285" t="s">
        <v>515</v>
      </c>
      <c r="H1047" s="285" t="s">
        <v>5127</v>
      </c>
      <c r="I1047" s="289"/>
      <c r="J1047" s="285" t="s">
        <v>3136</v>
      </c>
      <c r="K1047" s="14">
        <v>42718</v>
      </c>
      <c r="L1047" s="12" t="s">
        <v>7347</v>
      </c>
      <c r="M1047" s="15">
        <v>42668</v>
      </c>
      <c r="N1047" s="17">
        <v>1</v>
      </c>
      <c r="O1047" s="17">
        <v>7989</v>
      </c>
      <c r="P1047" s="40">
        <v>7989</v>
      </c>
      <c r="Q1047" s="40">
        <f t="shared" si="27"/>
        <v>0</v>
      </c>
      <c r="R1047" s="285" t="s">
        <v>6111</v>
      </c>
      <c r="S1047" s="14">
        <v>42682</v>
      </c>
      <c r="T1047" s="285">
        <v>2620160118</v>
      </c>
    </row>
    <row r="1048" spans="1:20" ht="77.25" customHeight="1" x14ac:dyDescent="0.2">
      <c r="A1048" s="289">
        <v>1076</v>
      </c>
      <c r="B1048" s="289" t="s">
        <v>7285</v>
      </c>
      <c r="C1048" s="289"/>
      <c r="D1048" s="9" t="s">
        <v>7165</v>
      </c>
      <c r="E1048" s="22" t="s">
        <v>6220</v>
      </c>
      <c r="F1048" s="13" t="s">
        <v>7287</v>
      </c>
      <c r="G1048" s="285" t="s">
        <v>515</v>
      </c>
      <c r="H1048" s="285" t="s">
        <v>5127</v>
      </c>
      <c r="I1048" s="289"/>
      <c r="J1048" s="285" t="s">
        <v>3136</v>
      </c>
      <c r="K1048" s="14">
        <v>42718</v>
      </c>
      <c r="L1048" s="12" t="s">
        <v>7347</v>
      </c>
      <c r="M1048" s="15">
        <v>42703</v>
      </c>
      <c r="N1048" s="17">
        <v>1</v>
      </c>
      <c r="O1048" s="17">
        <v>4869</v>
      </c>
      <c r="P1048" s="40">
        <v>4869</v>
      </c>
      <c r="Q1048" s="40">
        <f t="shared" ref="Q1048:Q1074" si="28">O1048-P1048</f>
        <v>0</v>
      </c>
      <c r="R1048" s="285" t="s">
        <v>6111</v>
      </c>
      <c r="S1048" s="14">
        <v>42682</v>
      </c>
      <c r="T1048" s="285">
        <v>2620160130</v>
      </c>
    </row>
    <row r="1049" spans="1:20" ht="222" customHeight="1" x14ac:dyDescent="0.2">
      <c r="A1049" s="289">
        <v>1077</v>
      </c>
      <c r="B1049" s="289" t="s">
        <v>7292</v>
      </c>
      <c r="C1049" s="289"/>
      <c r="D1049" s="9" t="s">
        <v>5700</v>
      </c>
      <c r="E1049" s="22" t="s">
        <v>6220</v>
      </c>
      <c r="F1049" s="13" t="s">
        <v>7330</v>
      </c>
      <c r="G1049" s="285" t="s">
        <v>7977</v>
      </c>
      <c r="H1049" s="285" t="s">
        <v>5127</v>
      </c>
      <c r="I1049" s="289"/>
      <c r="J1049" s="285" t="s">
        <v>3136</v>
      </c>
      <c r="K1049" s="14">
        <v>42726</v>
      </c>
      <c r="L1049" s="12" t="s">
        <v>7329</v>
      </c>
      <c r="M1049" s="15">
        <v>42711</v>
      </c>
      <c r="N1049" s="17">
        <v>6</v>
      </c>
      <c r="O1049" s="17">
        <v>23720</v>
      </c>
      <c r="P1049" s="40">
        <v>23720</v>
      </c>
      <c r="Q1049" s="40">
        <f t="shared" si="28"/>
        <v>0</v>
      </c>
      <c r="R1049" s="17" t="s">
        <v>5345</v>
      </c>
      <c r="S1049" s="14">
        <v>42709</v>
      </c>
      <c r="T1049" s="285">
        <v>134</v>
      </c>
    </row>
    <row r="1050" spans="1:20" ht="76.5" customHeight="1" x14ac:dyDescent="0.2">
      <c r="A1050" s="289">
        <v>1078</v>
      </c>
      <c r="B1050" s="289" t="s">
        <v>7299</v>
      </c>
      <c r="C1050" s="289"/>
      <c r="D1050" s="9" t="s">
        <v>7300</v>
      </c>
      <c r="E1050" s="22" t="s">
        <v>6220</v>
      </c>
      <c r="F1050" s="13" t="s">
        <v>7332</v>
      </c>
      <c r="G1050" s="285" t="s">
        <v>7979</v>
      </c>
      <c r="H1050" s="285" t="s">
        <v>5127</v>
      </c>
      <c r="I1050" s="289"/>
      <c r="J1050" s="285" t="s">
        <v>3136</v>
      </c>
      <c r="K1050" s="14">
        <v>42726</v>
      </c>
      <c r="L1050" s="12" t="s">
        <v>7331</v>
      </c>
      <c r="M1050" s="15">
        <v>42705</v>
      </c>
      <c r="N1050" s="17">
        <v>2</v>
      </c>
      <c r="O1050" s="17">
        <v>13800</v>
      </c>
      <c r="P1050" s="40">
        <v>13800</v>
      </c>
      <c r="Q1050" s="40">
        <f t="shared" si="28"/>
        <v>0</v>
      </c>
      <c r="R1050" s="17" t="s">
        <v>5363</v>
      </c>
      <c r="S1050" s="14">
        <v>42705</v>
      </c>
      <c r="T1050" s="285">
        <v>586</v>
      </c>
    </row>
    <row r="1051" spans="1:20" ht="50.25" customHeight="1" x14ac:dyDescent="0.2">
      <c r="A1051" s="289">
        <v>1079</v>
      </c>
      <c r="B1051" s="289" t="s">
        <v>10591</v>
      </c>
      <c r="C1051" s="289"/>
      <c r="D1051" s="9" t="s">
        <v>7301</v>
      </c>
      <c r="E1051" s="22"/>
      <c r="F1051" s="13"/>
      <c r="G1051" s="285" t="s">
        <v>10465</v>
      </c>
      <c r="H1051" s="289" t="s">
        <v>2207</v>
      </c>
      <c r="I1051" s="289"/>
      <c r="J1051" s="285" t="s">
        <v>3136</v>
      </c>
      <c r="K1051" s="14" t="s">
        <v>10585</v>
      </c>
      <c r="L1051" s="12" t="s">
        <v>10586</v>
      </c>
      <c r="M1051" s="15">
        <v>42725</v>
      </c>
      <c r="N1051" s="17">
        <v>157</v>
      </c>
      <c r="O1051" s="17">
        <v>161990.5</v>
      </c>
      <c r="P1051" s="40">
        <v>161990.5</v>
      </c>
      <c r="Q1051" s="40">
        <f t="shared" si="28"/>
        <v>0</v>
      </c>
      <c r="R1051" s="17"/>
      <c r="S1051" s="14"/>
      <c r="T1051" s="285"/>
    </row>
    <row r="1052" spans="1:20" ht="114.75" customHeight="1" x14ac:dyDescent="0.2">
      <c r="A1052" s="289">
        <v>1080</v>
      </c>
      <c r="B1052" s="289" t="s">
        <v>7344</v>
      </c>
      <c r="C1052" s="289"/>
      <c r="D1052" s="9" t="s">
        <v>7345</v>
      </c>
      <c r="E1052" s="22" t="s">
        <v>6220</v>
      </c>
      <c r="F1052" s="13" t="s">
        <v>7346</v>
      </c>
      <c r="G1052" s="285" t="s">
        <v>7983</v>
      </c>
      <c r="H1052" s="285" t="s">
        <v>5127</v>
      </c>
      <c r="I1052" s="289"/>
      <c r="J1052" s="285" t="s">
        <v>3136</v>
      </c>
      <c r="K1052" s="14">
        <v>42734</v>
      </c>
      <c r="L1052" s="12" t="s">
        <v>7354</v>
      </c>
      <c r="M1052" s="15">
        <v>42732</v>
      </c>
      <c r="N1052" s="17">
        <v>1</v>
      </c>
      <c r="O1052" s="17">
        <v>5000</v>
      </c>
      <c r="P1052" s="40">
        <v>5000</v>
      </c>
      <c r="Q1052" s="40">
        <f t="shared" si="28"/>
        <v>0</v>
      </c>
      <c r="R1052" s="17" t="s">
        <v>5498</v>
      </c>
      <c r="S1052" s="14">
        <v>42723</v>
      </c>
      <c r="T1052" s="285" t="s">
        <v>7348</v>
      </c>
    </row>
    <row r="1053" spans="1:20" ht="93.75" customHeight="1" x14ac:dyDescent="0.2">
      <c r="A1053" s="289">
        <v>1081</v>
      </c>
      <c r="B1053" s="289" t="s">
        <v>7363</v>
      </c>
      <c r="C1053" s="289"/>
      <c r="D1053" s="9" t="s">
        <v>7366</v>
      </c>
      <c r="E1053" s="22" t="s">
        <v>6220</v>
      </c>
      <c r="F1053" s="13" t="s">
        <v>7365</v>
      </c>
      <c r="G1053" s="285" t="s">
        <v>7977</v>
      </c>
      <c r="H1053" s="285" t="s">
        <v>5127</v>
      </c>
      <c r="I1053" s="289"/>
      <c r="J1053" s="285" t="s">
        <v>3136</v>
      </c>
      <c r="K1053" s="14">
        <v>42746</v>
      </c>
      <c r="L1053" s="12" t="s">
        <v>5384</v>
      </c>
      <c r="M1053" s="15">
        <v>42732</v>
      </c>
      <c r="N1053" s="17">
        <v>1</v>
      </c>
      <c r="O1053" s="17">
        <v>3900</v>
      </c>
      <c r="P1053" s="40">
        <v>3900</v>
      </c>
      <c r="Q1053" s="40">
        <f t="shared" si="28"/>
        <v>0</v>
      </c>
      <c r="R1053" s="17" t="s">
        <v>5345</v>
      </c>
      <c r="S1053" s="14">
        <v>42723</v>
      </c>
      <c r="T1053" s="285">
        <v>2720160137</v>
      </c>
    </row>
    <row r="1054" spans="1:20" ht="86.25" customHeight="1" x14ac:dyDescent="0.2">
      <c r="A1054" s="289">
        <v>1082</v>
      </c>
      <c r="B1054" s="289" t="s">
        <v>7364</v>
      </c>
      <c r="C1054" s="289"/>
      <c r="D1054" s="9" t="s">
        <v>7367</v>
      </c>
      <c r="E1054" s="22" t="s">
        <v>6220</v>
      </c>
      <c r="F1054" s="13" t="s">
        <v>7368</v>
      </c>
      <c r="G1054" s="285" t="s">
        <v>515</v>
      </c>
      <c r="H1054" s="285" t="s">
        <v>5127</v>
      </c>
      <c r="I1054" s="289"/>
      <c r="J1054" s="285" t="s">
        <v>3136</v>
      </c>
      <c r="K1054" s="14">
        <v>42746</v>
      </c>
      <c r="L1054" s="12" t="s">
        <v>4044</v>
      </c>
      <c r="M1054" s="15">
        <v>42732</v>
      </c>
      <c r="N1054" s="17">
        <v>1</v>
      </c>
      <c r="O1054" s="17">
        <v>7450</v>
      </c>
      <c r="P1054" s="40">
        <v>7450</v>
      </c>
      <c r="Q1054" s="40">
        <f t="shared" si="28"/>
        <v>0</v>
      </c>
      <c r="R1054" s="17" t="s">
        <v>7369</v>
      </c>
      <c r="S1054" s="14">
        <v>42731</v>
      </c>
      <c r="T1054" s="285" t="s">
        <v>7370</v>
      </c>
    </row>
    <row r="1055" spans="1:20" ht="123.75" customHeight="1" x14ac:dyDescent="0.2">
      <c r="A1055" s="289">
        <v>1083</v>
      </c>
      <c r="B1055" s="289" t="s">
        <v>7382</v>
      </c>
      <c r="C1055" s="289"/>
      <c r="D1055" s="9" t="s">
        <v>7378</v>
      </c>
      <c r="E1055" s="22" t="s">
        <v>7379</v>
      </c>
      <c r="F1055" s="9" t="s">
        <v>7380</v>
      </c>
      <c r="G1055" s="285" t="s">
        <v>7934</v>
      </c>
      <c r="H1055" s="285" t="s">
        <v>5127</v>
      </c>
      <c r="I1055" s="289"/>
      <c r="J1055" s="285" t="s">
        <v>3136</v>
      </c>
      <c r="K1055" s="14">
        <v>42753</v>
      </c>
      <c r="L1055" s="285">
        <v>23</v>
      </c>
      <c r="M1055" s="15">
        <v>42744</v>
      </c>
      <c r="N1055" s="24">
        <v>1</v>
      </c>
      <c r="O1055" s="63">
        <v>4990</v>
      </c>
      <c r="P1055" s="63">
        <v>4990</v>
      </c>
      <c r="Q1055" s="17">
        <f t="shared" si="28"/>
        <v>0</v>
      </c>
      <c r="R1055" s="285" t="s">
        <v>7381</v>
      </c>
      <c r="S1055" s="14">
        <v>42744</v>
      </c>
      <c r="T1055" s="22" t="s">
        <v>1029</v>
      </c>
    </row>
    <row r="1056" spans="1:20" ht="53.25" customHeight="1" x14ac:dyDescent="0.2">
      <c r="A1056" s="289">
        <v>1084</v>
      </c>
      <c r="B1056" s="289" t="s">
        <v>7402</v>
      </c>
      <c r="C1056" s="289"/>
      <c r="D1056" s="9" t="s">
        <v>7412</v>
      </c>
      <c r="E1056" s="22" t="s">
        <v>7379</v>
      </c>
      <c r="F1056" s="9" t="s">
        <v>7406</v>
      </c>
      <c r="G1056" s="285" t="s">
        <v>7934</v>
      </c>
      <c r="H1056" s="285" t="s">
        <v>5127</v>
      </c>
      <c r="I1056" s="289"/>
      <c r="J1056" s="285" t="s">
        <v>3136</v>
      </c>
      <c r="K1056" s="14">
        <v>42776</v>
      </c>
      <c r="L1056" s="285">
        <v>129</v>
      </c>
      <c r="M1056" s="15">
        <v>42767</v>
      </c>
      <c r="N1056" s="24">
        <v>1</v>
      </c>
      <c r="O1056" s="63">
        <v>9900</v>
      </c>
      <c r="P1056" s="63">
        <v>9900</v>
      </c>
      <c r="Q1056" s="17">
        <f t="shared" si="28"/>
        <v>0</v>
      </c>
      <c r="R1056" s="285" t="s">
        <v>5110</v>
      </c>
      <c r="S1056" s="14">
        <v>42762</v>
      </c>
      <c r="T1056" s="22" t="s">
        <v>2388</v>
      </c>
    </row>
    <row r="1057" spans="1:20" ht="57.75" customHeight="1" x14ac:dyDescent="0.2">
      <c r="A1057" s="289">
        <v>1085</v>
      </c>
      <c r="B1057" s="289" t="s">
        <v>7403</v>
      </c>
      <c r="C1057" s="289"/>
      <c r="D1057" s="9" t="s">
        <v>7407</v>
      </c>
      <c r="E1057" s="22" t="s">
        <v>7379</v>
      </c>
      <c r="F1057" s="9" t="s">
        <v>7408</v>
      </c>
      <c r="G1057" s="285" t="s">
        <v>7934</v>
      </c>
      <c r="H1057" s="285" t="s">
        <v>5127</v>
      </c>
      <c r="I1057" s="289"/>
      <c r="J1057" s="285" t="s">
        <v>3136</v>
      </c>
      <c r="K1057" s="14">
        <v>42776</v>
      </c>
      <c r="L1057" s="285">
        <v>129</v>
      </c>
      <c r="M1057" s="15">
        <v>42767</v>
      </c>
      <c r="N1057" s="24">
        <v>1</v>
      </c>
      <c r="O1057" s="63">
        <v>6900</v>
      </c>
      <c r="P1057" s="63">
        <v>6900</v>
      </c>
      <c r="Q1057" s="17">
        <f t="shared" si="28"/>
        <v>0</v>
      </c>
      <c r="R1057" s="285" t="s">
        <v>5110</v>
      </c>
      <c r="S1057" s="14">
        <v>42762</v>
      </c>
      <c r="T1057" s="22" t="s">
        <v>2388</v>
      </c>
    </row>
    <row r="1058" spans="1:20" ht="105" customHeight="1" x14ac:dyDescent="0.2">
      <c r="A1058" s="289">
        <v>1086</v>
      </c>
      <c r="B1058" s="289" t="s">
        <v>7404</v>
      </c>
      <c r="C1058" s="289"/>
      <c r="D1058" s="9" t="s">
        <v>7413</v>
      </c>
      <c r="E1058" s="22" t="s">
        <v>7379</v>
      </c>
      <c r="F1058" s="9" t="s">
        <v>7409</v>
      </c>
      <c r="G1058" s="285" t="s">
        <v>7934</v>
      </c>
      <c r="H1058" s="285" t="s">
        <v>5127</v>
      </c>
      <c r="I1058" s="289"/>
      <c r="J1058" s="285" t="s">
        <v>3136</v>
      </c>
      <c r="K1058" s="14">
        <v>42776</v>
      </c>
      <c r="L1058" s="285">
        <v>129</v>
      </c>
      <c r="M1058" s="15">
        <v>42767</v>
      </c>
      <c r="N1058" s="24">
        <v>1</v>
      </c>
      <c r="O1058" s="63">
        <v>8400</v>
      </c>
      <c r="P1058" s="63">
        <v>8400</v>
      </c>
      <c r="Q1058" s="17">
        <f t="shared" si="28"/>
        <v>0</v>
      </c>
      <c r="R1058" s="285" t="s">
        <v>5110</v>
      </c>
      <c r="S1058" s="14">
        <v>42762</v>
      </c>
      <c r="T1058" s="22" t="s">
        <v>2388</v>
      </c>
    </row>
    <row r="1059" spans="1:20" ht="114.75" customHeight="1" x14ac:dyDescent="0.2">
      <c r="A1059" s="289">
        <v>1087</v>
      </c>
      <c r="B1059" s="289" t="s">
        <v>7405</v>
      </c>
      <c r="C1059" s="289"/>
      <c r="D1059" s="9" t="s">
        <v>7410</v>
      </c>
      <c r="E1059" s="22" t="s">
        <v>7379</v>
      </c>
      <c r="F1059" s="9" t="s">
        <v>7411</v>
      </c>
      <c r="G1059" s="285" t="s">
        <v>7934</v>
      </c>
      <c r="H1059" s="285" t="s">
        <v>5127</v>
      </c>
      <c r="I1059" s="289"/>
      <c r="J1059" s="285" t="s">
        <v>3136</v>
      </c>
      <c r="K1059" s="14">
        <v>42776</v>
      </c>
      <c r="L1059" s="285">
        <v>129</v>
      </c>
      <c r="M1059" s="15">
        <v>42767</v>
      </c>
      <c r="N1059" s="24">
        <v>1</v>
      </c>
      <c r="O1059" s="63">
        <v>8400</v>
      </c>
      <c r="P1059" s="63">
        <v>8400</v>
      </c>
      <c r="Q1059" s="17">
        <f t="shared" si="28"/>
        <v>0</v>
      </c>
      <c r="R1059" s="285" t="s">
        <v>5110</v>
      </c>
      <c r="S1059" s="14">
        <v>42762</v>
      </c>
      <c r="T1059" s="22" t="s">
        <v>2388</v>
      </c>
    </row>
    <row r="1060" spans="1:20" ht="127.5" customHeight="1" x14ac:dyDescent="0.2">
      <c r="A1060" s="289">
        <v>1088</v>
      </c>
      <c r="B1060" s="289" t="s">
        <v>7466</v>
      </c>
      <c r="C1060" s="289"/>
      <c r="D1060" s="9" t="s">
        <v>7469</v>
      </c>
      <c r="E1060" s="22" t="s">
        <v>7379</v>
      </c>
      <c r="F1060" s="9" t="s">
        <v>7470</v>
      </c>
      <c r="G1060" s="285" t="s">
        <v>7979</v>
      </c>
      <c r="H1060" s="285" t="s">
        <v>5127</v>
      </c>
      <c r="I1060" s="289"/>
      <c r="J1060" s="285" t="s">
        <v>3136</v>
      </c>
      <c r="K1060" s="14">
        <v>42850</v>
      </c>
      <c r="L1060" s="285">
        <v>384</v>
      </c>
      <c r="M1060" s="15">
        <v>42822</v>
      </c>
      <c r="N1060" s="24">
        <v>1</v>
      </c>
      <c r="O1060" s="63">
        <v>6500</v>
      </c>
      <c r="P1060" s="63">
        <v>6500</v>
      </c>
      <c r="Q1060" s="40">
        <f t="shared" si="28"/>
        <v>0</v>
      </c>
      <c r="R1060" s="285" t="s">
        <v>7474</v>
      </c>
      <c r="S1060" s="14">
        <v>42822</v>
      </c>
      <c r="T1060" s="22" t="s">
        <v>7475</v>
      </c>
    </row>
    <row r="1061" spans="1:20" ht="117" customHeight="1" x14ac:dyDescent="0.2">
      <c r="A1061" s="289">
        <v>1089</v>
      </c>
      <c r="B1061" s="289" t="s">
        <v>7467</v>
      </c>
      <c r="C1061" s="289"/>
      <c r="D1061" s="9" t="s">
        <v>4536</v>
      </c>
      <c r="E1061" s="22" t="s">
        <v>7379</v>
      </c>
      <c r="F1061" s="9" t="s">
        <v>7471</v>
      </c>
      <c r="G1061" s="285" t="s">
        <v>7979</v>
      </c>
      <c r="H1061" s="285" t="s">
        <v>5127</v>
      </c>
      <c r="I1061" s="289"/>
      <c r="J1061" s="285" t="s">
        <v>3136</v>
      </c>
      <c r="K1061" s="14">
        <v>42850</v>
      </c>
      <c r="L1061" s="285">
        <v>384</v>
      </c>
      <c r="M1061" s="15">
        <v>42822</v>
      </c>
      <c r="N1061" s="24">
        <v>1</v>
      </c>
      <c r="O1061" s="63">
        <v>7010</v>
      </c>
      <c r="P1061" s="63">
        <v>7010</v>
      </c>
      <c r="Q1061" s="40">
        <f t="shared" si="28"/>
        <v>0</v>
      </c>
      <c r="R1061" s="285" t="s">
        <v>7474</v>
      </c>
      <c r="S1061" s="14">
        <v>42822</v>
      </c>
      <c r="T1061" s="22" t="s">
        <v>7475</v>
      </c>
    </row>
    <row r="1062" spans="1:20" ht="125.25" customHeight="1" x14ac:dyDescent="0.2">
      <c r="A1062" s="289">
        <v>1090</v>
      </c>
      <c r="B1062" s="289" t="s">
        <v>7468</v>
      </c>
      <c r="C1062" s="289"/>
      <c r="D1062" s="9" t="s">
        <v>7472</v>
      </c>
      <c r="E1062" s="22" t="s">
        <v>7379</v>
      </c>
      <c r="F1062" s="9" t="s">
        <v>7473</v>
      </c>
      <c r="G1062" s="285" t="s">
        <v>7979</v>
      </c>
      <c r="H1062" s="285" t="s">
        <v>5127</v>
      </c>
      <c r="I1062" s="289"/>
      <c r="J1062" s="285" t="s">
        <v>3136</v>
      </c>
      <c r="K1062" s="14">
        <v>42850</v>
      </c>
      <c r="L1062" s="285">
        <v>384</v>
      </c>
      <c r="M1062" s="15">
        <v>42822</v>
      </c>
      <c r="N1062" s="24">
        <v>1</v>
      </c>
      <c r="O1062" s="63">
        <v>9834</v>
      </c>
      <c r="P1062" s="63">
        <v>9834</v>
      </c>
      <c r="Q1062" s="40">
        <f t="shared" si="28"/>
        <v>0</v>
      </c>
      <c r="R1062" s="285" t="s">
        <v>7474</v>
      </c>
      <c r="S1062" s="14">
        <v>42822</v>
      </c>
      <c r="T1062" s="22" t="s">
        <v>7475</v>
      </c>
    </row>
    <row r="1063" spans="1:20" ht="46.5" customHeight="1" x14ac:dyDescent="0.2">
      <c r="A1063" s="289">
        <v>1091</v>
      </c>
      <c r="B1063" s="289" t="s">
        <v>7484</v>
      </c>
      <c r="C1063" s="289"/>
      <c r="D1063" s="9" t="s">
        <v>7493</v>
      </c>
      <c r="E1063" s="22" t="s">
        <v>7379</v>
      </c>
      <c r="F1063" s="9"/>
      <c r="G1063" s="285" t="s">
        <v>515</v>
      </c>
      <c r="H1063" s="285" t="s">
        <v>5127</v>
      </c>
      <c r="I1063" s="289"/>
      <c r="J1063" s="285" t="s">
        <v>3136</v>
      </c>
      <c r="K1063" s="14">
        <v>42879</v>
      </c>
      <c r="L1063" s="285">
        <v>475</v>
      </c>
      <c r="M1063" s="15">
        <v>42829</v>
      </c>
      <c r="N1063" s="33">
        <v>1</v>
      </c>
      <c r="O1063" s="61">
        <v>19500</v>
      </c>
      <c r="P1063" s="61">
        <v>19500</v>
      </c>
      <c r="Q1063" s="34">
        <f t="shared" si="28"/>
        <v>0</v>
      </c>
      <c r="R1063" s="285" t="s">
        <v>5364</v>
      </c>
      <c r="S1063" s="14">
        <v>42822</v>
      </c>
      <c r="T1063" s="22" t="s">
        <v>7494</v>
      </c>
    </row>
    <row r="1064" spans="1:20" ht="49.5" customHeight="1" x14ac:dyDescent="0.2">
      <c r="A1064" s="289">
        <v>1092</v>
      </c>
      <c r="B1064" s="289" t="s">
        <v>7485</v>
      </c>
      <c r="C1064" s="289"/>
      <c r="D1064" s="9" t="s">
        <v>6356</v>
      </c>
      <c r="E1064" s="22" t="s">
        <v>7379</v>
      </c>
      <c r="F1064" s="9"/>
      <c r="G1064" s="285" t="s">
        <v>515</v>
      </c>
      <c r="H1064" s="285" t="s">
        <v>5127</v>
      </c>
      <c r="I1064" s="289"/>
      <c r="J1064" s="285" t="s">
        <v>3136</v>
      </c>
      <c r="K1064" s="14">
        <v>42879</v>
      </c>
      <c r="L1064" s="285">
        <v>475</v>
      </c>
      <c r="M1064" s="15">
        <v>42829</v>
      </c>
      <c r="N1064" s="33">
        <v>1</v>
      </c>
      <c r="O1064" s="61">
        <v>9100</v>
      </c>
      <c r="P1064" s="61">
        <v>9100</v>
      </c>
      <c r="Q1064" s="34">
        <f t="shared" si="28"/>
        <v>0</v>
      </c>
      <c r="R1064" s="285" t="s">
        <v>5364</v>
      </c>
      <c r="S1064" s="14">
        <v>42822</v>
      </c>
      <c r="T1064" s="22" t="s">
        <v>7494</v>
      </c>
    </row>
    <row r="1065" spans="1:20" ht="50.25" customHeight="1" x14ac:dyDescent="0.2">
      <c r="A1065" s="289">
        <v>1093</v>
      </c>
      <c r="B1065" s="289" t="s">
        <v>7486</v>
      </c>
      <c r="C1065" s="289"/>
      <c r="D1065" s="9" t="s">
        <v>1376</v>
      </c>
      <c r="E1065" s="22" t="s">
        <v>7379</v>
      </c>
      <c r="F1065" s="9"/>
      <c r="G1065" s="285" t="s">
        <v>515</v>
      </c>
      <c r="H1065" s="285" t="s">
        <v>5127</v>
      </c>
      <c r="I1065" s="289"/>
      <c r="J1065" s="285" t="s">
        <v>3136</v>
      </c>
      <c r="K1065" s="14">
        <v>42879</v>
      </c>
      <c r="L1065" s="285">
        <v>475</v>
      </c>
      <c r="M1065" s="15">
        <v>42829</v>
      </c>
      <c r="N1065" s="33">
        <v>1</v>
      </c>
      <c r="O1065" s="61">
        <v>19500</v>
      </c>
      <c r="P1065" s="61">
        <v>19500</v>
      </c>
      <c r="Q1065" s="34">
        <f t="shared" si="28"/>
        <v>0</v>
      </c>
      <c r="R1065" s="285" t="s">
        <v>5364</v>
      </c>
      <c r="S1065" s="14">
        <v>42822</v>
      </c>
      <c r="T1065" s="22" t="s">
        <v>7494</v>
      </c>
    </row>
    <row r="1066" spans="1:20" ht="46.5" customHeight="1" x14ac:dyDescent="0.2">
      <c r="A1066" s="289">
        <v>1094</v>
      </c>
      <c r="B1066" s="289" t="s">
        <v>7487</v>
      </c>
      <c r="C1066" s="289"/>
      <c r="D1066" s="9" t="s">
        <v>7495</v>
      </c>
      <c r="E1066" s="22" t="s">
        <v>7379</v>
      </c>
      <c r="F1066" s="9"/>
      <c r="G1066" s="285" t="s">
        <v>515</v>
      </c>
      <c r="H1066" s="285" t="s">
        <v>5127</v>
      </c>
      <c r="I1066" s="289"/>
      <c r="J1066" s="285" t="s">
        <v>3136</v>
      </c>
      <c r="K1066" s="14">
        <v>42879</v>
      </c>
      <c r="L1066" s="285">
        <v>475</v>
      </c>
      <c r="M1066" s="15">
        <v>42829</v>
      </c>
      <c r="N1066" s="33">
        <v>1</v>
      </c>
      <c r="O1066" s="61">
        <v>5800</v>
      </c>
      <c r="P1066" s="61">
        <v>5800</v>
      </c>
      <c r="Q1066" s="34">
        <f t="shared" si="28"/>
        <v>0</v>
      </c>
      <c r="R1066" s="285" t="s">
        <v>5364</v>
      </c>
      <c r="S1066" s="14">
        <v>42822</v>
      </c>
      <c r="T1066" s="22" t="s">
        <v>7494</v>
      </c>
    </row>
    <row r="1067" spans="1:20" ht="48.75" customHeight="1" x14ac:dyDescent="0.2">
      <c r="A1067" s="289">
        <v>1095</v>
      </c>
      <c r="B1067" s="289" t="s">
        <v>7488</v>
      </c>
      <c r="C1067" s="289"/>
      <c r="D1067" s="9" t="s">
        <v>4993</v>
      </c>
      <c r="E1067" s="22" t="s">
        <v>7379</v>
      </c>
      <c r="F1067" s="9"/>
      <c r="G1067" s="285" t="s">
        <v>515</v>
      </c>
      <c r="H1067" s="285" t="s">
        <v>5127</v>
      </c>
      <c r="I1067" s="289"/>
      <c r="J1067" s="285" t="s">
        <v>3136</v>
      </c>
      <c r="K1067" s="14">
        <v>42879</v>
      </c>
      <c r="L1067" s="285">
        <v>475</v>
      </c>
      <c r="M1067" s="15">
        <v>42829</v>
      </c>
      <c r="N1067" s="33">
        <v>1</v>
      </c>
      <c r="O1067" s="61">
        <v>5500</v>
      </c>
      <c r="P1067" s="61">
        <v>5500</v>
      </c>
      <c r="Q1067" s="34">
        <f t="shared" si="28"/>
        <v>0</v>
      </c>
      <c r="R1067" s="285" t="s">
        <v>5364</v>
      </c>
      <c r="S1067" s="14">
        <v>42822</v>
      </c>
      <c r="T1067" s="22" t="s">
        <v>7494</v>
      </c>
    </row>
    <row r="1068" spans="1:20" ht="51" customHeight="1" x14ac:dyDescent="0.2">
      <c r="A1068" s="289">
        <v>1096</v>
      </c>
      <c r="B1068" s="289" t="s">
        <v>7489</v>
      </c>
      <c r="C1068" s="289"/>
      <c r="D1068" s="9" t="s">
        <v>3888</v>
      </c>
      <c r="E1068" s="22" t="s">
        <v>7379</v>
      </c>
      <c r="F1068" s="9"/>
      <c r="G1068" s="285" t="s">
        <v>515</v>
      </c>
      <c r="H1068" s="285" t="s">
        <v>5127</v>
      </c>
      <c r="I1068" s="289"/>
      <c r="J1068" s="285" t="s">
        <v>3136</v>
      </c>
      <c r="K1068" s="14">
        <v>42879</v>
      </c>
      <c r="L1068" s="285">
        <v>475</v>
      </c>
      <c r="M1068" s="15">
        <v>42829</v>
      </c>
      <c r="N1068" s="33">
        <v>1</v>
      </c>
      <c r="O1068" s="61">
        <v>7375</v>
      </c>
      <c r="P1068" s="61">
        <v>7375</v>
      </c>
      <c r="Q1068" s="34">
        <f t="shared" si="28"/>
        <v>0</v>
      </c>
      <c r="R1068" s="285" t="s">
        <v>5364</v>
      </c>
      <c r="S1068" s="14">
        <v>42822</v>
      </c>
      <c r="T1068" s="22" t="s">
        <v>7494</v>
      </c>
    </row>
    <row r="1069" spans="1:20" ht="61.5" customHeight="1" x14ac:dyDescent="0.2">
      <c r="A1069" s="289">
        <v>1097</v>
      </c>
      <c r="B1069" s="289" t="s">
        <v>7490</v>
      </c>
      <c r="C1069" s="289"/>
      <c r="D1069" s="9" t="s">
        <v>7496</v>
      </c>
      <c r="E1069" s="22" t="s">
        <v>7379</v>
      </c>
      <c r="F1069" s="9"/>
      <c r="G1069" s="285" t="s">
        <v>515</v>
      </c>
      <c r="H1069" s="285" t="s">
        <v>5127</v>
      </c>
      <c r="I1069" s="289"/>
      <c r="J1069" s="285" t="s">
        <v>3136</v>
      </c>
      <c r="K1069" s="14">
        <v>42879</v>
      </c>
      <c r="L1069" s="285">
        <v>475</v>
      </c>
      <c r="M1069" s="15">
        <v>42829</v>
      </c>
      <c r="N1069" s="33">
        <v>1</v>
      </c>
      <c r="O1069" s="61">
        <v>5700</v>
      </c>
      <c r="P1069" s="61">
        <v>5700</v>
      </c>
      <c r="Q1069" s="34">
        <f t="shared" si="28"/>
        <v>0</v>
      </c>
      <c r="R1069" s="285" t="s">
        <v>5364</v>
      </c>
      <c r="S1069" s="14">
        <v>42822</v>
      </c>
      <c r="T1069" s="22" t="s">
        <v>7494</v>
      </c>
    </row>
    <row r="1070" spans="1:20" ht="60" customHeight="1" x14ac:dyDescent="0.2">
      <c r="A1070" s="289">
        <v>1098</v>
      </c>
      <c r="B1070" s="289" t="s">
        <v>7491</v>
      </c>
      <c r="C1070" s="289"/>
      <c r="D1070" s="9" t="s">
        <v>7497</v>
      </c>
      <c r="E1070" s="22" t="s">
        <v>7379</v>
      </c>
      <c r="F1070" s="9" t="s">
        <v>7498</v>
      </c>
      <c r="G1070" s="285" t="s">
        <v>515</v>
      </c>
      <c r="H1070" s="285" t="s">
        <v>5127</v>
      </c>
      <c r="I1070" s="289"/>
      <c r="J1070" s="285" t="s">
        <v>3136</v>
      </c>
      <c r="K1070" s="14">
        <v>42879</v>
      </c>
      <c r="L1070" s="285">
        <v>475</v>
      </c>
      <c r="M1070" s="15">
        <v>42829</v>
      </c>
      <c r="N1070" s="33">
        <v>10</v>
      </c>
      <c r="O1070" s="61">
        <v>820</v>
      </c>
      <c r="P1070" s="61">
        <v>820</v>
      </c>
      <c r="Q1070" s="34">
        <f t="shared" si="28"/>
        <v>0</v>
      </c>
      <c r="R1070" s="285" t="s">
        <v>5364</v>
      </c>
      <c r="S1070" s="14">
        <v>42822</v>
      </c>
      <c r="T1070" s="22" t="s">
        <v>7494</v>
      </c>
    </row>
    <row r="1071" spans="1:20" ht="108" customHeight="1" x14ac:dyDescent="0.2">
      <c r="A1071" s="289">
        <v>1099</v>
      </c>
      <c r="B1071" s="289" t="s">
        <v>7492</v>
      </c>
      <c r="C1071" s="289"/>
      <c r="D1071" s="13" t="s">
        <v>7499</v>
      </c>
      <c r="E1071" s="22" t="s">
        <v>7379</v>
      </c>
      <c r="F1071" s="9"/>
      <c r="G1071" s="285" t="s">
        <v>515</v>
      </c>
      <c r="H1071" s="285" t="s">
        <v>5127</v>
      </c>
      <c r="I1071" s="289"/>
      <c r="J1071" s="285" t="s">
        <v>3136</v>
      </c>
      <c r="K1071" s="14">
        <v>42879</v>
      </c>
      <c r="L1071" s="285">
        <v>475</v>
      </c>
      <c r="M1071" s="15">
        <v>42829</v>
      </c>
      <c r="N1071" s="33">
        <v>7</v>
      </c>
      <c r="O1071" s="61">
        <v>3710</v>
      </c>
      <c r="P1071" s="61">
        <v>3710</v>
      </c>
      <c r="Q1071" s="34">
        <f t="shared" si="28"/>
        <v>0</v>
      </c>
      <c r="R1071" s="285" t="s">
        <v>5303</v>
      </c>
      <c r="S1071" s="14" t="s">
        <v>7517</v>
      </c>
      <c r="T1071" s="22" t="s">
        <v>7494</v>
      </c>
    </row>
    <row r="1072" spans="1:20" ht="108" customHeight="1" x14ac:dyDescent="0.2">
      <c r="A1072" s="289">
        <v>1100</v>
      </c>
      <c r="B1072" s="289" t="s">
        <v>7505</v>
      </c>
      <c r="C1072" s="289"/>
      <c r="D1072" s="13" t="s">
        <v>7518</v>
      </c>
      <c r="E1072" s="22" t="s">
        <v>7379</v>
      </c>
      <c r="F1072" s="9"/>
      <c r="G1072" s="285" t="s">
        <v>7979</v>
      </c>
      <c r="H1072" s="285" t="s">
        <v>5127</v>
      </c>
      <c r="I1072" s="289"/>
      <c r="J1072" s="285" t="s">
        <v>3136</v>
      </c>
      <c r="K1072" s="14">
        <v>42880</v>
      </c>
      <c r="L1072" s="285">
        <v>487</v>
      </c>
      <c r="M1072" s="15">
        <v>42846</v>
      </c>
      <c r="N1072" s="33">
        <v>1</v>
      </c>
      <c r="O1072" s="61">
        <v>47375</v>
      </c>
      <c r="P1072" s="61">
        <v>47375</v>
      </c>
      <c r="Q1072" s="40">
        <f t="shared" si="28"/>
        <v>0</v>
      </c>
      <c r="R1072" s="285" t="s">
        <v>7503</v>
      </c>
      <c r="S1072" s="14" t="s">
        <v>7504</v>
      </c>
      <c r="T1072" s="22" t="s">
        <v>1626</v>
      </c>
    </row>
    <row r="1073" spans="1:20" ht="108" customHeight="1" x14ac:dyDescent="0.2">
      <c r="A1073" s="289">
        <v>1101</v>
      </c>
      <c r="B1073" s="289" t="s">
        <v>7506</v>
      </c>
      <c r="C1073" s="289"/>
      <c r="D1073" s="13" t="s">
        <v>7519</v>
      </c>
      <c r="E1073" s="22" t="s">
        <v>7379</v>
      </c>
      <c r="F1073" s="9" t="s">
        <v>7526</v>
      </c>
      <c r="G1073" s="285" t="s">
        <v>7979</v>
      </c>
      <c r="H1073" s="285" t="s">
        <v>5127</v>
      </c>
      <c r="I1073" s="289"/>
      <c r="J1073" s="285" t="s">
        <v>3136</v>
      </c>
      <c r="K1073" s="14">
        <v>42880</v>
      </c>
      <c r="L1073" s="285">
        <v>487</v>
      </c>
      <c r="M1073" s="15">
        <v>42846</v>
      </c>
      <c r="N1073" s="33">
        <v>1</v>
      </c>
      <c r="O1073" s="61">
        <v>11699.6</v>
      </c>
      <c r="P1073" s="61">
        <v>11699.6</v>
      </c>
      <c r="Q1073" s="40">
        <f t="shared" si="28"/>
        <v>0</v>
      </c>
      <c r="R1073" s="285" t="s">
        <v>7503</v>
      </c>
      <c r="S1073" s="14" t="s">
        <v>7504</v>
      </c>
      <c r="T1073" s="22" t="s">
        <v>1626</v>
      </c>
    </row>
    <row r="1074" spans="1:20" ht="108" customHeight="1" x14ac:dyDescent="0.2">
      <c r="A1074" s="289">
        <v>1102</v>
      </c>
      <c r="B1074" s="289" t="s">
        <v>7507</v>
      </c>
      <c r="C1074" s="289"/>
      <c r="D1074" s="13" t="s">
        <v>7520</v>
      </c>
      <c r="E1074" s="22" t="s">
        <v>7379</v>
      </c>
      <c r="F1074" s="9" t="s">
        <v>7526</v>
      </c>
      <c r="G1074" s="285" t="s">
        <v>7979</v>
      </c>
      <c r="H1074" s="285" t="s">
        <v>5127</v>
      </c>
      <c r="I1074" s="289"/>
      <c r="J1074" s="285" t="s">
        <v>3136</v>
      </c>
      <c r="K1074" s="14">
        <v>42880</v>
      </c>
      <c r="L1074" s="285">
        <v>487</v>
      </c>
      <c r="M1074" s="15">
        <v>42846</v>
      </c>
      <c r="N1074" s="33">
        <v>1</v>
      </c>
      <c r="O1074" s="61">
        <v>4673.21</v>
      </c>
      <c r="P1074" s="61">
        <v>4673.21</v>
      </c>
      <c r="Q1074" s="40">
        <f t="shared" si="28"/>
        <v>0</v>
      </c>
      <c r="R1074" s="285" t="s">
        <v>7503</v>
      </c>
      <c r="S1074" s="14" t="s">
        <v>7504</v>
      </c>
      <c r="T1074" s="22" t="s">
        <v>1626</v>
      </c>
    </row>
    <row r="1075" spans="1:20" ht="108" customHeight="1" x14ac:dyDescent="0.2">
      <c r="A1075" s="289">
        <v>1103</v>
      </c>
      <c r="B1075" s="289" t="s">
        <v>7508</v>
      </c>
      <c r="C1075" s="289"/>
      <c r="D1075" s="13" t="s">
        <v>7521</v>
      </c>
      <c r="E1075" s="22" t="s">
        <v>7379</v>
      </c>
      <c r="F1075" s="9" t="s">
        <v>7526</v>
      </c>
      <c r="G1075" s="285" t="s">
        <v>7979</v>
      </c>
      <c r="H1075" s="285" t="s">
        <v>5127</v>
      </c>
      <c r="I1075" s="289"/>
      <c r="J1075" s="285" t="s">
        <v>3136</v>
      </c>
      <c r="K1075" s="14">
        <v>42880</v>
      </c>
      <c r="L1075" s="285">
        <v>487</v>
      </c>
      <c r="M1075" s="15">
        <v>42846</v>
      </c>
      <c r="N1075" s="33">
        <v>1</v>
      </c>
      <c r="O1075" s="61">
        <v>9114.42</v>
      </c>
      <c r="P1075" s="61">
        <v>9114.42</v>
      </c>
      <c r="Q1075" s="40">
        <f t="shared" ref="Q1075:Q1106" si="29">O1075-P1075</f>
        <v>0</v>
      </c>
      <c r="R1075" s="285" t="s">
        <v>7503</v>
      </c>
      <c r="S1075" s="14" t="s">
        <v>7504</v>
      </c>
      <c r="T1075" s="22" t="s">
        <v>1626</v>
      </c>
    </row>
    <row r="1076" spans="1:20" ht="108" customHeight="1" x14ac:dyDescent="0.2">
      <c r="A1076" s="289">
        <v>1104</v>
      </c>
      <c r="B1076" s="289" t="s">
        <v>7509</v>
      </c>
      <c r="C1076" s="289"/>
      <c r="D1076" s="13" t="s">
        <v>7522</v>
      </c>
      <c r="E1076" s="22" t="s">
        <v>7379</v>
      </c>
      <c r="F1076" s="9" t="s">
        <v>7526</v>
      </c>
      <c r="G1076" s="285" t="s">
        <v>7979</v>
      </c>
      <c r="H1076" s="285" t="s">
        <v>5127</v>
      </c>
      <c r="I1076" s="289"/>
      <c r="J1076" s="285" t="s">
        <v>3136</v>
      </c>
      <c r="K1076" s="14">
        <v>42880</v>
      </c>
      <c r="L1076" s="285">
        <v>487</v>
      </c>
      <c r="M1076" s="15">
        <v>42846</v>
      </c>
      <c r="N1076" s="33">
        <v>1</v>
      </c>
      <c r="O1076" s="61">
        <v>5859.74</v>
      </c>
      <c r="P1076" s="61">
        <v>5859.74</v>
      </c>
      <c r="Q1076" s="40">
        <f t="shared" si="29"/>
        <v>0</v>
      </c>
      <c r="R1076" s="285" t="s">
        <v>7503</v>
      </c>
      <c r="S1076" s="14" t="s">
        <v>7504</v>
      </c>
      <c r="T1076" s="22" t="s">
        <v>1626</v>
      </c>
    </row>
    <row r="1077" spans="1:20" ht="108" customHeight="1" x14ac:dyDescent="0.2">
      <c r="A1077" s="289">
        <v>1105</v>
      </c>
      <c r="B1077" s="289" t="s">
        <v>7510</v>
      </c>
      <c r="C1077" s="289"/>
      <c r="D1077" s="13" t="s">
        <v>7523</v>
      </c>
      <c r="E1077" s="22" t="s">
        <v>7379</v>
      </c>
      <c r="F1077" s="9" t="s">
        <v>7526</v>
      </c>
      <c r="G1077" s="285" t="s">
        <v>7979</v>
      </c>
      <c r="H1077" s="285" t="s">
        <v>5127</v>
      </c>
      <c r="I1077" s="289"/>
      <c r="J1077" s="285" t="s">
        <v>3136</v>
      </c>
      <c r="K1077" s="14">
        <v>42880</v>
      </c>
      <c r="L1077" s="285">
        <v>487</v>
      </c>
      <c r="M1077" s="15">
        <v>42846</v>
      </c>
      <c r="N1077" s="33">
        <v>1</v>
      </c>
      <c r="O1077" s="61">
        <v>5342.7</v>
      </c>
      <c r="P1077" s="61">
        <v>5342.7</v>
      </c>
      <c r="Q1077" s="40">
        <f t="shared" si="29"/>
        <v>0</v>
      </c>
      <c r="R1077" s="285" t="s">
        <v>7503</v>
      </c>
      <c r="S1077" s="14" t="s">
        <v>7504</v>
      </c>
      <c r="T1077" s="22" t="s">
        <v>1626</v>
      </c>
    </row>
    <row r="1078" spans="1:20" ht="108" customHeight="1" x14ac:dyDescent="0.2">
      <c r="A1078" s="289">
        <v>1106</v>
      </c>
      <c r="B1078" s="289" t="s">
        <v>7511</v>
      </c>
      <c r="C1078" s="289"/>
      <c r="D1078" s="13" t="s">
        <v>7524</v>
      </c>
      <c r="E1078" s="22" t="s">
        <v>7379</v>
      </c>
      <c r="F1078" s="9" t="s">
        <v>7526</v>
      </c>
      <c r="G1078" s="285" t="s">
        <v>7979</v>
      </c>
      <c r="H1078" s="285" t="s">
        <v>5127</v>
      </c>
      <c r="I1078" s="289"/>
      <c r="J1078" s="285" t="s">
        <v>3136</v>
      </c>
      <c r="K1078" s="14">
        <v>42880</v>
      </c>
      <c r="L1078" s="285">
        <v>487</v>
      </c>
      <c r="M1078" s="15">
        <v>42846</v>
      </c>
      <c r="N1078" s="33">
        <v>1</v>
      </c>
      <c r="O1078" s="61">
        <v>2717.75</v>
      </c>
      <c r="P1078" s="61">
        <v>2717.75</v>
      </c>
      <c r="Q1078" s="40">
        <f t="shared" si="29"/>
        <v>0</v>
      </c>
      <c r="R1078" s="285" t="s">
        <v>7503</v>
      </c>
      <c r="S1078" s="14" t="s">
        <v>7504</v>
      </c>
      <c r="T1078" s="22" t="s">
        <v>1626</v>
      </c>
    </row>
    <row r="1079" spans="1:20" ht="108" customHeight="1" x14ac:dyDescent="0.2">
      <c r="A1079" s="289">
        <v>1107</v>
      </c>
      <c r="B1079" s="289" t="s">
        <v>7512</v>
      </c>
      <c r="C1079" s="289"/>
      <c r="D1079" s="13" t="s">
        <v>7525</v>
      </c>
      <c r="E1079" s="22" t="s">
        <v>7379</v>
      </c>
      <c r="F1079" s="9" t="s">
        <v>7526</v>
      </c>
      <c r="G1079" s="285" t="s">
        <v>7979</v>
      </c>
      <c r="H1079" s="285" t="s">
        <v>5127</v>
      </c>
      <c r="I1079" s="289"/>
      <c r="J1079" s="285" t="s">
        <v>3136</v>
      </c>
      <c r="K1079" s="14">
        <v>42880</v>
      </c>
      <c r="L1079" s="285">
        <v>487</v>
      </c>
      <c r="M1079" s="15">
        <v>42846</v>
      </c>
      <c r="N1079" s="33">
        <v>1</v>
      </c>
      <c r="O1079" s="61">
        <v>14697.23</v>
      </c>
      <c r="P1079" s="61">
        <v>14697.23</v>
      </c>
      <c r="Q1079" s="40">
        <f t="shared" si="29"/>
        <v>0</v>
      </c>
      <c r="R1079" s="285" t="s">
        <v>7503</v>
      </c>
      <c r="S1079" s="14" t="s">
        <v>7504</v>
      </c>
      <c r="T1079" s="22" t="s">
        <v>1626</v>
      </c>
    </row>
    <row r="1080" spans="1:20" ht="108" customHeight="1" x14ac:dyDescent="0.2">
      <c r="A1080" s="289">
        <v>1108</v>
      </c>
      <c r="B1080" s="289" t="s">
        <v>7513</v>
      </c>
      <c r="C1080" s="289"/>
      <c r="D1080" s="13" t="s">
        <v>7528</v>
      </c>
      <c r="E1080" s="22" t="s">
        <v>7379</v>
      </c>
      <c r="F1080" s="9" t="s">
        <v>7526</v>
      </c>
      <c r="G1080" s="285" t="s">
        <v>7979</v>
      </c>
      <c r="H1080" s="285" t="s">
        <v>5127</v>
      </c>
      <c r="I1080" s="289"/>
      <c r="J1080" s="285" t="s">
        <v>3136</v>
      </c>
      <c r="K1080" s="14">
        <v>42880</v>
      </c>
      <c r="L1080" s="285">
        <v>487</v>
      </c>
      <c r="M1080" s="15">
        <v>42846</v>
      </c>
      <c r="N1080" s="33">
        <v>1</v>
      </c>
      <c r="O1080" s="61">
        <v>19376.25</v>
      </c>
      <c r="P1080" s="61">
        <v>19376.25</v>
      </c>
      <c r="Q1080" s="40">
        <f t="shared" si="29"/>
        <v>0</v>
      </c>
      <c r="R1080" s="285" t="s">
        <v>7503</v>
      </c>
      <c r="S1080" s="14" t="s">
        <v>7504</v>
      </c>
      <c r="T1080" s="22" t="s">
        <v>1626</v>
      </c>
    </row>
    <row r="1081" spans="1:20" ht="108" customHeight="1" x14ac:dyDescent="0.2">
      <c r="A1081" s="289">
        <v>1109</v>
      </c>
      <c r="B1081" s="289" t="s">
        <v>7514</v>
      </c>
      <c r="C1081" s="289"/>
      <c r="D1081" s="13" t="s">
        <v>7527</v>
      </c>
      <c r="E1081" s="22" t="s">
        <v>7379</v>
      </c>
      <c r="F1081" s="9" t="s">
        <v>7593</v>
      </c>
      <c r="G1081" s="285" t="s">
        <v>7979</v>
      </c>
      <c r="H1081" s="285" t="s">
        <v>5127</v>
      </c>
      <c r="I1081" s="289"/>
      <c r="J1081" s="285" t="s">
        <v>3136</v>
      </c>
      <c r="K1081" s="14">
        <v>42880</v>
      </c>
      <c r="L1081" s="285">
        <v>487</v>
      </c>
      <c r="M1081" s="15">
        <v>42846</v>
      </c>
      <c r="N1081" s="33">
        <v>1</v>
      </c>
      <c r="O1081" s="61">
        <v>81472</v>
      </c>
      <c r="P1081" s="61">
        <v>81472</v>
      </c>
      <c r="Q1081" s="40">
        <f t="shared" si="29"/>
        <v>0</v>
      </c>
      <c r="R1081" s="285" t="s">
        <v>7503</v>
      </c>
      <c r="S1081" s="14" t="s">
        <v>7504</v>
      </c>
      <c r="T1081" s="22" t="s">
        <v>1626</v>
      </c>
    </row>
    <row r="1082" spans="1:20" ht="108" customHeight="1" x14ac:dyDescent="0.2">
      <c r="A1082" s="289">
        <v>1110</v>
      </c>
      <c r="B1082" s="289" t="s">
        <v>7515</v>
      </c>
      <c r="C1082" s="289"/>
      <c r="D1082" s="13" t="s">
        <v>7594</v>
      </c>
      <c r="E1082" s="22" t="s">
        <v>7379</v>
      </c>
      <c r="F1082" s="9" t="s">
        <v>7593</v>
      </c>
      <c r="G1082" s="285" t="s">
        <v>7979</v>
      </c>
      <c r="H1082" s="285" t="s">
        <v>5127</v>
      </c>
      <c r="I1082" s="289"/>
      <c r="J1082" s="285" t="s">
        <v>3136</v>
      </c>
      <c r="K1082" s="14">
        <v>42880</v>
      </c>
      <c r="L1082" s="285">
        <v>487</v>
      </c>
      <c r="M1082" s="15">
        <v>42846</v>
      </c>
      <c r="N1082" s="33">
        <v>1</v>
      </c>
      <c r="O1082" s="63">
        <v>12161</v>
      </c>
      <c r="P1082" s="63">
        <v>12161</v>
      </c>
      <c r="Q1082" s="40">
        <f t="shared" si="29"/>
        <v>0</v>
      </c>
      <c r="R1082" s="285" t="s">
        <v>7503</v>
      </c>
      <c r="S1082" s="14" t="s">
        <v>7504</v>
      </c>
      <c r="T1082" s="22" t="s">
        <v>1626</v>
      </c>
    </row>
    <row r="1083" spans="1:20" ht="108" customHeight="1" x14ac:dyDescent="0.2">
      <c r="A1083" s="289">
        <v>1111</v>
      </c>
      <c r="B1083" s="289" t="s">
        <v>7516</v>
      </c>
      <c r="C1083" s="289"/>
      <c r="D1083" s="13" t="s">
        <v>7539</v>
      </c>
      <c r="E1083" s="22" t="s">
        <v>7379</v>
      </c>
      <c r="F1083" s="9" t="s">
        <v>7540</v>
      </c>
      <c r="G1083" s="285" t="s">
        <v>7979</v>
      </c>
      <c r="H1083" s="285" t="s">
        <v>5127</v>
      </c>
      <c r="I1083" s="289"/>
      <c r="J1083" s="285" t="s">
        <v>3136</v>
      </c>
      <c r="K1083" s="14">
        <v>42880</v>
      </c>
      <c r="L1083" s="285">
        <v>487</v>
      </c>
      <c r="M1083" s="15">
        <v>42846</v>
      </c>
      <c r="N1083" s="33">
        <v>1</v>
      </c>
      <c r="O1083" s="63">
        <v>77022.5</v>
      </c>
      <c r="P1083" s="63">
        <v>77022.5</v>
      </c>
      <c r="Q1083" s="40">
        <f t="shared" si="29"/>
        <v>0</v>
      </c>
      <c r="R1083" s="285" t="s">
        <v>7503</v>
      </c>
      <c r="S1083" s="14" t="s">
        <v>7504</v>
      </c>
      <c r="T1083" s="22" t="s">
        <v>1626</v>
      </c>
    </row>
    <row r="1084" spans="1:20" ht="108" customHeight="1" x14ac:dyDescent="0.2">
      <c r="A1084" s="289">
        <v>1112</v>
      </c>
      <c r="B1084" s="289" t="s">
        <v>7529</v>
      </c>
      <c r="C1084" s="289"/>
      <c r="D1084" s="13" t="s">
        <v>7595</v>
      </c>
      <c r="E1084" s="22" t="s">
        <v>7379</v>
      </c>
      <c r="F1084" s="9" t="s">
        <v>7541</v>
      </c>
      <c r="G1084" s="285" t="s">
        <v>7979</v>
      </c>
      <c r="H1084" s="285" t="s">
        <v>5127</v>
      </c>
      <c r="I1084" s="289"/>
      <c r="J1084" s="285" t="s">
        <v>3136</v>
      </c>
      <c r="K1084" s="14">
        <v>42880</v>
      </c>
      <c r="L1084" s="285">
        <v>487</v>
      </c>
      <c r="M1084" s="15">
        <v>42846</v>
      </c>
      <c r="N1084" s="33">
        <v>1</v>
      </c>
      <c r="O1084" s="63">
        <v>14395</v>
      </c>
      <c r="P1084" s="63">
        <v>14395</v>
      </c>
      <c r="Q1084" s="40">
        <f t="shared" si="29"/>
        <v>0</v>
      </c>
      <c r="R1084" s="285" t="s">
        <v>7503</v>
      </c>
      <c r="S1084" s="14" t="s">
        <v>7504</v>
      </c>
      <c r="T1084" s="22" t="s">
        <v>1626</v>
      </c>
    </row>
    <row r="1085" spans="1:20" ht="108" customHeight="1" x14ac:dyDescent="0.2">
      <c r="A1085" s="289">
        <v>1113</v>
      </c>
      <c r="B1085" s="289" t="s">
        <v>7530</v>
      </c>
      <c r="C1085" s="289"/>
      <c r="D1085" s="13" t="s">
        <v>7542</v>
      </c>
      <c r="E1085" s="22" t="s">
        <v>7379</v>
      </c>
      <c r="F1085" s="9" t="s">
        <v>7541</v>
      </c>
      <c r="G1085" s="285" t="s">
        <v>7979</v>
      </c>
      <c r="H1085" s="285" t="s">
        <v>5127</v>
      </c>
      <c r="I1085" s="289"/>
      <c r="J1085" s="285" t="s">
        <v>3136</v>
      </c>
      <c r="K1085" s="14">
        <v>42880</v>
      </c>
      <c r="L1085" s="285">
        <v>487</v>
      </c>
      <c r="M1085" s="15">
        <v>42846</v>
      </c>
      <c r="N1085" s="33">
        <v>10</v>
      </c>
      <c r="O1085" s="63">
        <v>5400</v>
      </c>
      <c r="P1085" s="63">
        <v>5400</v>
      </c>
      <c r="Q1085" s="40">
        <f t="shared" si="29"/>
        <v>0</v>
      </c>
      <c r="R1085" s="285" t="s">
        <v>7503</v>
      </c>
      <c r="S1085" s="14" t="s">
        <v>7504</v>
      </c>
      <c r="T1085" s="22" t="s">
        <v>1626</v>
      </c>
    </row>
    <row r="1086" spans="1:20" ht="108" customHeight="1" x14ac:dyDescent="0.2">
      <c r="A1086" s="289">
        <v>1114</v>
      </c>
      <c r="B1086" s="289" t="s">
        <v>7531</v>
      </c>
      <c r="C1086" s="289"/>
      <c r="D1086" s="13" t="s">
        <v>7543</v>
      </c>
      <c r="E1086" s="22" t="s">
        <v>7379</v>
      </c>
      <c r="F1086" s="9" t="s">
        <v>7541</v>
      </c>
      <c r="G1086" s="285" t="s">
        <v>7979</v>
      </c>
      <c r="H1086" s="285" t="s">
        <v>5127</v>
      </c>
      <c r="I1086" s="289"/>
      <c r="J1086" s="285" t="s">
        <v>3136</v>
      </c>
      <c r="K1086" s="14">
        <v>42880</v>
      </c>
      <c r="L1086" s="285">
        <v>487</v>
      </c>
      <c r="M1086" s="15">
        <v>42846</v>
      </c>
      <c r="N1086" s="33">
        <v>1</v>
      </c>
      <c r="O1086" s="63">
        <v>4140</v>
      </c>
      <c r="P1086" s="63">
        <v>4140</v>
      </c>
      <c r="Q1086" s="40">
        <f t="shared" si="29"/>
        <v>0</v>
      </c>
      <c r="R1086" s="285" t="s">
        <v>7503</v>
      </c>
      <c r="S1086" s="14" t="s">
        <v>7504</v>
      </c>
      <c r="T1086" s="22" t="s">
        <v>1626</v>
      </c>
    </row>
    <row r="1087" spans="1:20" ht="108" customHeight="1" x14ac:dyDescent="0.2">
      <c r="A1087" s="289">
        <v>1115</v>
      </c>
      <c r="B1087" s="289" t="s">
        <v>7532</v>
      </c>
      <c r="C1087" s="289"/>
      <c r="D1087" s="13" t="s">
        <v>4893</v>
      </c>
      <c r="E1087" s="22" t="s">
        <v>7379</v>
      </c>
      <c r="F1087" s="9" t="s">
        <v>7541</v>
      </c>
      <c r="G1087" s="285" t="s">
        <v>7979</v>
      </c>
      <c r="H1087" s="285" t="s">
        <v>5127</v>
      </c>
      <c r="I1087" s="289"/>
      <c r="J1087" s="285" t="s">
        <v>3136</v>
      </c>
      <c r="K1087" s="14">
        <v>42880</v>
      </c>
      <c r="L1087" s="285">
        <v>487</v>
      </c>
      <c r="M1087" s="15">
        <v>42846</v>
      </c>
      <c r="N1087" s="33">
        <v>2</v>
      </c>
      <c r="O1087" s="63">
        <v>5860</v>
      </c>
      <c r="P1087" s="63">
        <v>5860</v>
      </c>
      <c r="Q1087" s="40">
        <f t="shared" si="29"/>
        <v>0</v>
      </c>
      <c r="R1087" s="285" t="s">
        <v>7503</v>
      </c>
      <c r="S1087" s="14" t="s">
        <v>7504</v>
      </c>
      <c r="T1087" s="22" t="s">
        <v>1626</v>
      </c>
    </row>
    <row r="1088" spans="1:20" ht="93" customHeight="1" x14ac:dyDescent="0.2">
      <c r="A1088" s="289">
        <v>1116</v>
      </c>
      <c r="B1088" s="289" t="s">
        <v>7533</v>
      </c>
      <c r="C1088" s="289"/>
      <c r="D1088" s="13" t="s">
        <v>7544</v>
      </c>
      <c r="E1088" s="22" t="s">
        <v>7379</v>
      </c>
      <c r="F1088" s="9" t="s">
        <v>7541</v>
      </c>
      <c r="G1088" s="285" t="s">
        <v>7979</v>
      </c>
      <c r="H1088" s="285" t="s">
        <v>5127</v>
      </c>
      <c r="I1088" s="289"/>
      <c r="J1088" s="285" t="s">
        <v>3136</v>
      </c>
      <c r="K1088" s="14">
        <v>42880</v>
      </c>
      <c r="L1088" s="285">
        <v>487</v>
      </c>
      <c r="M1088" s="15">
        <v>42846</v>
      </c>
      <c r="N1088" s="33">
        <v>1</v>
      </c>
      <c r="O1088" s="63">
        <v>2075</v>
      </c>
      <c r="P1088" s="63">
        <v>2075</v>
      </c>
      <c r="Q1088" s="40">
        <f t="shared" si="29"/>
        <v>0</v>
      </c>
      <c r="R1088" s="285" t="s">
        <v>7503</v>
      </c>
      <c r="S1088" s="14" t="s">
        <v>7504</v>
      </c>
      <c r="T1088" s="22" t="s">
        <v>1626</v>
      </c>
    </row>
    <row r="1089" spans="1:20" ht="93" customHeight="1" x14ac:dyDescent="0.2">
      <c r="A1089" s="289">
        <v>1117</v>
      </c>
      <c r="B1089" s="289" t="s">
        <v>7534</v>
      </c>
      <c r="C1089" s="289"/>
      <c r="D1089" s="13" t="s">
        <v>7545</v>
      </c>
      <c r="E1089" s="22" t="s">
        <v>7379</v>
      </c>
      <c r="F1089" s="9" t="s">
        <v>7541</v>
      </c>
      <c r="G1089" s="285" t="s">
        <v>7979</v>
      </c>
      <c r="H1089" s="285" t="s">
        <v>5127</v>
      </c>
      <c r="I1089" s="289"/>
      <c r="J1089" s="285" t="s">
        <v>3136</v>
      </c>
      <c r="K1089" s="14">
        <v>42880</v>
      </c>
      <c r="L1089" s="285">
        <v>487</v>
      </c>
      <c r="M1089" s="15">
        <v>42846</v>
      </c>
      <c r="N1089" s="33">
        <v>1</v>
      </c>
      <c r="O1089" s="63">
        <v>7075</v>
      </c>
      <c r="P1089" s="63">
        <v>7075</v>
      </c>
      <c r="Q1089" s="40">
        <f t="shared" si="29"/>
        <v>0</v>
      </c>
      <c r="R1089" s="285" t="s">
        <v>7503</v>
      </c>
      <c r="S1089" s="14" t="s">
        <v>7504</v>
      </c>
      <c r="T1089" s="22" t="s">
        <v>1626</v>
      </c>
    </row>
    <row r="1090" spans="1:20" ht="93" customHeight="1" x14ac:dyDescent="0.2">
      <c r="A1090" s="289">
        <v>1118</v>
      </c>
      <c r="B1090" s="289" t="s">
        <v>7535</v>
      </c>
      <c r="C1090" s="289"/>
      <c r="D1090" s="13" t="s">
        <v>7546</v>
      </c>
      <c r="E1090" s="22" t="s">
        <v>7379</v>
      </c>
      <c r="F1090" s="9" t="s">
        <v>7541</v>
      </c>
      <c r="G1090" s="285" t="s">
        <v>7979</v>
      </c>
      <c r="H1090" s="285" t="s">
        <v>5127</v>
      </c>
      <c r="I1090" s="289"/>
      <c r="J1090" s="285" t="s">
        <v>3136</v>
      </c>
      <c r="K1090" s="14">
        <v>42880</v>
      </c>
      <c r="L1090" s="285">
        <v>487</v>
      </c>
      <c r="M1090" s="15">
        <v>42846</v>
      </c>
      <c r="N1090" s="33">
        <v>1</v>
      </c>
      <c r="O1090" s="63">
        <v>1950</v>
      </c>
      <c r="P1090" s="63">
        <v>1950</v>
      </c>
      <c r="Q1090" s="40">
        <f t="shared" si="29"/>
        <v>0</v>
      </c>
      <c r="R1090" s="285" t="s">
        <v>7503</v>
      </c>
      <c r="S1090" s="14" t="s">
        <v>7504</v>
      </c>
      <c r="T1090" s="22" t="s">
        <v>1626</v>
      </c>
    </row>
    <row r="1091" spans="1:20" ht="93" customHeight="1" x14ac:dyDescent="0.2">
      <c r="A1091" s="289">
        <v>1119</v>
      </c>
      <c r="B1091" s="289" t="s">
        <v>7536</v>
      </c>
      <c r="C1091" s="289"/>
      <c r="D1091" s="13" t="s">
        <v>7547</v>
      </c>
      <c r="E1091" s="22" t="s">
        <v>7379</v>
      </c>
      <c r="F1091" s="9" t="s">
        <v>7541</v>
      </c>
      <c r="G1091" s="285" t="s">
        <v>7979</v>
      </c>
      <c r="H1091" s="285" t="s">
        <v>5127</v>
      </c>
      <c r="I1091" s="289"/>
      <c r="J1091" s="285" t="s">
        <v>3136</v>
      </c>
      <c r="K1091" s="14">
        <v>42880</v>
      </c>
      <c r="L1091" s="285">
        <v>487</v>
      </c>
      <c r="M1091" s="15">
        <v>42846</v>
      </c>
      <c r="N1091" s="33">
        <v>1</v>
      </c>
      <c r="O1091" s="63">
        <v>1105</v>
      </c>
      <c r="P1091" s="63">
        <v>1105</v>
      </c>
      <c r="Q1091" s="40">
        <f t="shared" si="29"/>
        <v>0</v>
      </c>
      <c r="R1091" s="285" t="s">
        <v>7503</v>
      </c>
      <c r="S1091" s="14" t="s">
        <v>7504</v>
      </c>
      <c r="T1091" s="22" t="s">
        <v>1626</v>
      </c>
    </row>
    <row r="1092" spans="1:20" ht="93" customHeight="1" x14ac:dyDescent="0.2">
      <c r="A1092" s="289">
        <v>1120</v>
      </c>
      <c r="B1092" s="289" t="s">
        <v>7537</v>
      </c>
      <c r="C1092" s="289"/>
      <c r="D1092" s="13" t="s">
        <v>7559</v>
      </c>
      <c r="E1092" s="22" t="s">
        <v>7379</v>
      </c>
      <c r="F1092" s="9" t="s">
        <v>7558</v>
      </c>
      <c r="G1092" s="285" t="s">
        <v>7979</v>
      </c>
      <c r="H1092" s="285" t="s">
        <v>5127</v>
      </c>
      <c r="I1092" s="289"/>
      <c r="J1092" s="285" t="s">
        <v>3136</v>
      </c>
      <c r="K1092" s="14">
        <v>42880</v>
      </c>
      <c r="L1092" s="285">
        <v>487</v>
      </c>
      <c r="M1092" s="15">
        <v>42846</v>
      </c>
      <c r="N1092" s="33">
        <v>1</v>
      </c>
      <c r="O1092" s="63">
        <v>793</v>
      </c>
      <c r="P1092" s="63">
        <v>793</v>
      </c>
      <c r="Q1092" s="40">
        <f t="shared" si="29"/>
        <v>0</v>
      </c>
      <c r="R1092" s="285" t="s">
        <v>7503</v>
      </c>
      <c r="S1092" s="14" t="s">
        <v>7504</v>
      </c>
      <c r="T1092" s="22" t="s">
        <v>1626</v>
      </c>
    </row>
    <row r="1093" spans="1:20" ht="93" customHeight="1" x14ac:dyDescent="0.2">
      <c r="A1093" s="289">
        <v>1121</v>
      </c>
      <c r="B1093" s="289" t="s">
        <v>7538</v>
      </c>
      <c r="C1093" s="289"/>
      <c r="D1093" s="13" t="s">
        <v>7560</v>
      </c>
      <c r="E1093" s="22" t="s">
        <v>7379</v>
      </c>
      <c r="F1093" s="9" t="s">
        <v>7558</v>
      </c>
      <c r="G1093" s="285" t="s">
        <v>7979</v>
      </c>
      <c r="H1093" s="285" t="s">
        <v>5127</v>
      </c>
      <c r="I1093" s="289"/>
      <c r="J1093" s="285" t="s">
        <v>3136</v>
      </c>
      <c r="K1093" s="14">
        <v>42880</v>
      </c>
      <c r="L1093" s="285">
        <v>487</v>
      </c>
      <c r="M1093" s="15">
        <v>42846</v>
      </c>
      <c r="N1093" s="33">
        <v>1</v>
      </c>
      <c r="O1093" s="63">
        <v>11025</v>
      </c>
      <c r="P1093" s="63">
        <v>11025</v>
      </c>
      <c r="Q1093" s="40">
        <f t="shared" si="29"/>
        <v>0</v>
      </c>
      <c r="R1093" s="285" t="s">
        <v>7503</v>
      </c>
      <c r="S1093" s="14" t="s">
        <v>7504</v>
      </c>
      <c r="T1093" s="22" t="s">
        <v>1626</v>
      </c>
    </row>
    <row r="1094" spans="1:20" ht="93" customHeight="1" x14ac:dyDescent="0.2">
      <c r="A1094" s="289">
        <v>1122</v>
      </c>
      <c r="B1094" s="289" t="s">
        <v>7548</v>
      </c>
      <c r="C1094" s="289"/>
      <c r="D1094" s="13" t="s">
        <v>7561</v>
      </c>
      <c r="E1094" s="22" t="s">
        <v>7379</v>
      </c>
      <c r="F1094" s="9" t="s">
        <v>7558</v>
      </c>
      <c r="G1094" s="285" t="s">
        <v>7979</v>
      </c>
      <c r="H1094" s="285" t="s">
        <v>5127</v>
      </c>
      <c r="I1094" s="289"/>
      <c r="J1094" s="285" t="s">
        <v>3136</v>
      </c>
      <c r="K1094" s="14">
        <v>42880</v>
      </c>
      <c r="L1094" s="285">
        <v>487</v>
      </c>
      <c r="M1094" s="15">
        <v>42846</v>
      </c>
      <c r="N1094" s="33">
        <v>1</v>
      </c>
      <c r="O1094" s="63">
        <v>28862</v>
      </c>
      <c r="P1094" s="63">
        <v>28862</v>
      </c>
      <c r="Q1094" s="40">
        <f t="shared" si="29"/>
        <v>0</v>
      </c>
      <c r="R1094" s="285" t="s">
        <v>7503</v>
      </c>
      <c r="S1094" s="14" t="s">
        <v>7504</v>
      </c>
      <c r="T1094" s="22" t="s">
        <v>1626</v>
      </c>
    </row>
    <row r="1095" spans="1:20" ht="93" customHeight="1" x14ac:dyDescent="0.2">
      <c r="A1095" s="289">
        <v>1123</v>
      </c>
      <c r="B1095" s="289" t="s">
        <v>7549</v>
      </c>
      <c r="C1095" s="289"/>
      <c r="D1095" s="13" t="s">
        <v>7562</v>
      </c>
      <c r="E1095" s="22" t="s">
        <v>7379</v>
      </c>
      <c r="F1095" s="9" t="s">
        <v>7558</v>
      </c>
      <c r="G1095" s="285" t="s">
        <v>7979</v>
      </c>
      <c r="H1095" s="285" t="s">
        <v>5127</v>
      </c>
      <c r="I1095" s="289"/>
      <c r="J1095" s="285" t="s">
        <v>3136</v>
      </c>
      <c r="K1095" s="14">
        <v>42880</v>
      </c>
      <c r="L1095" s="285">
        <v>487</v>
      </c>
      <c r="M1095" s="15">
        <v>42846</v>
      </c>
      <c r="N1095" s="33">
        <v>1</v>
      </c>
      <c r="O1095" s="63">
        <v>4420</v>
      </c>
      <c r="P1095" s="63">
        <v>4420</v>
      </c>
      <c r="Q1095" s="40">
        <f t="shared" si="29"/>
        <v>0</v>
      </c>
      <c r="R1095" s="285" t="s">
        <v>7503</v>
      </c>
      <c r="S1095" s="14" t="s">
        <v>7504</v>
      </c>
      <c r="T1095" s="22" t="s">
        <v>1626</v>
      </c>
    </row>
    <row r="1096" spans="1:20" ht="93" customHeight="1" x14ac:dyDescent="0.2">
      <c r="A1096" s="289">
        <v>1124</v>
      </c>
      <c r="B1096" s="289" t="s">
        <v>7550</v>
      </c>
      <c r="C1096" s="289"/>
      <c r="D1096" s="13" t="s">
        <v>7563</v>
      </c>
      <c r="E1096" s="22" t="s">
        <v>7379</v>
      </c>
      <c r="F1096" s="9" t="s">
        <v>7558</v>
      </c>
      <c r="G1096" s="285" t="s">
        <v>7979</v>
      </c>
      <c r="H1096" s="285" t="s">
        <v>5127</v>
      </c>
      <c r="I1096" s="289"/>
      <c r="J1096" s="285" t="s">
        <v>3136</v>
      </c>
      <c r="K1096" s="14">
        <v>42880</v>
      </c>
      <c r="L1096" s="285">
        <v>487</v>
      </c>
      <c r="M1096" s="15">
        <v>42846</v>
      </c>
      <c r="N1096" s="33">
        <v>1</v>
      </c>
      <c r="O1096" s="63">
        <v>13100</v>
      </c>
      <c r="P1096" s="63">
        <v>13100</v>
      </c>
      <c r="Q1096" s="40">
        <f t="shared" si="29"/>
        <v>0</v>
      </c>
      <c r="R1096" s="285" t="s">
        <v>7503</v>
      </c>
      <c r="S1096" s="14" t="s">
        <v>7504</v>
      </c>
      <c r="T1096" s="22" t="s">
        <v>1626</v>
      </c>
    </row>
    <row r="1097" spans="1:20" ht="93" customHeight="1" x14ac:dyDescent="0.2">
      <c r="A1097" s="289">
        <v>1125</v>
      </c>
      <c r="B1097" s="289" t="s">
        <v>7551</v>
      </c>
      <c r="C1097" s="289"/>
      <c r="D1097" s="13" t="s">
        <v>7564</v>
      </c>
      <c r="E1097" s="22" t="s">
        <v>7379</v>
      </c>
      <c r="F1097" s="9" t="s">
        <v>7558</v>
      </c>
      <c r="G1097" s="285" t="s">
        <v>7979</v>
      </c>
      <c r="H1097" s="285" t="s">
        <v>5127</v>
      </c>
      <c r="I1097" s="289"/>
      <c r="J1097" s="285" t="s">
        <v>3136</v>
      </c>
      <c r="K1097" s="14">
        <v>42880</v>
      </c>
      <c r="L1097" s="285">
        <v>487</v>
      </c>
      <c r="M1097" s="15">
        <v>42846</v>
      </c>
      <c r="N1097" s="33">
        <v>1</v>
      </c>
      <c r="O1097" s="63">
        <v>17854</v>
      </c>
      <c r="P1097" s="63">
        <v>17854</v>
      </c>
      <c r="Q1097" s="40">
        <f t="shared" si="29"/>
        <v>0</v>
      </c>
      <c r="R1097" s="285" t="s">
        <v>7503</v>
      </c>
      <c r="S1097" s="14" t="s">
        <v>7504</v>
      </c>
      <c r="T1097" s="22" t="s">
        <v>1626</v>
      </c>
    </row>
    <row r="1098" spans="1:20" ht="93" customHeight="1" x14ac:dyDescent="0.2">
      <c r="A1098" s="289">
        <v>1126</v>
      </c>
      <c r="B1098" s="289" t="s">
        <v>7552</v>
      </c>
      <c r="C1098" s="289"/>
      <c r="D1098" s="13" t="s">
        <v>7565</v>
      </c>
      <c r="E1098" s="22" t="s">
        <v>7379</v>
      </c>
      <c r="F1098" s="9" t="s">
        <v>7558</v>
      </c>
      <c r="G1098" s="285" t="s">
        <v>7979</v>
      </c>
      <c r="H1098" s="285" t="s">
        <v>5127</v>
      </c>
      <c r="I1098" s="289"/>
      <c r="J1098" s="285" t="s">
        <v>3136</v>
      </c>
      <c r="K1098" s="14">
        <v>42880</v>
      </c>
      <c r="L1098" s="285">
        <v>487</v>
      </c>
      <c r="M1098" s="15">
        <v>42846</v>
      </c>
      <c r="N1098" s="33">
        <v>1</v>
      </c>
      <c r="O1098" s="63">
        <v>2634</v>
      </c>
      <c r="P1098" s="63">
        <v>2634</v>
      </c>
      <c r="Q1098" s="40">
        <f t="shared" si="29"/>
        <v>0</v>
      </c>
      <c r="R1098" s="285" t="s">
        <v>7503</v>
      </c>
      <c r="S1098" s="14" t="s">
        <v>7504</v>
      </c>
      <c r="T1098" s="22" t="s">
        <v>1626</v>
      </c>
    </row>
    <row r="1099" spans="1:20" ht="97.5" customHeight="1" x14ac:dyDescent="0.2">
      <c r="A1099" s="289">
        <v>1127</v>
      </c>
      <c r="B1099" s="289" t="s">
        <v>7553</v>
      </c>
      <c r="C1099" s="289"/>
      <c r="D1099" s="13" t="s">
        <v>7566</v>
      </c>
      <c r="E1099" s="22" t="s">
        <v>7379</v>
      </c>
      <c r="F1099" s="9" t="s">
        <v>7558</v>
      </c>
      <c r="G1099" s="285" t="s">
        <v>7979</v>
      </c>
      <c r="H1099" s="285" t="s">
        <v>5127</v>
      </c>
      <c r="I1099" s="289"/>
      <c r="J1099" s="285" t="s">
        <v>3136</v>
      </c>
      <c r="K1099" s="14">
        <v>42880</v>
      </c>
      <c r="L1099" s="285">
        <v>487</v>
      </c>
      <c r="M1099" s="15">
        <v>42846</v>
      </c>
      <c r="N1099" s="33">
        <v>1</v>
      </c>
      <c r="O1099" s="63">
        <v>2940</v>
      </c>
      <c r="P1099" s="63">
        <v>2940</v>
      </c>
      <c r="Q1099" s="40">
        <f t="shared" si="29"/>
        <v>0</v>
      </c>
      <c r="R1099" s="285" t="s">
        <v>7503</v>
      </c>
      <c r="S1099" s="14" t="s">
        <v>7504</v>
      </c>
      <c r="T1099" s="22" t="s">
        <v>1626</v>
      </c>
    </row>
    <row r="1100" spans="1:20" ht="97.5" customHeight="1" x14ac:dyDescent="0.2">
      <c r="A1100" s="289">
        <v>1128</v>
      </c>
      <c r="B1100" s="289" t="s">
        <v>7554</v>
      </c>
      <c r="C1100" s="289"/>
      <c r="D1100" s="13" t="s">
        <v>7567</v>
      </c>
      <c r="E1100" s="22" t="s">
        <v>7379</v>
      </c>
      <c r="F1100" s="9" t="s">
        <v>7558</v>
      </c>
      <c r="G1100" s="285" t="s">
        <v>7979</v>
      </c>
      <c r="H1100" s="285" t="s">
        <v>5127</v>
      </c>
      <c r="I1100" s="289"/>
      <c r="J1100" s="285" t="s">
        <v>3136</v>
      </c>
      <c r="K1100" s="14">
        <v>42880</v>
      </c>
      <c r="L1100" s="285">
        <v>487</v>
      </c>
      <c r="M1100" s="15">
        <v>42846</v>
      </c>
      <c r="N1100" s="33">
        <v>1</v>
      </c>
      <c r="O1100" s="63">
        <v>28575</v>
      </c>
      <c r="P1100" s="63">
        <v>28575</v>
      </c>
      <c r="Q1100" s="40">
        <f t="shared" si="29"/>
        <v>0</v>
      </c>
      <c r="R1100" s="285" t="s">
        <v>7503</v>
      </c>
      <c r="S1100" s="14" t="s">
        <v>7504</v>
      </c>
      <c r="T1100" s="22" t="s">
        <v>1626</v>
      </c>
    </row>
    <row r="1101" spans="1:20" ht="97.5" customHeight="1" x14ac:dyDescent="0.2">
      <c r="A1101" s="289">
        <v>1129</v>
      </c>
      <c r="B1101" s="289" t="s">
        <v>7555</v>
      </c>
      <c r="C1101" s="289"/>
      <c r="D1101" s="13" t="s">
        <v>7568</v>
      </c>
      <c r="E1101" s="22" t="s">
        <v>7379</v>
      </c>
      <c r="F1101" s="9" t="s">
        <v>7558</v>
      </c>
      <c r="G1101" s="285" t="s">
        <v>7979</v>
      </c>
      <c r="H1101" s="285" t="s">
        <v>5127</v>
      </c>
      <c r="I1101" s="289"/>
      <c r="J1101" s="285" t="s">
        <v>3136</v>
      </c>
      <c r="K1101" s="14">
        <v>42880</v>
      </c>
      <c r="L1101" s="285">
        <v>487</v>
      </c>
      <c r="M1101" s="15">
        <v>42846</v>
      </c>
      <c r="N1101" s="33">
        <v>1</v>
      </c>
      <c r="O1101" s="63">
        <v>2782</v>
      </c>
      <c r="P1101" s="63">
        <v>2782</v>
      </c>
      <c r="Q1101" s="40">
        <f t="shared" si="29"/>
        <v>0</v>
      </c>
      <c r="R1101" s="285" t="s">
        <v>7503</v>
      </c>
      <c r="S1101" s="14" t="s">
        <v>7504</v>
      </c>
      <c r="T1101" s="22" t="s">
        <v>1626</v>
      </c>
    </row>
    <row r="1102" spans="1:20" ht="97.5" customHeight="1" x14ac:dyDescent="0.2">
      <c r="A1102" s="289">
        <v>1130</v>
      </c>
      <c r="B1102" s="289" t="s">
        <v>7556</v>
      </c>
      <c r="C1102" s="289"/>
      <c r="D1102" s="13" t="s">
        <v>7569</v>
      </c>
      <c r="E1102" s="22" t="s">
        <v>7379</v>
      </c>
      <c r="F1102" s="9" t="s">
        <v>7558</v>
      </c>
      <c r="G1102" s="285" t="s">
        <v>7979</v>
      </c>
      <c r="H1102" s="285" t="s">
        <v>5127</v>
      </c>
      <c r="I1102" s="289"/>
      <c r="J1102" s="285" t="s">
        <v>3136</v>
      </c>
      <c r="K1102" s="14">
        <v>42880</v>
      </c>
      <c r="L1102" s="285">
        <v>487</v>
      </c>
      <c r="M1102" s="15">
        <v>42846</v>
      </c>
      <c r="N1102" s="33">
        <v>1</v>
      </c>
      <c r="O1102" s="63">
        <v>6825</v>
      </c>
      <c r="P1102" s="63">
        <v>6825</v>
      </c>
      <c r="Q1102" s="40">
        <f t="shared" si="29"/>
        <v>0</v>
      </c>
      <c r="R1102" s="285" t="s">
        <v>7503</v>
      </c>
      <c r="S1102" s="14" t="s">
        <v>7504</v>
      </c>
      <c r="T1102" s="22" t="s">
        <v>1626</v>
      </c>
    </row>
    <row r="1103" spans="1:20" ht="97.5" customHeight="1" x14ac:dyDescent="0.2">
      <c r="A1103" s="289">
        <v>1131</v>
      </c>
      <c r="B1103" s="289" t="s">
        <v>7557</v>
      </c>
      <c r="C1103" s="289"/>
      <c r="D1103" s="9" t="s">
        <v>7581</v>
      </c>
      <c r="E1103" s="22" t="s">
        <v>7379</v>
      </c>
      <c r="F1103" s="9" t="s">
        <v>7558</v>
      </c>
      <c r="G1103" s="285" t="s">
        <v>7979</v>
      </c>
      <c r="H1103" s="285" t="s">
        <v>5127</v>
      </c>
      <c r="I1103" s="289"/>
      <c r="J1103" s="285" t="s">
        <v>3136</v>
      </c>
      <c r="K1103" s="14">
        <v>42880</v>
      </c>
      <c r="L1103" s="285">
        <v>487</v>
      </c>
      <c r="M1103" s="15">
        <v>42846</v>
      </c>
      <c r="N1103" s="33">
        <v>1</v>
      </c>
      <c r="O1103" s="63">
        <v>4410</v>
      </c>
      <c r="P1103" s="63">
        <v>4410</v>
      </c>
      <c r="Q1103" s="40">
        <f t="shared" si="29"/>
        <v>0</v>
      </c>
      <c r="R1103" s="285" t="s">
        <v>7503</v>
      </c>
      <c r="S1103" s="14" t="s">
        <v>7504</v>
      </c>
      <c r="T1103" s="22" t="s">
        <v>1626</v>
      </c>
    </row>
    <row r="1104" spans="1:20" ht="97.5" customHeight="1" x14ac:dyDescent="0.2">
      <c r="A1104" s="289">
        <v>1132</v>
      </c>
      <c r="B1104" s="289" t="s">
        <v>7570</v>
      </c>
      <c r="C1104" s="289"/>
      <c r="D1104" s="9" t="s">
        <v>7582</v>
      </c>
      <c r="E1104" s="22" t="s">
        <v>7379</v>
      </c>
      <c r="F1104" s="9" t="s">
        <v>7558</v>
      </c>
      <c r="G1104" s="285" t="s">
        <v>7979</v>
      </c>
      <c r="H1104" s="285" t="s">
        <v>5127</v>
      </c>
      <c r="I1104" s="289"/>
      <c r="J1104" s="285" t="s">
        <v>3136</v>
      </c>
      <c r="K1104" s="14">
        <v>42880</v>
      </c>
      <c r="L1104" s="285">
        <v>487</v>
      </c>
      <c r="M1104" s="15">
        <v>42846</v>
      </c>
      <c r="N1104" s="33">
        <v>1</v>
      </c>
      <c r="O1104" s="61">
        <v>2205</v>
      </c>
      <c r="P1104" s="61">
        <v>2205</v>
      </c>
      <c r="Q1104" s="40">
        <f t="shared" si="29"/>
        <v>0</v>
      </c>
      <c r="R1104" s="285" t="s">
        <v>7503</v>
      </c>
      <c r="S1104" s="14" t="s">
        <v>7504</v>
      </c>
      <c r="T1104" s="22" t="s">
        <v>1626</v>
      </c>
    </row>
    <row r="1105" spans="1:20" ht="97.5" customHeight="1" x14ac:dyDescent="0.2">
      <c r="A1105" s="289">
        <v>1133</v>
      </c>
      <c r="B1105" s="289" t="s">
        <v>7571</v>
      </c>
      <c r="C1105" s="289"/>
      <c r="D1105" s="9" t="s">
        <v>7583</v>
      </c>
      <c r="E1105" s="22" t="s">
        <v>7379</v>
      </c>
      <c r="F1105" s="9" t="s">
        <v>7558</v>
      </c>
      <c r="G1105" s="285" t="s">
        <v>7979</v>
      </c>
      <c r="H1105" s="285" t="s">
        <v>5127</v>
      </c>
      <c r="I1105" s="289"/>
      <c r="J1105" s="285" t="s">
        <v>3136</v>
      </c>
      <c r="K1105" s="14">
        <v>42880</v>
      </c>
      <c r="L1105" s="285">
        <v>487</v>
      </c>
      <c r="M1105" s="15">
        <v>42846</v>
      </c>
      <c r="N1105" s="33">
        <v>1</v>
      </c>
      <c r="O1105" s="61">
        <v>25325</v>
      </c>
      <c r="P1105" s="61">
        <v>25325</v>
      </c>
      <c r="Q1105" s="40">
        <f t="shared" si="29"/>
        <v>0</v>
      </c>
      <c r="R1105" s="285" t="s">
        <v>7503</v>
      </c>
      <c r="S1105" s="14" t="s">
        <v>7504</v>
      </c>
      <c r="T1105" s="22" t="s">
        <v>1626</v>
      </c>
    </row>
    <row r="1106" spans="1:20" ht="97.5" customHeight="1" x14ac:dyDescent="0.2">
      <c r="A1106" s="289">
        <v>1134</v>
      </c>
      <c r="B1106" s="289" t="s">
        <v>7572</v>
      </c>
      <c r="C1106" s="289"/>
      <c r="D1106" s="9" t="s">
        <v>7584</v>
      </c>
      <c r="E1106" s="22" t="s">
        <v>7379</v>
      </c>
      <c r="F1106" s="9" t="s">
        <v>7558</v>
      </c>
      <c r="G1106" s="285" t="s">
        <v>7979</v>
      </c>
      <c r="H1106" s="285" t="s">
        <v>5127</v>
      </c>
      <c r="I1106" s="289"/>
      <c r="J1106" s="285" t="s">
        <v>3136</v>
      </c>
      <c r="K1106" s="14">
        <v>42880</v>
      </c>
      <c r="L1106" s="285">
        <v>487</v>
      </c>
      <c r="M1106" s="15">
        <v>42846</v>
      </c>
      <c r="N1106" s="33">
        <v>1</v>
      </c>
      <c r="O1106" s="61">
        <v>27360</v>
      </c>
      <c r="P1106" s="61">
        <v>27360</v>
      </c>
      <c r="Q1106" s="40">
        <f t="shared" si="29"/>
        <v>0</v>
      </c>
      <c r="R1106" s="285" t="s">
        <v>7503</v>
      </c>
      <c r="S1106" s="14" t="s">
        <v>7504</v>
      </c>
      <c r="T1106" s="22" t="s">
        <v>1626</v>
      </c>
    </row>
    <row r="1107" spans="1:20" ht="97.5" customHeight="1" x14ac:dyDescent="0.2">
      <c r="A1107" s="289">
        <v>1135</v>
      </c>
      <c r="B1107" s="289" t="s">
        <v>7573</v>
      </c>
      <c r="C1107" s="289"/>
      <c r="D1107" s="9" t="s">
        <v>7585</v>
      </c>
      <c r="E1107" s="22" t="s">
        <v>7379</v>
      </c>
      <c r="F1107" s="9" t="s">
        <v>7558</v>
      </c>
      <c r="G1107" s="285" t="s">
        <v>7979</v>
      </c>
      <c r="H1107" s="285" t="s">
        <v>5127</v>
      </c>
      <c r="I1107" s="289"/>
      <c r="J1107" s="285" t="s">
        <v>3136</v>
      </c>
      <c r="K1107" s="14">
        <v>42880</v>
      </c>
      <c r="L1107" s="285">
        <v>487</v>
      </c>
      <c r="M1107" s="15">
        <v>42846</v>
      </c>
      <c r="N1107" s="33">
        <v>1</v>
      </c>
      <c r="O1107" s="61">
        <v>4895</v>
      </c>
      <c r="P1107" s="61">
        <v>4895</v>
      </c>
      <c r="Q1107" s="40">
        <f t="shared" ref="Q1107:Q1137" si="30">O1107-P1107</f>
        <v>0</v>
      </c>
      <c r="R1107" s="285" t="s">
        <v>7503</v>
      </c>
      <c r="S1107" s="14" t="s">
        <v>7504</v>
      </c>
      <c r="T1107" s="22" t="s">
        <v>1626</v>
      </c>
    </row>
    <row r="1108" spans="1:20" ht="97.5" customHeight="1" x14ac:dyDescent="0.2">
      <c r="A1108" s="289">
        <v>1136</v>
      </c>
      <c r="B1108" s="289" t="s">
        <v>7574</v>
      </c>
      <c r="C1108" s="289"/>
      <c r="D1108" s="9" t="s">
        <v>7586</v>
      </c>
      <c r="E1108" s="22" t="s">
        <v>7379</v>
      </c>
      <c r="F1108" s="9" t="s">
        <v>7558</v>
      </c>
      <c r="G1108" s="285" t="s">
        <v>7979</v>
      </c>
      <c r="H1108" s="285" t="s">
        <v>5127</v>
      </c>
      <c r="I1108" s="289"/>
      <c r="J1108" s="285" t="s">
        <v>3136</v>
      </c>
      <c r="K1108" s="14">
        <v>42880</v>
      </c>
      <c r="L1108" s="285">
        <v>487</v>
      </c>
      <c r="M1108" s="15">
        <v>42846</v>
      </c>
      <c r="N1108" s="33">
        <v>1</v>
      </c>
      <c r="O1108" s="61">
        <v>13500</v>
      </c>
      <c r="P1108" s="61">
        <v>13500</v>
      </c>
      <c r="Q1108" s="40">
        <f t="shared" si="30"/>
        <v>0</v>
      </c>
      <c r="R1108" s="285" t="s">
        <v>7503</v>
      </c>
      <c r="S1108" s="14" t="s">
        <v>7504</v>
      </c>
      <c r="T1108" s="22" t="s">
        <v>1626</v>
      </c>
    </row>
    <row r="1109" spans="1:20" ht="97.5" customHeight="1" x14ac:dyDescent="0.2">
      <c r="A1109" s="289">
        <v>1137</v>
      </c>
      <c r="B1109" s="289" t="s">
        <v>7575</v>
      </c>
      <c r="C1109" s="289"/>
      <c r="D1109" s="9" t="s">
        <v>7587</v>
      </c>
      <c r="E1109" s="22" t="s">
        <v>7379</v>
      </c>
      <c r="F1109" s="9" t="s">
        <v>7558</v>
      </c>
      <c r="G1109" s="285" t="s">
        <v>7979</v>
      </c>
      <c r="H1109" s="285" t="s">
        <v>5127</v>
      </c>
      <c r="I1109" s="289"/>
      <c r="J1109" s="285" t="s">
        <v>3136</v>
      </c>
      <c r="K1109" s="14">
        <v>42880</v>
      </c>
      <c r="L1109" s="285">
        <v>487</v>
      </c>
      <c r="M1109" s="15">
        <v>42846</v>
      </c>
      <c r="N1109" s="33">
        <v>1</v>
      </c>
      <c r="O1109" s="61">
        <v>3910</v>
      </c>
      <c r="P1109" s="61">
        <v>3910</v>
      </c>
      <c r="Q1109" s="40">
        <f t="shared" si="30"/>
        <v>0</v>
      </c>
      <c r="R1109" s="285" t="s">
        <v>7503</v>
      </c>
      <c r="S1109" s="14" t="s">
        <v>7504</v>
      </c>
      <c r="T1109" s="22" t="s">
        <v>1626</v>
      </c>
    </row>
    <row r="1110" spans="1:20" ht="97.5" customHeight="1" x14ac:dyDescent="0.2">
      <c r="A1110" s="289">
        <v>1138</v>
      </c>
      <c r="B1110" s="289" t="s">
        <v>7576</v>
      </c>
      <c r="C1110" s="289"/>
      <c r="D1110" s="9" t="s">
        <v>7588</v>
      </c>
      <c r="E1110" s="22" t="s">
        <v>7379</v>
      </c>
      <c r="F1110" s="9" t="s">
        <v>7558</v>
      </c>
      <c r="G1110" s="285" t="s">
        <v>7979</v>
      </c>
      <c r="H1110" s="285" t="s">
        <v>5127</v>
      </c>
      <c r="I1110" s="289"/>
      <c r="J1110" s="285" t="s">
        <v>3136</v>
      </c>
      <c r="K1110" s="14">
        <v>42880</v>
      </c>
      <c r="L1110" s="285">
        <v>487</v>
      </c>
      <c r="M1110" s="15">
        <v>42846</v>
      </c>
      <c r="N1110" s="33">
        <v>1</v>
      </c>
      <c r="O1110" s="61">
        <v>2300</v>
      </c>
      <c r="P1110" s="61">
        <v>2300</v>
      </c>
      <c r="Q1110" s="40">
        <f t="shared" si="30"/>
        <v>0</v>
      </c>
      <c r="R1110" s="285" t="s">
        <v>7503</v>
      </c>
      <c r="S1110" s="14" t="s">
        <v>7504</v>
      </c>
      <c r="T1110" s="22" t="s">
        <v>1626</v>
      </c>
    </row>
    <row r="1111" spans="1:20" ht="97.5" customHeight="1" x14ac:dyDescent="0.2">
      <c r="A1111" s="289">
        <v>1139</v>
      </c>
      <c r="B1111" s="289" t="s">
        <v>7577</v>
      </c>
      <c r="C1111" s="289"/>
      <c r="D1111" s="9" t="s">
        <v>7589</v>
      </c>
      <c r="E1111" s="22" t="s">
        <v>7379</v>
      </c>
      <c r="F1111" s="9" t="s">
        <v>7558</v>
      </c>
      <c r="G1111" s="285" t="s">
        <v>7979</v>
      </c>
      <c r="H1111" s="285" t="s">
        <v>5127</v>
      </c>
      <c r="I1111" s="289"/>
      <c r="J1111" s="285" t="s">
        <v>3136</v>
      </c>
      <c r="K1111" s="14">
        <v>42880</v>
      </c>
      <c r="L1111" s="285">
        <v>487</v>
      </c>
      <c r="M1111" s="15">
        <v>42846</v>
      </c>
      <c r="N1111" s="33">
        <v>1</v>
      </c>
      <c r="O1111" s="61">
        <v>1954</v>
      </c>
      <c r="P1111" s="61">
        <v>1954</v>
      </c>
      <c r="Q1111" s="40">
        <f t="shared" si="30"/>
        <v>0</v>
      </c>
      <c r="R1111" s="285" t="s">
        <v>7503</v>
      </c>
      <c r="S1111" s="14" t="s">
        <v>7504</v>
      </c>
      <c r="T1111" s="22" t="s">
        <v>1626</v>
      </c>
    </row>
    <row r="1112" spans="1:20" ht="97.5" customHeight="1" x14ac:dyDescent="0.2">
      <c r="A1112" s="289">
        <v>1140</v>
      </c>
      <c r="B1112" s="289" t="s">
        <v>7578</v>
      </c>
      <c r="C1112" s="289"/>
      <c r="D1112" s="9" t="s">
        <v>7590</v>
      </c>
      <c r="E1112" s="22" t="s">
        <v>7379</v>
      </c>
      <c r="F1112" s="9" t="s">
        <v>7558</v>
      </c>
      <c r="G1112" s="285" t="s">
        <v>7979</v>
      </c>
      <c r="H1112" s="285" t="s">
        <v>5127</v>
      </c>
      <c r="I1112" s="289"/>
      <c r="J1112" s="285" t="s">
        <v>3136</v>
      </c>
      <c r="K1112" s="14">
        <v>42880</v>
      </c>
      <c r="L1112" s="285">
        <v>487</v>
      </c>
      <c r="M1112" s="15">
        <v>42846</v>
      </c>
      <c r="N1112" s="33">
        <v>1</v>
      </c>
      <c r="O1112" s="61">
        <v>9560</v>
      </c>
      <c r="P1112" s="61">
        <v>9560</v>
      </c>
      <c r="Q1112" s="40">
        <f t="shared" si="30"/>
        <v>0</v>
      </c>
      <c r="R1112" s="285" t="s">
        <v>7503</v>
      </c>
      <c r="S1112" s="14" t="s">
        <v>7504</v>
      </c>
      <c r="T1112" s="22" t="s">
        <v>1626</v>
      </c>
    </row>
    <row r="1113" spans="1:20" ht="97.5" customHeight="1" x14ac:dyDescent="0.2">
      <c r="A1113" s="289">
        <v>1141</v>
      </c>
      <c r="B1113" s="289" t="s">
        <v>7579</v>
      </c>
      <c r="C1113" s="289"/>
      <c r="D1113" s="9" t="s">
        <v>7591</v>
      </c>
      <c r="E1113" s="22" t="s">
        <v>7379</v>
      </c>
      <c r="F1113" s="9" t="s">
        <v>7558</v>
      </c>
      <c r="G1113" s="285" t="s">
        <v>7979</v>
      </c>
      <c r="H1113" s="285" t="s">
        <v>5127</v>
      </c>
      <c r="I1113" s="289"/>
      <c r="J1113" s="285" t="s">
        <v>3136</v>
      </c>
      <c r="K1113" s="14">
        <v>42880</v>
      </c>
      <c r="L1113" s="285">
        <v>487</v>
      </c>
      <c r="M1113" s="15">
        <v>42846</v>
      </c>
      <c r="N1113" s="33">
        <v>8</v>
      </c>
      <c r="O1113" s="61">
        <v>10736</v>
      </c>
      <c r="P1113" s="61">
        <v>10736</v>
      </c>
      <c r="Q1113" s="40">
        <f t="shared" si="30"/>
        <v>0</v>
      </c>
      <c r="R1113" s="285" t="s">
        <v>7503</v>
      </c>
      <c r="S1113" s="14" t="s">
        <v>7504</v>
      </c>
      <c r="T1113" s="22" t="s">
        <v>1626</v>
      </c>
    </row>
    <row r="1114" spans="1:20" ht="86.25" customHeight="1" x14ac:dyDescent="0.2">
      <c r="A1114" s="289">
        <v>1142</v>
      </c>
      <c r="B1114" s="289" t="s">
        <v>7580</v>
      </c>
      <c r="C1114" s="289"/>
      <c r="D1114" s="9" t="s">
        <v>7592</v>
      </c>
      <c r="E1114" s="22" t="s">
        <v>7379</v>
      </c>
      <c r="F1114" s="9" t="s">
        <v>7558</v>
      </c>
      <c r="G1114" s="285" t="s">
        <v>7979</v>
      </c>
      <c r="H1114" s="285" t="s">
        <v>5127</v>
      </c>
      <c r="I1114" s="289"/>
      <c r="J1114" s="285" t="s">
        <v>3136</v>
      </c>
      <c r="K1114" s="14">
        <v>42880</v>
      </c>
      <c r="L1114" s="285">
        <v>487</v>
      </c>
      <c r="M1114" s="15">
        <v>42846</v>
      </c>
      <c r="N1114" s="33">
        <v>2</v>
      </c>
      <c r="O1114" s="61">
        <v>1450.19</v>
      </c>
      <c r="P1114" s="61">
        <v>1450.19</v>
      </c>
      <c r="Q1114" s="40">
        <f t="shared" si="30"/>
        <v>0</v>
      </c>
      <c r="R1114" s="285" t="s">
        <v>7503</v>
      </c>
      <c r="S1114" s="14" t="s">
        <v>7504</v>
      </c>
      <c r="T1114" s="22" t="s">
        <v>1626</v>
      </c>
    </row>
    <row r="1115" spans="1:20" ht="86.25" customHeight="1" x14ac:dyDescent="0.2">
      <c r="A1115" s="289">
        <v>1144</v>
      </c>
      <c r="B1115" s="289" t="s">
        <v>7627</v>
      </c>
      <c r="C1115" s="289"/>
      <c r="D1115" s="9" t="s">
        <v>7628</v>
      </c>
      <c r="E1115" s="22" t="s">
        <v>7379</v>
      </c>
      <c r="F1115" s="9" t="s">
        <v>7629</v>
      </c>
      <c r="G1115" s="285" t="s">
        <v>7983</v>
      </c>
      <c r="H1115" s="285" t="s">
        <v>5127</v>
      </c>
      <c r="I1115" s="289"/>
      <c r="J1115" s="285" t="s">
        <v>3136</v>
      </c>
      <c r="K1115" s="14">
        <v>42899</v>
      </c>
      <c r="L1115" s="285">
        <v>549</v>
      </c>
      <c r="M1115" s="15">
        <v>42893</v>
      </c>
      <c r="N1115" s="24">
        <v>1</v>
      </c>
      <c r="O1115" s="63">
        <v>4680</v>
      </c>
      <c r="P1115" s="63">
        <v>4680</v>
      </c>
      <c r="Q1115" s="17">
        <f t="shared" si="30"/>
        <v>0</v>
      </c>
      <c r="R1115" s="285" t="s">
        <v>7630</v>
      </c>
      <c r="S1115" s="14">
        <v>42879</v>
      </c>
      <c r="T1115" s="22" t="s">
        <v>7631</v>
      </c>
    </row>
    <row r="1116" spans="1:20" ht="86.25" customHeight="1" x14ac:dyDescent="0.2">
      <c r="A1116" s="289">
        <v>1145</v>
      </c>
      <c r="B1116" s="289" t="s">
        <v>7632</v>
      </c>
      <c r="C1116" s="289"/>
      <c r="D1116" s="9" t="s">
        <v>7633</v>
      </c>
      <c r="E1116" s="22" t="s">
        <v>7379</v>
      </c>
      <c r="F1116" s="9" t="s">
        <v>7635</v>
      </c>
      <c r="G1116" s="285" t="s">
        <v>8661</v>
      </c>
      <c r="H1116" s="285" t="s">
        <v>5127</v>
      </c>
      <c r="I1116" s="289"/>
      <c r="J1116" s="285" t="s">
        <v>3136</v>
      </c>
      <c r="K1116" s="14">
        <v>42902</v>
      </c>
      <c r="L1116" s="285">
        <v>559</v>
      </c>
      <c r="M1116" s="15">
        <v>42893</v>
      </c>
      <c r="N1116" s="24">
        <v>1</v>
      </c>
      <c r="O1116" s="63">
        <v>3591</v>
      </c>
      <c r="P1116" s="63">
        <v>3591</v>
      </c>
      <c r="Q1116" s="17">
        <f t="shared" si="30"/>
        <v>0</v>
      </c>
      <c r="R1116" s="285" t="s">
        <v>970</v>
      </c>
      <c r="S1116" s="14">
        <v>42893</v>
      </c>
      <c r="T1116" s="22" t="s">
        <v>7634</v>
      </c>
    </row>
    <row r="1117" spans="1:20" ht="86.25" customHeight="1" x14ac:dyDescent="0.2">
      <c r="A1117" s="289">
        <v>1146</v>
      </c>
      <c r="B1117" s="289" t="s">
        <v>7636</v>
      </c>
      <c r="C1117" s="289"/>
      <c r="D1117" s="9" t="s">
        <v>7638</v>
      </c>
      <c r="E1117" s="22" t="s">
        <v>7379</v>
      </c>
      <c r="F1117" s="9" t="s">
        <v>7640</v>
      </c>
      <c r="G1117" s="285" t="s">
        <v>7983</v>
      </c>
      <c r="H1117" s="285" t="s">
        <v>5127</v>
      </c>
      <c r="I1117" s="289"/>
      <c r="J1117" s="285" t="s">
        <v>3136</v>
      </c>
      <c r="K1117" s="14">
        <v>42923</v>
      </c>
      <c r="L1117" s="285">
        <v>620</v>
      </c>
      <c r="M1117" s="15">
        <v>42895</v>
      </c>
      <c r="N1117" s="24">
        <v>1</v>
      </c>
      <c r="O1117" s="63">
        <v>21500</v>
      </c>
      <c r="P1117" s="63">
        <v>21500</v>
      </c>
      <c r="Q1117" s="17">
        <f t="shared" si="30"/>
        <v>0</v>
      </c>
      <c r="R1117" s="285" t="s">
        <v>7630</v>
      </c>
      <c r="S1117" s="14">
        <v>42906</v>
      </c>
      <c r="T1117" s="22" t="s">
        <v>7639</v>
      </c>
    </row>
    <row r="1118" spans="1:20" ht="86.25" customHeight="1" x14ac:dyDescent="0.2">
      <c r="A1118" s="289">
        <v>1147</v>
      </c>
      <c r="B1118" s="289" t="s">
        <v>7637</v>
      </c>
      <c r="C1118" s="289"/>
      <c r="D1118" s="9" t="s">
        <v>7641</v>
      </c>
      <c r="E1118" s="22" t="s">
        <v>7379</v>
      </c>
      <c r="F1118" s="9" t="s">
        <v>7642</v>
      </c>
      <c r="G1118" s="285" t="s">
        <v>7983</v>
      </c>
      <c r="H1118" s="285" t="s">
        <v>5127</v>
      </c>
      <c r="I1118" s="289"/>
      <c r="J1118" s="285" t="s">
        <v>3136</v>
      </c>
      <c r="K1118" s="14">
        <v>42923</v>
      </c>
      <c r="L1118" s="285">
        <v>620</v>
      </c>
      <c r="M1118" s="15">
        <v>42895</v>
      </c>
      <c r="N1118" s="24">
        <v>1</v>
      </c>
      <c r="O1118" s="63">
        <v>25000</v>
      </c>
      <c r="P1118" s="63">
        <v>25000</v>
      </c>
      <c r="Q1118" s="17">
        <f t="shared" si="30"/>
        <v>0</v>
      </c>
      <c r="R1118" s="285" t="s">
        <v>7630</v>
      </c>
      <c r="S1118" s="14">
        <v>42906</v>
      </c>
      <c r="T1118" s="22" t="s">
        <v>7639</v>
      </c>
    </row>
    <row r="1119" spans="1:20" ht="45.75" customHeight="1" x14ac:dyDescent="0.2">
      <c r="A1119" s="289">
        <v>1148</v>
      </c>
      <c r="B1119" s="289" t="s">
        <v>7650</v>
      </c>
      <c r="C1119" s="289"/>
      <c r="D1119" s="9" t="s">
        <v>7653</v>
      </c>
      <c r="E1119" s="22" t="s">
        <v>7379</v>
      </c>
      <c r="F1119" s="9" t="s">
        <v>7651</v>
      </c>
      <c r="G1119" s="285" t="s">
        <v>101</v>
      </c>
      <c r="H1119" s="285" t="s">
        <v>5127</v>
      </c>
      <c r="I1119" s="289"/>
      <c r="J1119" s="285" t="s">
        <v>3136</v>
      </c>
      <c r="K1119" s="14">
        <v>42923</v>
      </c>
      <c r="L1119" s="285">
        <v>622</v>
      </c>
      <c r="M1119" s="15">
        <v>42901</v>
      </c>
      <c r="N1119" s="24">
        <v>3</v>
      </c>
      <c r="O1119" s="63">
        <v>9990</v>
      </c>
      <c r="P1119" s="63">
        <v>9990</v>
      </c>
      <c r="Q1119" s="17">
        <f t="shared" si="30"/>
        <v>0</v>
      </c>
      <c r="R1119" s="285" t="s">
        <v>5929</v>
      </c>
      <c r="S1119" s="38">
        <v>42901</v>
      </c>
      <c r="T1119" s="14" t="s">
        <v>7652</v>
      </c>
    </row>
    <row r="1120" spans="1:20" ht="86.25" customHeight="1" x14ac:dyDescent="0.2">
      <c r="A1120" s="289">
        <v>1149</v>
      </c>
      <c r="B1120" s="289" t="s">
        <v>7654</v>
      </c>
      <c r="C1120" s="289"/>
      <c r="D1120" s="9" t="s">
        <v>4034</v>
      </c>
      <c r="E1120" s="22" t="s">
        <v>7379</v>
      </c>
      <c r="F1120" s="9" t="s">
        <v>7655</v>
      </c>
      <c r="G1120" s="285" t="s">
        <v>792</v>
      </c>
      <c r="H1120" s="285" t="s">
        <v>5127</v>
      </c>
      <c r="I1120" s="289"/>
      <c r="J1120" s="285" t="s">
        <v>3136</v>
      </c>
      <c r="K1120" s="14">
        <v>42926</v>
      </c>
      <c r="L1120" s="285">
        <v>625</v>
      </c>
      <c r="M1120" s="15">
        <v>42901</v>
      </c>
      <c r="N1120" s="24">
        <v>1</v>
      </c>
      <c r="O1120" s="63">
        <v>7797</v>
      </c>
      <c r="P1120" s="63">
        <v>7797</v>
      </c>
      <c r="Q1120" s="17">
        <f t="shared" si="30"/>
        <v>0</v>
      </c>
      <c r="R1120" s="285" t="s">
        <v>5363</v>
      </c>
      <c r="S1120" s="14">
        <v>42899</v>
      </c>
      <c r="T1120" s="22" t="s">
        <v>4047</v>
      </c>
    </row>
    <row r="1121" spans="1:20" ht="86.25" customHeight="1" x14ac:dyDescent="0.2">
      <c r="A1121" s="289">
        <v>1151</v>
      </c>
      <c r="B1121" s="289" t="s">
        <v>7672</v>
      </c>
      <c r="C1121" s="289"/>
      <c r="D1121" s="9" t="s">
        <v>7673</v>
      </c>
      <c r="E1121" s="22" t="s">
        <v>6220</v>
      </c>
      <c r="F1121" s="9"/>
      <c r="G1121" s="285" t="s">
        <v>8293</v>
      </c>
      <c r="H1121" s="285" t="s">
        <v>5127</v>
      </c>
      <c r="I1121" s="289"/>
      <c r="J1121" s="285" t="s">
        <v>3136</v>
      </c>
      <c r="K1121" s="14">
        <v>42957</v>
      </c>
      <c r="L1121" s="285">
        <v>742</v>
      </c>
      <c r="M1121" s="15">
        <v>42676</v>
      </c>
      <c r="N1121" s="24">
        <v>1</v>
      </c>
      <c r="O1121" s="63">
        <v>5000</v>
      </c>
      <c r="P1121" s="63">
        <v>5000</v>
      </c>
      <c r="Q1121" s="40">
        <f t="shared" si="30"/>
        <v>0</v>
      </c>
      <c r="R1121" s="285" t="s">
        <v>970</v>
      </c>
      <c r="S1121" s="14">
        <v>42755</v>
      </c>
      <c r="T1121" s="22" t="s">
        <v>7674</v>
      </c>
    </row>
    <row r="1122" spans="1:20" ht="86.25" customHeight="1" x14ac:dyDescent="0.2">
      <c r="A1122" s="289">
        <v>1152</v>
      </c>
      <c r="B1122" s="289" t="s">
        <v>7677</v>
      </c>
      <c r="C1122" s="289"/>
      <c r="D1122" s="9" t="s">
        <v>7678</v>
      </c>
      <c r="E1122" s="22" t="s">
        <v>6220</v>
      </c>
      <c r="F1122" s="9"/>
      <c r="G1122" s="285" t="s">
        <v>9194</v>
      </c>
      <c r="H1122" s="285" t="s">
        <v>5127</v>
      </c>
      <c r="I1122" s="289"/>
      <c r="J1122" s="285" t="s">
        <v>3136</v>
      </c>
      <c r="K1122" s="14">
        <v>43321</v>
      </c>
      <c r="L1122" s="285">
        <v>734</v>
      </c>
      <c r="M1122" s="15">
        <v>42677</v>
      </c>
      <c r="N1122" s="24">
        <v>3</v>
      </c>
      <c r="O1122" s="63">
        <v>16800</v>
      </c>
      <c r="P1122" s="63">
        <v>16800</v>
      </c>
      <c r="Q1122" s="40">
        <f t="shared" si="30"/>
        <v>0</v>
      </c>
      <c r="R1122" s="285" t="s">
        <v>3493</v>
      </c>
      <c r="S1122" s="14">
        <v>42677</v>
      </c>
      <c r="T1122" s="22" t="s">
        <v>7679</v>
      </c>
    </row>
    <row r="1123" spans="1:20" ht="86.25" customHeight="1" x14ac:dyDescent="0.2">
      <c r="A1123" s="289">
        <v>1153</v>
      </c>
      <c r="B1123" s="289" t="s">
        <v>7680</v>
      </c>
      <c r="C1123" s="289"/>
      <c r="D1123" s="9" t="s">
        <v>7681</v>
      </c>
      <c r="E1123" s="22" t="s">
        <v>6220</v>
      </c>
      <c r="F1123" s="9"/>
      <c r="G1123" s="285" t="s">
        <v>9194</v>
      </c>
      <c r="H1123" s="285" t="s">
        <v>5127</v>
      </c>
      <c r="I1123" s="289"/>
      <c r="J1123" s="285" t="s">
        <v>3136</v>
      </c>
      <c r="K1123" s="14">
        <v>43321</v>
      </c>
      <c r="L1123" s="285">
        <v>734</v>
      </c>
      <c r="M1123" s="15">
        <v>42677</v>
      </c>
      <c r="N1123" s="24">
        <v>1</v>
      </c>
      <c r="O1123" s="63">
        <v>5760</v>
      </c>
      <c r="P1123" s="63">
        <v>5760</v>
      </c>
      <c r="Q1123" s="40">
        <f t="shared" si="30"/>
        <v>0</v>
      </c>
      <c r="R1123" s="285" t="s">
        <v>3493</v>
      </c>
      <c r="S1123" s="14">
        <v>42677</v>
      </c>
      <c r="T1123" s="22" t="s">
        <v>7679</v>
      </c>
    </row>
    <row r="1124" spans="1:20" ht="86.25" customHeight="1" x14ac:dyDescent="0.2">
      <c r="A1124" s="289">
        <v>1154</v>
      </c>
      <c r="B1124" s="289" t="s">
        <v>7708</v>
      </c>
      <c r="C1124" s="289"/>
      <c r="D1124" s="9" t="s">
        <v>7711</v>
      </c>
      <c r="E1124" s="22" t="s">
        <v>7379</v>
      </c>
      <c r="F1124" s="9" t="s">
        <v>7712</v>
      </c>
      <c r="G1124" s="285" t="s">
        <v>792</v>
      </c>
      <c r="H1124" s="285" t="s">
        <v>5127</v>
      </c>
      <c r="I1124" s="289"/>
      <c r="J1124" s="285" t="s">
        <v>3136</v>
      </c>
      <c r="K1124" s="14">
        <v>42964</v>
      </c>
      <c r="L1124" s="285">
        <v>760</v>
      </c>
      <c r="M1124" s="15">
        <v>42955</v>
      </c>
      <c r="N1124" s="24">
        <v>1</v>
      </c>
      <c r="O1124" s="63">
        <v>3900</v>
      </c>
      <c r="P1124" s="63">
        <v>3900</v>
      </c>
      <c r="Q1124" s="40">
        <f t="shared" si="30"/>
        <v>0</v>
      </c>
      <c r="R1124" s="285" t="s">
        <v>3418</v>
      </c>
      <c r="S1124" s="14">
        <v>42934</v>
      </c>
      <c r="T1124" s="22" t="s">
        <v>7715</v>
      </c>
    </row>
    <row r="1125" spans="1:20" ht="86.25" customHeight="1" x14ac:dyDescent="0.2">
      <c r="A1125" s="289">
        <v>1155</v>
      </c>
      <c r="B1125" s="289" t="s">
        <v>7709</v>
      </c>
      <c r="C1125" s="289"/>
      <c r="D1125" s="9" t="s">
        <v>7713</v>
      </c>
      <c r="E1125" s="22" t="s">
        <v>7379</v>
      </c>
      <c r="F1125" s="9" t="s">
        <v>7714</v>
      </c>
      <c r="G1125" s="285" t="s">
        <v>792</v>
      </c>
      <c r="H1125" s="285" t="s">
        <v>5127</v>
      </c>
      <c r="I1125" s="289"/>
      <c r="J1125" s="285" t="s">
        <v>3136</v>
      </c>
      <c r="K1125" s="14">
        <v>42964</v>
      </c>
      <c r="L1125" s="285">
        <v>760</v>
      </c>
      <c r="M1125" s="15">
        <v>42955</v>
      </c>
      <c r="N1125" s="24">
        <v>1</v>
      </c>
      <c r="O1125" s="63">
        <v>3920</v>
      </c>
      <c r="P1125" s="63">
        <v>3920</v>
      </c>
      <c r="Q1125" s="40">
        <f t="shared" si="30"/>
        <v>0</v>
      </c>
      <c r="R1125" s="285" t="s">
        <v>3418</v>
      </c>
      <c r="S1125" s="14">
        <v>42934</v>
      </c>
      <c r="T1125" s="22" t="s">
        <v>7715</v>
      </c>
    </row>
    <row r="1126" spans="1:20" ht="65.25" customHeight="1" x14ac:dyDescent="0.2">
      <c r="A1126" s="289">
        <v>1156</v>
      </c>
      <c r="B1126" s="289" t="s">
        <v>7710</v>
      </c>
      <c r="C1126" s="289"/>
      <c r="D1126" s="9" t="s">
        <v>7716</v>
      </c>
      <c r="E1126" s="22" t="s">
        <v>7379</v>
      </c>
      <c r="F1126" s="9" t="s">
        <v>7717</v>
      </c>
      <c r="G1126" s="285" t="s">
        <v>792</v>
      </c>
      <c r="H1126" s="285" t="s">
        <v>5127</v>
      </c>
      <c r="I1126" s="289"/>
      <c r="J1126" s="285" t="s">
        <v>3136</v>
      </c>
      <c r="K1126" s="14">
        <v>42964</v>
      </c>
      <c r="L1126" s="285">
        <v>760</v>
      </c>
      <c r="M1126" s="15">
        <v>42955</v>
      </c>
      <c r="N1126" s="24">
        <v>3</v>
      </c>
      <c r="O1126" s="63">
        <v>12600</v>
      </c>
      <c r="P1126" s="63">
        <v>12600</v>
      </c>
      <c r="Q1126" s="40">
        <f t="shared" si="30"/>
        <v>0</v>
      </c>
      <c r="R1126" s="285" t="s">
        <v>3418</v>
      </c>
      <c r="S1126" s="14">
        <v>42934</v>
      </c>
      <c r="T1126" s="22" t="s">
        <v>7715</v>
      </c>
    </row>
    <row r="1127" spans="1:20" ht="75.75" customHeight="1" x14ac:dyDescent="0.2">
      <c r="A1127" s="289">
        <v>1157</v>
      </c>
      <c r="B1127" s="289" t="s">
        <v>7718</v>
      </c>
      <c r="C1127" s="289"/>
      <c r="D1127" s="9" t="s">
        <v>4210</v>
      </c>
      <c r="E1127" s="22" t="s">
        <v>7379</v>
      </c>
      <c r="F1127" s="9" t="s">
        <v>7719</v>
      </c>
      <c r="G1127" s="285" t="s">
        <v>8293</v>
      </c>
      <c r="H1127" s="285" t="s">
        <v>5127</v>
      </c>
      <c r="I1127" s="289"/>
      <c r="J1127" s="285" t="s">
        <v>3136</v>
      </c>
      <c r="K1127" s="14">
        <v>42964</v>
      </c>
      <c r="L1127" s="285">
        <v>759</v>
      </c>
      <c r="M1127" s="15">
        <v>42954</v>
      </c>
      <c r="N1127" s="24">
        <v>1</v>
      </c>
      <c r="O1127" s="63">
        <v>5141</v>
      </c>
      <c r="P1127" s="63">
        <v>5141</v>
      </c>
      <c r="Q1127" s="40">
        <f t="shared" si="30"/>
        <v>0</v>
      </c>
      <c r="R1127" s="285" t="s">
        <v>3418</v>
      </c>
      <c r="S1127" s="14">
        <v>42954</v>
      </c>
      <c r="T1127" s="22" t="s">
        <v>7720</v>
      </c>
    </row>
    <row r="1128" spans="1:20" ht="78" customHeight="1" x14ac:dyDescent="0.2">
      <c r="A1128" s="289">
        <v>1158</v>
      </c>
      <c r="B1128" s="289" t="s">
        <v>7721</v>
      </c>
      <c r="C1128" s="289"/>
      <c r="D1128" s="9" t="s">
        <v>7628</v>
      </c>
      <c r="E1128" s="22" t="s">
        <v>7379</v>
      </c>
      <c r="F1128" s="9" t="s">
        <v>7725</v>
      </c>
      <c r="G1128" s="285" t="s">
        <v>101</v>
      </c>
      <c r="H1128" s="285" t="s">
        <v>5127</v>
      </c>
      <c r="I1128" s="289"/>
      <c r="J1128" s="285" t="s">
        <v>3136</v>
      </c>
      <c r="K1128" s="14">
        <v>42968</v>
      </c>
      <c r="L1128" s="285">
        <v>771</v>
      </c>
      <c r="M1128" s="15">
        <v>42956</v>
      </c>
      <c r="N1128" s="24">
        <f>1+3+2+2+1</f>
        <v>9</v>
      </c>
      <c r="O1128" s="63">
        <f>4160+9900+7000+7200+3300</f>
        <v>31560</v>
      </c>
      <c r="P1128" s="63">
        <v>31560</v>
      </c>
      <c r="Q1128" s="40">
        <f t="shared" si="30"/>
        <v>0</v>
      </c>
      <c r="R1128" s="285" t="s">
        <v>7124</v>
      </c>
      <c r="S1128" s="14">
        <v>42940</v>
      </c>
      <c r="T1128" s="22" t="s">
        <v>7730</v>
      </c>
    </row>
    <row r="1129" spans="1:20" ht="167.25" customHeight="1" x14ac:dyDescent="0.2">
      <c r="A1129" s="289">
        <v>1159</v>
      </c>
      <c r="B1129" s="289" t="s">
        <v>7726</v>
      </c>
      <c r="C1129" s="289"/>
      <c r="D1129" s="9" t="s">
        <v>7728</v>
      </c>
      <c r="E1129" s="22" t="s">
        <v>7379</v>
      </c>
      <c r="F1129" s="9" t="s">
        <v>3338</v>
      </c>
      <c r="G1129" s="285" t="s">
        <v>7934</v>
      </c>
      <c r="H1129" s="285" t="s">
        <v>5127</v>
      </c>
      <c r="I1129" s="289"/>
      <c r="J1129" s="285" t="s">
        <v>3136</v>
      </c>
      <c r="K1129" s="14">
        <v>42970</v>
      </c>
      <c r="L1129" s="285">
        <v>785</v>
      </c>
      <c r="M1129" s="15">
        <v>42964</v>
      </c>
      <c r="N1129" s="24">
        <v>1</v>
      </c>
      <c r="O1129" s="63">
        <v>10990</v>
      </c>
      <c r="P1129" s="63">
        <v>10990</v>
      </c>
      <c r="Q1129" s="40">
        <f t="shared" si="30"/>
        <v>0</v>
      </c>
      <c r="R1129" s="285" t="s">
        <v>7381</v>
      </c>
      <c r="S1129" s="14">
        <v>42955</v>
      </c>
      <c r="T1129" s="22" t="s">
        <v>1029</v>
      </c>
    </row>
    <row r="1130" spans="1:20" ht="167.25" customHeight="1" x14ac:dyDescent="0.2">
      <c r="A1130" s="289">
        <v>1160</v>
      </c>
      <c r="B1130" s="289" t="s">
        <v>7727</v>
      </c>
      <c r="C1130" s="289"/>
      <c r="D1130" s="9" t="s">
        <v>7729</v>
      </c>
      <c r="E1130" s="22" t="s">
        <v>7379</v>
      </c>
      <c r="F1130" s="9" t="s">
        <v>7731</v>
      </c>
      <c r="G1130" s="285" t="s">
        <v>7934</v>
      </c>
      <c r="H1130" s="285" t="s">
        <v>5127</v>
      </c>
      <c r="I1130" s="289"/>
      <c r="J1130" s="285" t="s">
        <v>3136</v>
      </c>
      <c r="K1130" s="14">
        <v>42970</v>
      </c>
      <c r="L1130" s="285">
        <v>785</v>
      </c>
      <c r="M1130" s="15">
        <v>42964</v>
      </c>
      <c r="N1130" s="24">
        <v>1</v>
      </c>
      <c r="O1130" s="63">
        <v>11500</v>
      </c>
      <c r="P1130" s="63">
        <v>11500</v>
      </c>
      <c r="Q1130" s="40">
        <f t="shared" si="30"/>
        <v>0</v>
      </c>
      <c r="R1130" s="285" t="s">
        <v>7381</v>
      </c>
      <c r="S1130" s="14">
        <v>42955</v>
      </c>
      <c r="T1130" s="22" t="s">
        <v>1029</v>
      </c>
    </row>
    <row r="1131" spans="1:20" ht="167.25" customHeight="1" x14ac:dyDescent="0.2">
      <c r="A1131" s="289">
        <v>1161</v>
      </c>
      <c r="B1131" s="289" t="s">
        <v>7741</v>
      </c>
      <c r="C1131" s="289"/>
      <c r="D1131" s="9" t="s">
        <v>2841</v>
      </c>
      <c r="E1131" s="22" t="s">
        <v>7379</v>
      </c>
      <c r="F1131" s="9" t="s">
        <v>7742</v>
      </c>
      <c r="G1131" s="285" t="s">
        <v>7981</v>
      </c>
      <c r="H1131" s="285" t="s">
        <v>5127</v>
      </c>
      <c r="I1131" s="289"/>
      <c r="J1131" s="285" t="s">
        <v>3136</v>
      </c>
      <c r="K1131" s="14">
        <v>42992</v>
      </c>
      <c r="L1131" s="285">
        <v>822</v>
      </c>
      <c r="M1131" s="15">
        <v>42944</v>
      </c>
      <c r="N1131" s="24">
        <v>1</v>
      </c>
      <c r="O1131" s="63">
        <v>3856</v>
      </c>
      <c r="P1131" s="63">
        <v>3856</v>
      </c>
      <c r="Q1131" s="40">
        <f t="shared" si="30"/>
        <v>0</v>
      </c>
      <c r="R1131" s="285" t="s">
        <v>5363</v>
      </c>
      <c r="S1131" s="14">
        <v>42944</v>
      </c>
      <c r="T1131" s="22" t="s">
        <v>5974</v>
      </c>
    </row>
    <row r="1132" spans="1:20" ht="167.25" customHeight="1" x14ac:dyDescent="0.2">
      <c r="A1132" s="289">
        <v>1162</v>
      </c>
      <c r="B1132" s="289" t="s">
        <v>7754</v>
      </c>
      <c r="C1132" s="289"/>
      <c r="D1132" s="9" t="s">
        <v>7755</v>
      </c>
      <c r="E1132" s="22" t="s">
        <v>7379</v>
      </c>
      <c r="F1132" s="9" t="s">
        <v>7756</v>
      </c>
      <c r="G1132" s="285" t="s">
        <v>792</v>
      </c>
      <c r="H1132" s="285" t="s">
        <v>5127</v>
      </c>
      <c r="I1132" s="289"/>
      <c r="J1132" s="285" t="s">
        <v>3136</v>
      </c>
      <c r="K1132" s="14">
        <v>43005</v>
      </c>
      <c r="L1132" s="285">
        <v>865</v>
      </c>
      <c r="M1132" s="15">
        <v>42991</v>
      </c>
      <c r="N1132" s="24">
        <v>1</v>
      </c>
      <c r="O1132" s="63">
        <v>4800</v>
      </c>
      <c r="P1132" s="63">
        <v>4800</v>
      </c>
      <c r="Q1132" s="40">
        <f t="shared" si="30"/>
        <v>0</v>
      </c>
      <c r="R1132" s="285" t="s">
        <v>5345</v>
      </c>
      <c r="S1132" s="14">
        <v>42977</v>
      </c>
      <c r="T1132" s="22" t="s">
        <v>1029</v>
      </c>
    </row>
    <row r="1133" spans="1:20" ht="167.25" customHeight="1" x14ac:dyDescent="0.2">
      <c r="A1133" s="289">
        <v>1163</v>
      </c>
      <c r="B1133" s="289" t="s">
        <v>7765</v>
      </c>
      <c r="C1133" s="289"/>
      <c r="D1133" s="9" t="s">
        <v>7766</v>
      </c>
      <c r="E1133" s="22" t="s">
        <v>7379</v>
      </c>
      <c r="F1133" s="9" t="s">
        <v>7767</v>
      </c>
      <c r="G1133" s="285" t="s">
        <v>7934</v>
      </c>
      <c r="H1133" s="285" t="s">
        <v>5127</v>
      </c>
      <c r="I1133" s="289"/>
      <c r="J1133" s="285" t="s">
        <v>3136</v>
      </c>
      <c r="K1133" s="14">
        <v>43027</v>
      </c>
      <c r="L1133" s="285">
        <v>946</v>
      </c>
      <c r="M1133" s="15">
        <v>43010</v>
      </c>
      <c r="N1133" s="24">
        <v>1</v>
      </c>
      <c r="O1133" s="63">
        <v>5200</v>
      </c>
      <c r="P1133" s="63">
        <v>5200</v>
      </c>
      <c r="Q1133" s="40">
        <f t="shared" si="30"/>
        <v>0</v>
      </c>
      <c r="R1133" s="285" t="s">
        <v>7381</v>
      </c>
      <c r="S1133" s="14">
        <v>43010</v>
      </c>
      <c r="T1133" s="22" t="s">
        <v>1029</v>
      </c>
    </row>
    <row r="1134" spans="1:20" ht="167.25" customHeight="1" x14ac:dyDescent="0.2">
      <c r="A1134" s="289">
        <v>1164</v>
      </c>
      <c r="B1134" s="289" t="s">
        <v>8135</v>
      </c>
      <c r="C1134" s="289"/>
      <c r="D1134" s="9" t="s">
        <v>7768</v>
      </c>
      <c r="E1134" s="22" t="s">
        <v>7379</v>
      </c>
      <c r="F1134" s="9" t="s">
        <v>7818</v>
      </c>
      <c r="G1134" s="285" t="s">
        <v>4946</v>
      </c>
      <c r="H1134" s="285" t="s">
        <v>5127</v>
      </c>
      <c r="I1134" s="289"/>
      <c r="J1134" s="285" t="s">
        <v>3136</v>
      </c>
      <c r="K1134" s="14">
        <v>43039</v>
      </c>
      <c r="L1134" s="285">
        <v>964</v>
      </c>
      <c r="M1134" s="15">
        <v>43018</v>
      </c>
      <c r="N1134" s="24">
        <v>1</v>
      </c>
      <c r="O1134" s="63">
        <v>300000</v>
      </c>
      <c r="P1134" s="63">
        <v>78750</v>
      </c>
      <c r="Q1134" s="40">
        <f t="shared" si="30"/>
        <v>221250</v>
      </c>
      <c r="R1134" s="285" t="s">
        <v>5890</v>
      </c>
      <c r="S1134" s="14">
        <v>43018</v>
      </c>
      <c r="T1134" s="22" t="s">
        <v>5384</v>
      </c>
    </row>
    <row r="1135" spans="1:20" ht="68.25" customHeight="1" x14ac:dyDescent="0.2">
      <c r="A1135" s="289">
        <v>1165</v>
      </c>
      <c r="B1135" s="289" t="s">
        <v>7776</v>
      </c>
      <c r="C1135" s="289"/>
      <c r="D1135" s="9" t="s">
        <v>7780</v>
      </c>
      <c r="E1135" s="22" t="s">
        <v>7379</v>
      </c>
      <c r="F1135" s="9" t="s">
        <v>9384</v>
      </c>
      <c r="G1135" s="285" t="s">
        <v>101</v>
      </c>
      <c r="H1135" s="285" t="s">
        <v>5127</v>
      </c>
      <c r="I1135" s="289"/>
      <c r="J1135" s="285" t="s">
        <v>3136</v>
      </c>
      <c r="K1135" s="14">
        <v>43039</v>
      </c>
      <c r="L1135" s="285">
        <v>966</v>
      </c>
      <c r="M1135" s="15">
        <v>42991</v>
      </c>
      <c r="N1135" s="24">
        <f>12-1</f>
        <v>11</v>
      </c>
      <c r="O1135" s="63">
        <f>12036+12036+12400-3009</f>
        <v>33463</v>
      </c>
      <c r="P1135" s="63">
        <f>12036+12036+12400-3009</f>
        <v>33463</v>
      </c>
      <c r="Q1135" s="40">
        <f t="shared" si="30"/>
        <v>0</v>
      </c>
      <c r="R1135" s="285" t="s">
        <v>970</v>
      </c>
      <c r="S1135" s="14">
        <v>42993</v>
      </c>
      <c r="T1135" s="22" t="s">
        <v>7779</v>
      </c>
    </row>
    <row r="1136" spans="1:20" ht="69" customHeight="1" x14ac:dyDescent="0.2">
      <c r="A1136" s="289">
        <v>1166</v>
      </c>
      <c r="B1136" s="289" t="s">
        <v>7777</v>
      </c>
      <c r="C1136" s="289"/>
      <c r="D1136" s="9" t="s">
        <v>7781</v>
      </c>
      <c r="E1136" s="22" t="s">
        <v>7379</v>
      </c>
      <c r="F1136" s="9" t="s">
        <v>7782</v>
      </c>
      <c r="G1136" s="285" t="s">
        <v>101</v>
      </c>
      <c r="H1136" s="285" t="s">
        <v>5127</v>
      </c>
      <c r="I1136" s="289"/>
      <c r="J1136" s="285" t="s">
        <v>3136</v>
      </c>
      <c r="K1136" s="14">
        <v>43039</v>
      </c>
      <c r="L1136" s="285">
        <v>966</v>
      </c>
      <c r="M1136" s="15">
        <v>42991</v>
      </c>
      <c r="N1136" s="24">
        <v>1</v>
      </c>
      <c r="O1136" s="63">
        <v>16900</v>
      </c>
      <c r="P1136" s="63">
        <v>16900</v>
      </c>
      <c r="Q1136" s="40">
        <f t="shared" si="30"/>
        <v>0</v>
      </c>
      <c r="R1136" s="285" t="s">
        <v>970</v>
      </c>
      <c r="S1136" s="14">
        <v>42993</v>
      </c>
      <c r="T1136" s="22" t="s">
        <v>7779</v>
      </c>
    </row>
    <row r="1137" spans="1:20" ht="110.25" customHeight="1" x14ac:dyDescent="0.2">
      <c r="A1137" s="289">
        <v>1167</v>
      </c>
      <c r="B1137" s="289" t="s">
        <v>7778</v>
      </c>
      <c r="C1137" s="289"/>
      <c r="D1137" s="9" t="s">
        <v>7785</v>
      </c>
      <c r="E1137" s="22" t="s">
        <v>7379</v>
      </c>
      <c r="F1137" s="9" t="s">
        <v>7786</v>
      </c>
      <c r="G1137" s="285" t="s">
        <v>101</v>
      </c>
      <c r="H1137" s="285" t="s">
        <v>5127</v>
      </c>
      <c r="I1137" s="289"/>
      <c r="J1137" s="285" t="s">
        <v>3136</v>
      </c>
      <c r="K1137" s="14">
        <v>43039</v>
      </c>
      <c r="L1137" s="285">
        <v>966</v>
      </c>
      <c r="M1137" s="15">
        <v>42991</v>
      </c>
      <c r="N1137" s="24">
        <v>1</v>
      </c>
      <c r="O1137" s="63">
        <v>17500</v>
      </c>
      <c r="P1137" s="63">
        <v>17500</v>
      </c>
      <c r="Q1137" s="40">
        <f t="shared" si="30"/>
        <v>0</v>
      </c>
      <c r="R1137" s="285" t="s">
        <v>970</v>
      </c>
      <c r="S1137" s="14">
        <v>42993</v>
      </c>
      <c r="T1137" s="22" t="s">
        <v>7779</v>
      </c>
    </row>
    <row r="1138" spans="1:20" ht="80.25" customHeight="1" x14ac:dyDescent="0.2">
      <c r="A1138" s="289">
        <v>1168</v>
      </c>
      <c r="B1138" s="289" t="s">
        <v>7783</v>
      </c>
      <c r="C1138" s="289"/>
      <c r="D1138" s="9" t="s">
        <v>7787</v>
      </c>
      <c r="E1138" s="22" t="s">
        <v>7379</v>
      </c>
      <c r="F1138" s="9" t="s">
        <v>7788</v>
      </c>
      <c r="G1138" s="285" t="s">
        <v>101</v>
      </c>
      <c r="H1138" s="285" t="s">
        <v>5127</v>
      </c>
      <c r="I1138" s="289"/>
      <c r="J1138" s="285" t="s">
        <v>3136</v>
      </c>
      <c r="K1138" s="14">
        <v>43039</v>
      </c>
      <c r="L1138" s="285">
        <v>966</v>
      </c>
      <c r="M1138" s="15">
        <v>42991</v>
      </c>
      <c r="N1138" s="24">
        <v>1</v>
      </c>
      <c r="O1138" s="63">
        <v>19500</v>
      </c>
      <c r="P1138" s="63">
        <v>19500</v>
      </c>
      <c r="Q1138" s="40">
        <f t="shared" ref="Q1138:Q1169" si="31">O1138-P1138</f>
        <v>0</v>
      </c>
      <c r="R1138" s="285" t="s">
        <v>970</v>
      </c>
      <c r="S1138" s="14">
        <v>42993</v>
      </c>
      <c r="T1138" s="22" t="s">
        <v>7779</v>
      </c>
    </row>
    <row r="1139" spans="1:20" ht="58.5" customHeight="1" x14ac:dyDescent="0.2">
      <c r="A1139" s="289">
        <v>1169</v>
      </c>
      <c r="B1139" s="289" t="s">
        <v>7784</v>
      </c>
      <c r="C1139" s="289"/>
      <c r="D1139" s="9" t="s">
        <v>7792</v>
      </c>
      <c r="E1139" s="22" t="s">
        <v>7379</v>
      </c>
      <c r="F1139" s="9" t="s">
        <v>7793</v>
      </c>
      <c r="G1139" s="285" t="s">
        <v>101</v>
      </c>
      <c r="H1139" s="285" t="s">
        <v>5127</v>
      </c>
      <c r="I1139" s="289"/>
      <c r="J1139" s="285" t="s">
        <v>3136</v>
      </c>
      <c r="K1139" s="14">
        <v>43039</v>
      </c>
      <c r="L1139" s="285">
        <v>966</v>
      </c>
      <c r="M1139" s="15">
        <v>42989</v>
      </c>
      <c r="N1139" s="24">
        <v>1</v>
      </c>
      <c r="O1139" s="63">
        <v>43046</v>
      </c>
      <c r="P1139" s="63">
        <v>43046</v>
      </c>
      <c r="Q1139" s="40">
        <f t="shared" si="31"/>
        <v>0</v>
      </c>
      <c r="R1139" s="285" t="s">
        <v>970</v>
      </c>
      <c r="S1139" s="14">
        <v>42993</v>
      </c>
      <c r="T1139" s="22" t="s">
        <v>7779</v>
      </c>
    </row>
    <row r="1140" spans="1:20" ht="45" customHeight="1" x14ac:dyDescent="0.2">
      <c r="A1140" s="289">
        <v>1170</v>
      </c>
      <c r="B1140" s="289" t="s">
        <v>7789</v>
      </c>
      <c r="C1140" s="289"/>
      <c r="D1140" s="9" t="s">
        <v>7795</v>
      </c>
      <c r="E1140" s="22" t="s">
        <v>7379</v>
      </c>
      <c r="F1140" s="9" t="s">
        <v>7794</v>
      </c>
      <c r="G1140" s="285" t="s">
        <v>101</v>
      </c>
      <c r="H1140" s="285" t="s">
        <v>5127</v>
      </c>
      <c r="I1140" s="289"/>
      <c r="J1140" s="285" t="s">
        <v>3136</v>
      </c>
      <c r="K1140" s="14">
        <v>43039</v>
      </c>
      <c r="L1140" s="285">
        <v>966</v>
      </c>
      <c r="M1140" s="15">
        <v>42989</v>
      </c>
      <c r="N1140" s="24">
        <v>1</v>
      </c>
      <c r="O1140" s="63">
        <v>6190</v>
      </c>
      <c r="P1140" s="63">
        <v>6190</v>
      </c>
      <c r="Q1140" s="40">
        <f t="shared" si="31"/>
        <v>0</v>
      </c>
      <c r="R1140" s="285" t="s">
        <v>970</v>
      </c>
      <c r="S1140" s="14">
        <v>42993</v>
      </c>
      <c r="T1140" s="22" t="s">
        <v>7779</v>
      </c>
    </row>
    <row r="1141" spans="1:20" ht="66" customHeight="1" x14ac:dyDescent="0.2">
      <c r="A1141" s="289">
        <v>1171</v>
      </c>
      <c r="B1141" s="289" t="s">
        <v>7790</v>
      </c>
      <c r="C1141" s="289"/>
      <c r="D1141" s="9" t="s">
        <v>7796</v>
      </c>
      <c r="E1141" s="22" t="s">
        <v>7379</v>
      </c>
      <c r="F1141" s="9" t="s">
        <v>7797</v>
      </c>
      <c r="G1141" s="285" t="s">
        <v>101</v>
      </c>
      <c r="H1141" s="285" t="s">
        <v>5127</v>
      </c>
      <c r="I1141" s="289"/>
      <c r="J1141" s="285" t="s">
        <v>3136</v>
      </c>
      <c r="K1141" s="14">
        <v>43039</v>
      </c>
      <c r="L1141" s="285">
        <v>966</v>
      </c>
      <c r="M1141" s="15">
        <v>42989</v>
      </c>
      <c r="N1141" s="24">
        <v>2</v>
      </c>
      <c r="O1141" s="63">
        <v>13980</v>
      </c>
      <c r="P1141" s="63">
        <v>13980</v>
      </c>
      <c r="Q1141" s="40">
        <f t="shared" si="31"/>
        <v>0</v>
      </c>
      <c r="R1141" s="285" t="s">
        <v>970</v>
      </c>
      <c r="S1141" s="14">
        <v>42993</v>
      </c>
      <c r="T1141" s="22" t="s">
        <v>7779</v>
      </c>
    </row>
    <row r="1142" spans="1:20" ht="46.5" customHeight="1" x14ac:dyDescent="0.2">
      <c r="A1142" s="289">
        <v>1172</v>
      </c>
      <c r="B1142" s="289" t="s">
        <v>7791</v>
      </c>
      <c r="C1142" s="289"/>
      <c r="D1142" s="9" t="s">
        <v>7809</v>
      </c>
      <c r="E1142" s="22" t="s">
        <v>7379</v>
      </c>
      <c r="F1142" s="9" t="s">
        <v>7798</v>
      </c>
      <c r="G1142" s="285" t="s">
        <v>101</v>
      </c>
      <c r="H1142" s="285" t="s">
        <v>5127</v>
      </c>
      <c r="I1142" s="289"/>
      <c r="J1142" s="285" t="s">
        <v>3136</v>
      </c>
      <c r="K1142" s="14">
        <v>43039</v>
      </c>
      <c r="L1142" s="285">
        <v>966</v>
      </c>
      <c r="M1142" s="15">
        <v>42989</v>
      </c>
      <c r="N1142" s="24">
        <v>1</v>
      </c>
      <c r="O1142" s="63">
        <v>29413</v>
      </c>
      <c r="P1142" s="63">
        <v>29413</v>
      </c>
      <c r="Q1142" s="40">
        <f t="shared" si="31"/>
        <v>0</v>
      </c>
      <c r="R1142" s="285" t="s">
        <v>970</v>
      </c>
      <c r="S1142" s="14">
        <v>42993</v>
      </c>
      <c r="T1142" s="22" t="s">
        <v>7779</v>
      </c>
    </row>
    <row r="1143" spans="1:20" ht="54" customHeight="1" x14ac:dyDescent="0.2">
      <c r="A1143" s="289">
        <v>1173</v>
      </c>
      <c r="B1143" s="289" t="s">
        <v>7799</v>
      </c>
      <c r="C1143" s="289"/>
      <c r="D1143" s="9" t="s">
        <v>7805</v>
      </c>
      <c r="E1143" s="22" t="s">
        <v>7379</v>
      </c>
      <c r="F1143" s="9" t="s">
        <v>7806</v>
      </c>
      <c r="G1143" s="285" t="s">
        <v>101</v>
      </c>
      <c r="H1143" s="285" t="s">
        <v>5127</v>
      </c>
      <c r="I1143" s="289"/>
      <c r="J1143" s="285" t="s">
        <v>3136</v>
      </c>
      <c r="K1143" s="14">
        <v>43039</v>
      </c>
      <c r="L1143" s="285">
        <v>966</v>
      </c>
      <c r="M1143" s="15">
        <v>42996</v>
      </c>
      <c r="N1143" s="24">
        <v>1</v>
      </c>
      <c r="O1143" s="63">
        <v>22990</v>
      </c>
      <c r="P1143" s="63">
        <v>22990</v>
      </c>
      <c r="Q1143" s="40">
        <f t="shared" si="31"/>
        <v>0</v>
      </c>
      <c r="R1143" s="285" t="s">
        <v>970</v>
      </c>
      <c r="S1143" s="14">
        <v>42993</v>
      </c>
      <c r="T1143" s="22" t="s">
        <v>7779</v>
      </c>
    </row>
    <row r="1144" spans="1:20" ht="52.5" customHeight="1" x14ac:dyDescent="0.2">
      <c r="A1144" s="289">
        <v>1174</v>
      </c>
      <c r="B1144" s="289" t="s">
        <v>7800</v>
      </c>
      <c r="C1144" s="289"/>
      <c r="D1144" s="9" t="s">
        <v>7807</v>
      </c>
      <c r="E1144" s="22" t="s">
        <v>7379</v>
      </c>
      <c r="F1144" s="9" t="s">
        <v>7808</v>
      </c>
      <c r="G1144" s="285" t="s">
        <v>101</v>
      </c>
      <c r="H1144" s="285" t="s">
        <v>5127</v>
      </c>
      <c r="I1144" s="289"/>
      <c r="J1144" s="285" t="s">
        <v>3136</v>
      </c>
      <c r="K1144" s="14">
        <v>43039</v>
      </c>
      <c r="L1144" s="285">
        <v>966</v>
      </c>
      <c r="M1144" s="15">
        <v>42996</v>
      </c>
      <c r="N1144" s="24">
        <v>2</v>
      </c>
      <c r="O1144" s="63">
        <v>47800</v>
      </c>
      <c r="P1144" s="63">
        <v>47800</v>
      </c>
      <c r="Q1144" s="40">
        <f t="shared" si="31"/>
        <v>0</v>
      </c>
      <c r="R1144" s="285" t="s">
        <v>970</v>
      </c>
      <c r="S1144" s="14">
        <v>42993</v>
      </c>
      <c r="T1144" s="22" t="s">
        <v>7779</v>
      </c>
    </row>
    <row r="1145" spans="1:20" ht="53.25" customHeight="1" x14ac:dyDescent="0.2">
      <c r="A1145" s="289">
        <v>1175</v>
      </c>
      <c r="B1145" s="289" t="s">
        <v>7801</v>
      </c>
      <c r="C1145" s="289"/>
      <c r="D1145" s="9" t="s">
        <v>7810</v>
      </c>
      <c r="E1145" s="22" t="s">
        <v>7379</v>
      </c>
      <c r="F1145" s="9" t="s">
        <v>7812</v>
      </c>
      <c r="G1145" s="285" t="s">
        <v>101</v>
      </c>
      <c r="H1145" s="285" t="s">
        <v>5127</v>
      </c>
      <c r="I1145" s="289"/>
      <c r="J1145" s="285" t="s">
        <v>3136</v>
      </c>
      <c r="K1145" s="14">
        <v>43039</v>
      </c>
      <c r="L1145" s="285">
        <v>966</v>
      </c>
      <c r="M1145" s="15">
        <v>42996</v>
      </c>
      <c r="N1145" s="24">
        <v>1</v>
      </c>
      <c r="O1145" s="63">
        <v>21900</v>
      </c>
      <c r="P1145" s="63">
        <v>21900</v>
      </c>
      <c r="Q1145" s="40">
        <f t="shared" si="31"/>
        <v>0</v>
      </c>
      <c r="R1145" s="285" t="s">
        <v>970</v>
      </c>
      <c r="S1145" s="14">
        <v>42993</v>
      </c>
      <c r="T1145" s="22" t="s">
        <v>7779</v>
      </c>
    </row>
    <row r="1146" spans="1:20" ht="68.25" customHeight="1" x14ac:dyDescent="0.2">
      <c r="A1146" s="289">
        <v>1176</v>
      </c>
      <c r="B1146" s="289" t="s">
        <v>7802</v>
      </c>
      <c r="C1146" s="289"/>
      <c r="D1146" s="9" t="s">
        <v>7811</v>
      </c>
      <c r="E1146" s="22" t="s">
        <v>7379</v>
      </c>
      <c r="F1146" s="9" t="s">
        <v>7813</v>
      </c>
      <c r="G1146" s="285" t="s">
        <v>101</v>
      </c>
      <c r="H1146" s="285" t="s">
        <v>5127</v>
      </c>
      <c r="I1146" s="289"/>
      <c r="J1146" s="285" t="s">
        <v>3136</v>
      </c>
      <c r="K1146" s="14">
        <v>43039</v>
      </c>
      <c r="L1146" s="285">
        <v>966</v>
      </c>
      <c r="M1146" s="15">
        <v>42993</v>
      </c>
      <c r="N1146" s="24">
        <v>3</v>
      </c>
      <c r="O1146" s="63">
        <f>3229+4794+3800</f>
        <v>11823</v>
      </c>
      <c r="P1146" s="63">
        <f>O1146</f>
        <v>11823</v>
      </c>
      <c r="Q1146" s="40">
        <f t="shared" si="31"/>
        <v>0</v>
      </c>
      <c r="R1146" s="285" t="s">
        <v>970</v>
      </c>
      <c r="S1146" s="14">
        <v>42993</v>
      </c>
      <c r="T1146" s="22" t="s">
        <v>7779</v>
      </c>
    </row>
    <row r="1147" spans="1:20" ht="46.5" customHeight="1" x14ac:dyDescent="0.2">
      <c r="A1147" s="289">
        <v>1177</v>
      </c>
      <c r="B1147" s="289" t="s">
        <v>7803</v>
      </c>
      <c r="C1147" s="289"/>
      <c r="D1147" s="9" t="s">
        <v>7814</v>
      </c>
      <c r="E1147" s="22" t="s">
        <v>7379</v>
      </c>
      <c r="F1147" s="9" t="s">
        <v>7815</v>
      </c>
      <c r="G1147" s="285" t="s">
        <v>101</v>
      </c>
      <c r="H1147" s="285" t="s">
        <v>5127</v>
      </c>
      <c r="I1147" s="289"/>
      <c r="J1147" s="285" t="s">
        <v>3136</v>
      </c>
      <c r="K1147" s="14">
        <v>43039</v>
      </c>
      <c r="L1147" s="285">
        <v>966</v>
      </c>
      <c r="M1147" s="15">
        <v>42993</v>
      </c>
      <c r="N1147" s="24">
        <v>1</v>
      </c>
      <c r="O1147" s="63">
        <v>36625</v>
      </c>
      <c r="P1147" s="63">
        <v>36625</v>
      </c>
      <c r="Q1147" s="40">
        <f t="shared" si="31"/>
        <v>0</v>
      </c>
      <c r="R1147" s="285" t="s">
        <v>970</v>
      </c>
      <c r="S1147" s="14">
        <v>42993</v>
      </c>
      <c r="T1147" s="22" t="s">
        <v>7779</v>
      </c>
    </row>
    <row r="1148" spans="1:20" ht="46.5" customHeight="1" x14ac:dyDescent="0.2">
      <c r="A1148" s="289">
        <v>1178</v>
      </c>
      <c r="B1148" s="289" t="s">
        <v>7804</v>
      </c>
      <c r="C1148" s="289"/>
      <c r="D1148" s="9" t="s">
        <v>7816</v>
      </c>
      <c r="E1148" s="22" t="s">
        <v>7379</v>
      </c>
      <c r="F1148" s="9" t="s">
        <v>7817</v>
      </c>
      <c r="G1148" s="285" t="s">
        <v>101</v>
      </c>
      <c r="H1148" s="285" t="s">
        <v>5127</v>
      </c>
      <c r="I1148" s="289"/>
      <c r="J1148" s="285" t="s">
        <v>3136</v>
      </c>
      <c r="K1148" s="14">
        <v>43039</v>
      </c>
      <c r="L1148" s="285">
        <v>966</v>
      </c>
      <c r="M1148" s="15">
        <v>42993</v>
      </c>
      <c r="N1148" s="24">
        <v>1</v>
      </c>
      <c r="O1148" s="63">
        <v>39460</v>
      </c>
      <c r="P1148" s="63">
        <v>39460</v>
      </c>
      <c r="Q1148" s="40">
        <f t="shared" si="31"/>
        <v>0</v>
      </c>
      <c r="R1148" s="285" t="s">
        <v>970</v>
      </c>
      <c r="S1148" s="14">
        <v>42993</v>
      </c>
      <c r="T1148" s="22" t="s">
        <v>7779</v>
      </c>
    </row>
    <row r="1149" spans="1:20" ht="69.75" customHeight="1" x14ac:dyDescent="0.2">
      <c r="A1149" s="289">
        <v>1179</v>
      </c>
      <c r="B1149" s="289" t="s">
        <v>7831</v>
      </c>
      <c r="C1149" s="289"/>
      <c r="D1149" s="9" t="s">
        <v>6174</v>
      </c>
      <c r="E1149" s="22" t="s">
        <v>7379</v>
      </c>
      <c r="F1149" s="9" t="s">
        <v>7834</v>
      </c>
      <c r="G1149" s="285" t="s">
        <v>7983</v>
      </c>
      <c r="H1149" s="285" t="s">
        <v>5127</v>
      </c>
      <c r="I1149" s="289"/>
      <c r="J1149" s="285" t="s">
        <v>3136</v>
      </c>
      <c r="K1149" s="14">
        <v>43067</v>
      </c>
      <c r="L1149" s="285">
        <v>1045</v>
      </c>
      <c r="M1149" s="15">
        <v>43055</v>
      </c>
      <c r="N1149" s="24">
        <v>1</v>
      </c>
      <c r="O1149" s="63">
        <v>10158</v>
      </c>
      <c r="P1149" s="63">
        <v>10158</v>
      </c>
      <c r="Q1149" s="40">
        <f t="shared" si="31"/>
        <v>0</v>
      </c>
      <c r="R1149" s="285" t="s">
        <v>7630</v>
      </c>
      <c r="S1149" s="14">
        <v>43052</v>
      </c>
      <c r="T1149" s="22" t="s">
        <v>7833</v>
      </c>
    </row>
    <row r="1150" spans="1:20" ht="110.25" customHeight="1" x14ac:dyDescent="0.2">
      <c r="A1150" s="289">
        <v>1180</v>
      </c>
      <c r="B1150" s="289" t="s">
        <v>7832</v>
      </c>
      <c r="C1150" s="289"/>
      <c r="D1150" s="9" t="s">
        <v>4502</v>
      </c>
      <c r="E1150" s="22" t="s">
        <v>7379</v>
      </c>
      <c r="F1150" s="9" t="s">
        <v>7835</v>
      </c>
      <c r="G1150" s="285" t="s">
        <v>7983</v>
      </c>
      <c r="H1150" s="285" t="s">
        <v>5127</v>
      </c>
      <c r="I1150" s="289"/>
      <c r="J1150" s="285" t="s">
        <v>3136</v>
      </c>
      <c r="K1150" s="14">
        <v>43067</v>
      </c>
      <c r="L1150" s="285">
        <v>1045</v>
      </c>
      <c r="M1150" s="15">
        <v>43054</v>
      </c>
      <c r="N1150" s="24">
        <v>2</v>
      </c>
      <c r="O1150" s="63">
        <f>3740+3740</f>
        <v>7480</v>
      </c>
      <c r="P1150" s="63">
        <f>3740+3740</f>
        <v>7480</v>
      </c>
      <c r="Q1150" s="40">
        <f t="shared" si="31"/>
        <v>0</v>
      </c>
      <c r="R1150" s="285" t="s">
        <v>7630</v>
      </c>
      <c r="S1150" s="14">
        <v>43048</v>
      </c>
      <c r="T1150" s="22" t="s">
        <v>7836</v>
      </c>
    </row>
    <row r="1151" spans="1:20" ht="110.25" customHeight="1" x14ac:dyDescent="0.2">
      <c r="A1151" s="289">
        <v>1181</v>
      </c>
      <c r="B1151" s="289" t="s">
        <v>7841</v>
      </c>
      <c r="C1151" s="289"/>
      <c r="D1151" s="9" t="s">
        <v>7842</v>
      </c>
      <c r="E1151" s="22" t="s">
        <v>7379</v>
      </c>
      <c r="F1151" s="9"/>
      <c r="G1151" s="285" t="s">
        <v>515</v>
      </c>
      <c r="H1151" s="285" t="s">
        <v>5127</v>
      </c>
      <c r="I1151" s="289"/>
      <c r="J1151" s="285" t="s">
        <v>3136</v>
      </c>
      <c r="K1151" s="14">
        <v>43073</v>
      </c>
      <c r="L1151" s="285">
        <v>1060</v>
      </c>
      <c r="M1151" s="15">
        <v>42969</v>
      </c>
      <c r="N1151" s="24">
        <v>50</v>
      </c>
      <c r="O1151" s="63">
        <v>5971</v>
      </c>
      <c r="P1151" s="63">
        <v>5971</v>
      </c>
      <c r="Q1151" s="40">
        <f t="shared" si="31"/>
        <v>0</v>
      </c>
      <c r="R1151" s="285" t="s">
        <v>412</v>
      </c>
      <c r="S1151" s="14">
        <v>43025</v>
      </c>
      <c r="T1151" s="22" t="s">
        <v>1029</v>
      </c>
    </row>
    <row r="1152" spans="1:20" ht="72" customHeight="1" x14ac:dyDescent="0.2">
      <c r="A1152" s="289">
        <v>1182</v>
      </c>
      <c r="B1152" s="289" t="s">
        <v>7847</v>
      </c>
      <c r="C1152" s="289"/>
      <c r="D1152" s="9" t="s">
        <v>7848</v>
      </c>
      <c r="E1152" s="22" t="s">
        <v>7379</v>
      </c>
      <c r="F1152" s="9" t="s">
        <v>7849</v>
      </c>
      <c r="G1152" s="285" t="s">
        <v>4946</v>
      </c>
      <c r="H1152" s="285" t="s">
        <v>5127</v>
      </c>
      <c r="I1152" s="289"/>
      <c r="J1152" s="285" t="s">
        <v>3136</v>
      </c>
      <c r="K1152" s="14">
        <v>43080</v>
      </c>
      <c r="L1152" s="285">
        <v>1075</v>
      </c>
      <c r="M1152" s="15">
        <v>43062</v>
      </c>
      <c r="N1152" s="24">
        <v>1</v>
      </c>
      <c r="O1152" s="63">
        <v>7000</v>
      </c>
      <c r="P1152" s="63">
        <v>7000</v>
      </c>
      <c r="Q1152" s="40">
        <f t="shared" si="31"/>
        <v>0</v>
      </c>
      <c r="R1152" s="285" t="s">
        <v>3418</v>
      </c>
      <c r="S1152" s="14">
        <v>43062</v>
      </c>
      <c r="T1152" s="22" t="s">
        <v>7850</v>
      </c>
    </row>
    <row r="1153" spans="1:20" ht="110.25" customHeight="1" x14ac:dyDescent="0.2">
      <c r="A1153" s="289">
        <v>1183</v>
      </c>
      <c r="B1153" s="289" t="s">
        <v>7875</v>
      </c>
      <c r="C1153" s="289"/>
      <c r="D1153" s="9" t="s">
        <v>7879</v>
      </c>
      <c r="E1153" s="22" t="s">
        <v>7379</v>
      </c>
      <c r="F1153" s="9" t="s">
        <v>7880</v>
      </c>
      <c r="G1153" s="285" t="s">
        <v>7846</v>
      </c>
      <c r="H1153" s="285" t="s">
        <v>5127</v>
      </c>
      <c r="I1153" s="289"/>
      <c r="J1153" s="285" t="s">
        <v>3136</v>
      </c>
      <c r="K1153" s="14">
        <v>43080</v>
      </c>
      <c r="L1153" s="285">
        <v>1099</v>
      </c>
      <c r="M1153" s="15">
        <v>43055</v>
      </c>
      <c r="N1153" s="24">
        <v>1</v>
      </c>
      <c r="O1153" s="63">
        <v>12285</v>
      </c>
      <c r="P1153" s="63">
        <v>12285</v>
      </c>
      <c r="Q1153" s="40">
        <f t="shared" si="31"/>
        <v>0</v>
      </c>
      <c r="R1153" s="285" t="s">
        <v>3418</v>
      </c>
      <c r="S1153" s="14">
        <v>43055</v>
      </c>
      <c r="T1153" s="22" t="s">
        <v>7881</v>
      </c>
    </row>
    <row r="1154" spans="1:20" ht="110.25" customHeight="1" x14ac:dyDescent="0.2">
      <c r="A1154" s="289">
        <v>1184</v>
      </c>
      <c r="B1154" s="289" t="s">
        <v>7876</v>
      </c>
      <c r="C1154" s="289"/>
      <c r="D1154" s="9" t="s">
        <v>7879</v>
      </c>
      <c r="E1154" s="22" t="s">
        <v>7379</v>
      </c>
      <c r="F1154" s="9" t="s">
        <v>7882</v>
      </c>
      <c r="G1154" s="285" t="s">
        <v>7846</v>
      </c>
      <c r="H1154" s="285" t="s">
        <v>5127</v>
      </c>
      <c r="I1154" s="289"/>
      <c r="J1154" s="285" t="s">
        <v>3136</v>
      </c>
      <c r="K1154" s="14">
        <v>43080</v>
      </c>
      <c r="L1154" s="285">
        <v>1099</v>
      </c>
      <c r="M1154" s="15">
        <v>43055</v>
      </c>
      <c r="N1154" s="24">
        <v>1</v>
      </c>
      <c r="O1154" s="63">
        <v>8774</v>
      </c>
      <c r="P1154" s="63">
        <v>8774</v>
      </c>
      <c r="Q1154" s="40">
        <f t="shared" si="31"/>
        <v>0</v>
      </c>
      <c r="R1154" s="285" t="s">
        <v>3418</v>
      </c>
      <c r="S1154" s="14">
        <v>43055</v>
      </c>
      <c r="T1154" s="22" t="s">
        <v>7881</v>
      </c>
    </row>
    <row r="1155" spans="1:20" ht="66.75" customHeight="1" x14ac:dyDescent="0.2">
      <c r="A1155" s="289">
        <v>1185</v>
      </c>
      <c r="B1155" s="289" t="s">
        <v>7877</v>
      </c>
      <c r="C1155" s="289"/>
      <c r="D1155" s="9" t="s">
        <v>7879</v>
      </c>
      <c r="E1155" s="22" t="s">
        <v>7379</v>
      </c>
      <c r="F1155" s="9" t="s">
        <v>7883</v>
      </c>
      <c r="G1155" s="285" t="s">
        <v>7846</v>
      </c>
      <c r="H1155" s="285" t="s">
        <v>5127</v>
      </c>
      <c r="I1155" s="289"/>
      <c r="J1155" s="285" t="s">
        <v>3136</v>
      </c>
      <c r="K1155" s="14">
        <v>43080</v>
      </c>
      <c r="L1155" s="285">
        <v>1099</v>
      </c>
      <c r="M1155" s="15">
        <v>43055</v>
      </c>
      <c r="N1155" s="24">
        <v>3</v>
      </c>
      <c r="O1155" s="63">
        <v>20622</v>
      </c>
      <c r="P1155" s="63">
        <v>20622</v>
      </c>
      <c r="Q1155" s="40">
        <f t="shared" si="31"/>
        <v>0</v>
      </c>
      <c r="R1155" s="285" t="s">
        <v>3418</v>
      </c>
      <c r="S1155" s="14">
        <v>43055</v>
      </c>
      <c r="T1155" s="22" t="s">
        <v>7881</v>
      </c>
    </row>
    <row r="1156" spans="1:20" ht="69" customHeight="1" x14ac:dyDescent="0.2">
      <c r="A1156" s="289">
        <v>1186</v>
      </c>
      <c r="B1156" s="289" t="s">
        <v>7878</v>
      </c>
      <c r="C1156" s="289"/>
      <c r="D1156" s="9" t="s">
        <v>7884</v>
      </c>
      <c r="E1156" s="22" t="s">
        <v>7379</v>
      </c>
      <c r="F1156" s="9" t="s">
        <v>7885</v>
      </c>
      <c r="G1156" s="285" t="s">
        <v>7846</v>
      </c>
      <c r="H1156" s="285" t="s">
        <v>5127</v>
      </c>
      <c r="I1156" s="289"/>
      <c r="J1156" s="285" t="s">
        <v>3136</v>
      </c>
      <c r="K1156" s="14">
        <v>43080</v>
      </c>
      <c r="L1156" s="285">
        <v>1099</v>
      </c>
      <c r="M1156" s="15">
        <v>43055</v>
      </c>
      <c r="N1156" s="24">
        <v>7</v>
      </c>
      <c r="O1156" s="63">
        <v>21049</v>
      </c>
      <c r="P1156" s="63">
        <v>21049</v>
      </c>
      <c r="Q1156" s="40">
        <f t="shared" si="31"/>
        <v>0</v>
      </c>
      <c r="R1156" s="285" t="s">
        <v>3418</v>
      </c>
      <c r="S1156" s="14">
        <v>43055</v>
      </c>
      <c r="T1156" s="22" t="s">
        <v>7881</v>
      </c>
    </row>
    <row r="1157" spans="1:20" ht="110.25" customHeight="1" x14ac:dyDescent="0.2">
      <c r="A1157" s="289">
        <v>1187</v>
      </c>
      <c r="B1157" s="289" t="s">
        <v>7905</v>
      </c>
      <c r="C1157" s="289"/>
      <c r="D1157" s="9" t="s">
        <v>4502</v>
      </c>
      <c r="E1157" s="22" t="s">
        <v>7379</v>
      </c>
      <c r="F1157" s="9" t="s">
        <v>7906</v>
      </c>
      <c r="G1157" s="285" t="s">
        <v>7983</v>
      </c>
      <c r="H1157" s="285" t="s">
        <v>5127</v>
      </c>
      <c r="I1157" s="289"/>
      <c r="J1157" s="285" t="s">
        <v>3136</v>
      </c>
      <c r="K1157" s="14">
        <v>43080</v>
      </c>
      <c r="L1157" s="285">
        <v>1088</v>
      </c>
      <c r="M1157" s="15">
        <v>43068</v>
      </c>
      <c r="N1157" s="24">
        <v>2</v>
      </c>
      <c r="O1157" s="63">
        <v>7580</v>
      </c>
      <c r="P1157" s="63">
        <v>7580</v>
      </c>
      <c r="Q1157" s="40">
        <f t="shared" si="31"/>
        <v>0</v>
      </c>
      <c r="R1157" s="285" t="s">
        <v>7155</v>
      </c>
      <c r="S1157" s="14">
        <v>43066</v>
      </c>
      <c r="T1157" s="22" t="s">
        <v>7907</v>
      </c>
    </row>
    <row r="1158" spans="1:20" ht="36" customHeight="1" x14ac:dyDescent="0.2">
      <c r="A1158" s="289">
        <v>1188</v>
      </c>
      <c r="B1158" s="289" t="s">
        <v>7908</v>
      </c>
      <c r="C1158" s="289"/>
      <c r="D1158" s="9" t="s">
        <v>7909</v>
      </c>
      <c r="E1158" s="22" t="s">
        <v>7379</v>
      </c>
      <c r="F1158" s="9" t="s">
        <v>7910</v>
      </c>
      <c r="G1158" s="285" t="s">
        <v>7917</v>
      </c>
      <c r="H1158" s="285" t="s">
        <v>5127</v>
      </c>
      <c r="I1158" s="289"/>
      <c r="J1158" s="285" t="s">
        <v>3136</v>
      </c>
      <c r="K1158" s="14">
        <v>43080</v>
      </c>
      <c r="L1158" s="285">
        <v>1082</v>
      </c>
      <c r="M1158" s="15">
        <v>43074</v>
      </c>
      <c r="N1158" s="24">
        <v>1</v>
      </c>
      <c r="O1158" s="63">
        <v>20000</v>
      </c>
      <c r="P1158" s="63">
        <v>20000</v>
      </c>
      <c r="Q1158" s="40">
        <f t="shared" si="31"/>
        <v>0</v>
      </c>
      <c r="R1158" s="285" t="s">
        <v>7381</v>
      </c>
      <c r="S1158" s="14">
        <v>43033</v>
      </c>
      <c r="T1158" s="22" t="s">
        <v>1029</v>
      </c>
    </row>
    <row r="1159" spans="1:20" ht="86.25" customHeight="1" x14ac:dyDescent="0.2">
      <c r="A1159" s="289">
        <v>1189</v>
      </c>
      <c r="B1159" s="289" t="s">
        <v>7937</v>
      </c>
      <c r="C1159" s="289"/>
      <c r="D1159" s="9" t="s">
        <v>7939</v>
      </c>
      <c r="E1159" s="22" t="s">
        <v>7379</v>
      </c>
      <c r="F1159" s="9" t="s">
        <v>7941</v>
      </c>
      <c r="G1159" s="285" t="s">
        <v>7934</v>
      </c>
      <c r="H1159" s="285" t="s">
        <v>5127</v>
      </c>
      <c r="I1159" s="289"/>
      <c r="J1159" s="285" t="s">
        <v>3136</v>
      </c>
      <c r="K1159" s="14">
        <v>43095</v>
      </c>
      <c r="L1159" s="285">
        <v>1176</v>
      </c>
      <c r="M1159" s="15">
        <v>43079</v>
      </c>
      <c r="N1159" s="24">
        <v>4</v>
      </c>
      <c r="O1159" s="63">
        <v>51016</v>
      </c>
      <c r="P1159" s="63">
        <v>51016</v>
      </c>
      <c r="Q1159" s="40">
        <f t="shared" si="31"/>
        <v>0</v>
      </c>
      <c r="R1159" s="285" t="s">
        <v>5110</v>
      </c>
      <c r="S1159" s="14">
        <v>43068</v>
      </c>
      <c r="T1159" s="22" t="s">
        <v>7943</v>
      </c>
    </row>
    <row r="1160" spans="1:20" ht="66" customHeight="1" x14ac:dyDescent="0.2">
      <c r="A1160" s="289">
        <v>1190</v>
      </c>
      <c r="B1160" s="289" t="s">
        <v>7938</v>
      </c>
      <c r="C1160" s="289"/>
      <c r="D1160" s="9" t="s">
        <v>7940</v>
      </c>
      <c r="E1160" s="22" t="s">
        <v>7379</v>
      </c>
      <c r="F1160" s="9" t="s">
        <v>7942</v>
      </c>
      <c r="G1160" s="285" t="s">
        <v>7934</v>
      </c>
      <c r="H1160" s="285" t="s">
        <v>5127</v>
      </c>
      <c r="I1160" s="289"/>
      <c r="J1160" s="285" t="s">
        <v>3136</v>
      </c>
      <c r="K1160" s="14">
        <v>43095</v>
      </c>
      <c r="L1160" s="285">
        <v>1176</v>
      </c>
      <c r="M1160" s="15">
        <v>43079</v>
      </c>
      <c r="N1160" s="24">
        <v>4</v>
      </c>
      <c r="O1160" s="63">
        <v>24676</v>
      </c>
      <c r="P1160" s="63">
        <v>24676</v>
      </c>
      <c r="Q1160" s="40">
        <f t="shared" si="31"/>
        <v>0</v>
      </c>
      <c r="R1160" s="285" t="s">
        <v>5110</v>
      </c>
      <c r="S1160" s="14">
        <v>43068</v>
      </c>
      <c r="T1160" s="22" t="s">
        <v>7943</v>
      </c>
    </row>
    <row r="1161" spans="1:20" ht="56.25" customHeight="1" x14ac:dyDescent="0.2">
      <c r="A1161" s="289">
        <v>1191</v>
      </c>
      <c r="B1161" s="289" t="s">
        <v>7948</v>
      </c>
      <c r="C1161" s="289"/>
      <c r="D1161" s="9" t="s">
        <v>7949</v>
      </c>
      <c r="E1161" s="22" t="s">
        <v>7379</v>
      </c>
      <c r="F1161" s="9" t="s">
        <v>7950</v>
      </c>
      <c r="G1161" s="285" t="s">
        <v>7980</v>
      </c>
      <c r="H1161" s="285" t="s">
        <v>5127</v>
      </c>
      <c r="I1161" s="289"/>
      <c r="J1161" s="285" t="s">
        <v>3136</v>
      </c>
      <c r="K1161" s="14">
        <v>43096</v>
      </c>
      <c r="L1161" s="285">
        <v>1180</v>
      </c>
      <c r="M1161" s="15">
        <v>43082</v>
      </c>
      <c r="N1161" s="24">
        <v>1</v>
      </c>
      <c r="O1161" s="63">
        <v>20299</v>
      </c>
      <c r="P1161" s="63">
        <v>20299</v>
      </c>
      <c r="Q1161" s="40">
        <f t="shared" si="31"/>
        <v>0</v>
      </c>
      <c r="R1161" s="285" t="s">
        <v>5110</v>
      </c>
      <c r="S1161" s="14">
        <v>43068</v>
      </c>
      <c r="T1161" s="22" t="s">
        <v>7943</v>
      </c>
    </row>
    <row r="1162" spans="1:20" ht="66" customHeight="1" x14ac:dyDescent="0.2">
      <c r="A1162" s="289">
        <v>1192</v>
      </c>
      <c r="B1162" s="289" t="s">
        <v>7968</v>
      </c>
      <c r="C1162" s="289"/>
      <c r="D1162" s="9" t="s">
        <v>7969</v>
      </c>
      <c r="E1162" s="22" t="s">
        <v>7379</v>
      </c>
      <c r="F1162" s="9" t="s">
        <v>7970</v>
      </c>
      <c r="G1162" s="285" t="s">
        <v>7983</v>
      </c>
      <c r="H1162" s="285" t="s">
        <v>5127</v>
      </c>
      <c r="I1162" s="289"/>
      <c r="J1162" s="285" t="s">
        <v>3136</v>
      </c>
      <c r="K1162" s="14">
        <v>43098</v>
      </c>
      <c r="L1162" s="285">
        <v>1194</v>
      </c>
      <c r="M1162" s="15">
        <v>43096</v>
      </c>
      <c r="N1162" s="24">
        <v>4</v>
      </c>
      <c r="O1162" s="63">
        <v>20000</v>
      </c>
      <c r="P1162" s="63">
        <v>20000</v>
      </c>
      <c r="Q1162" s="40">
        <f t="shared" si="31"/>
        <v>0</v>
      </c>
      <c r="R1162" s="285" t="s">
        <v>7155</v>
      </c>
      <c r="S1162" s="14">
        <v>43096</v>
      </c>
      <c r="T1162" s="22" t="s">
        <v>7971</v>
      </c>
    </row>
    <row r="1163" spans="1:20" ht="117" customHeight="1" x14ac:dyDescent="0.2">
      <c r="A1163" s="289">
        <v>1193</v>
      </c>
      <c r="B1163" s="289" t="s">
        <v>8294</v>
      </c>
      <c r="C1163" s="289"/>
      <c r="D1163" s="9" t="s">
        <v>7972</v>
      </c>
      <c r="E1163" s="22" t="s">
        <v>7379</v>
      </c>
      <c r="F1163" s="9" t="s">
        <v>7973</v>
      </c>
      <c r="G1163" s="285" t="s">
        <v>8293</v>
      </c>
      <c r="H1163" s="285" t="s">
        <v>5127</v>
      </c>
      <c r="I1163" s="289"/>
      <c r="J1163" s="285" t="s">
        <v>3136</v>
      </c>
      <c r="K1163" s="14">
        <v>43098</v>
      </c>
      <c r="L1163" s="285">
        <v>1198</v>
      </c>
      <c r="M1163" s="15">
        <v>42979</v>
      </c>
      <c r="N1163" s="24">
        <v>1</v>
      </c>
      <c r="O1163" s="63">
        <v>1375313.84</v>
      </c>
      <c r="P1163" s="63">
        <v>1375313.84</v>
      </c>
      <c r="Q1163" s="40">
        <f t="shared" si="31"/>
        <v>0</v>
      </c>
      <c r="R1163" s="285" t="s">
        <v>5303</v>
      </c>
      <c r="S1163" s="14" t="s">
        <v>7974</v>
      </c>
      <c r="T1163" s="22" t="s">
        <v>7975</v>
      </c>
    </row>
    <row r="1164" spans="1:20" ht="117" customHeight="1" x14ac:dyDescent="0.2">
      <c r="A1164" s="289">
        <v>1194</v>
      </c>
      <c r="B1164" s="289" t="s">
        <v>7992</v>
      </c>
      <c r="C1164" s="289"/>
      <c r="D1164" s="9" t="s">
        <v>7633</v>
      </c>
      <c r="E1164" s="22" t="s">
        <v>7379</v>
      </c>
      <c r="F1164" s="9" t="s">
        <v>7993</v>
      </c>
      <c r="G1164" s="285" t="s">
        <v>9194</v>
      </c>
      <c r="H1164" s="285" t="s">
        <v>5127</v>
      </c>
      <c r="I1164" s="289"/>
      <c r="J1164" s="285" t="s">
        <v>3136</v>
      </c>
      <c r="K1164" s="14">
        <v>43119</v>
      </c>
      <c r="L1164" s="285">
        <v>32</v>
      </c>
      <c r="M1164" s="15">
        <v>43096</v>
      </c>
      <c r="N1164" s="24">
        <v>1</v>
      </c>
      <c r="O1164" s="63">
        <v>4900</v>
      </c>
      <c r="P1164" s="63">
        <v>4900</v>
      </c>
      <c r="Q1164" s="40">
        <f t="shared" si="31"/>
        <v>0</v>
      </c>
      <c r="R1164" s="285" t="s">
        <v>970</v>
      </c>
      <c r="S1164" s="14">
        <v>43096</v>
      </c>
      <c r="T1164" s="22" t="s">
        <v>7994</v>
      </c>
    </row>
    <row r="1165" spans="1:20" ht="37.5" customHeight="1" x14ac:dyDescent="0.2">
      <c r="A1165" s="289">
        <v>1195</v>
      </c>
      <c r="B1165" s="289" t="s">
        <v>7995</v>
      </c>
      <c r="C1165" s="289"/>
      <c r="D1165" s="9" t="s">
        <v>7998</v>
      </c>
      <c r="E1165" s="22" t="s">
        <v>7379</v>
      </c>
      <c r="F1165" s="9" t="s">
        <v>8000</v>
      </c>
      <c r="G1165" s="285" t="s">
        <v>101</v>
      </c>
      <c r="H1165" s="285" t="s">
        <v>5127</v>
      </c>
      <c r="I1165" s="289"/>
      <c r="J1165" s="285" t="s">
        <v>3136</v>
      </c>
      <c r="K1165" s="14">
        <v>43122</v>
      </c>
      <c r="L1165" s="285">
        <v>37</v>
      </c>
      <c r="M1165" s="15">
        <v>43073</v>
      </c>
      <c r="N1165" s="24">
        <v>4</v>
      </c>
      <c r="O1165" s="63">
        <v>17200</v>
      </c>
      <c r="P1165" s="63">
        <v>17200</v>
      </c>
      <c r="Q1165" s="40">
        <f t="shared" si="31"/>
        <v>0</v>
      </c>
      <c r="R1165" s="285" t="s">
        <v>970</v>
      </c>
      <c r="S1165" s="14">
        <v>42997</v>
      </c>
      <c r="T1165" s="22" t="s">
        <v>7999</v>
      </c>
    </row>
    <row r="1166" spans="1:20" ht="41.25" customHeight="1" x14ac:dyDescent="0.2">
      <c r="A1166" s="289">
        <v>1196</v>
      </c>
      <c r="B1166" s="289" t="s">
        <v>7996</v>
      </c>
      <c r="C1166" s="289"/>
      <c r="D1166" s="9" t="s">
        <v>8001</v>
      </c>
      <c r="E1166" s="22" t="s">
        <v>7379</v>
      </c>
      <c r="F1166" s="9" t="s">
        <v>8002</v>
      </c>
      <c r="G1166" s="285" t="s">
        <v>101</v>
      </c>
      <c r="H1166" s="285" t="s">
        <v>5127</v>
      </c>
      <c r="I1166" s="289"/>
      <c r="J1166" s="285" t="s">
        <v>3136</v>
      </c>
      <c r="K1166" s="14">
        <v>43122</v>
      </c>
      <c r="L1166" s="285">
        <v>37</v>
      </c>
      <c r="M1166" s="15">
        <v>43073</v>
      </c>
      <c r="N1166" s="24">
        <v>10</v>
      </c>
      <c r="O1166" s="63">
        <v>37900</v>
      </c>
      <c r="P1166" s="63">
        <v>37900</v>
      </c>
      <c r="Q1166" s="40">
        <f t="shared" si="31"/>
        <v>0</v>
      </c>
      <c r="R1166" s="285" t="s">
        <v>970</v>
      </c>
      <c r="S1166" s="14">
        <v>42997</v>
      </c>
      <c r="T1166" s="22" t="s">
        <v>7999</v>
      </c>
    </row>
    <row r="1167" spans="1:20" ht="37.5" customHeight="1" x14ac:dyDescent="0.2">
      <c r="A1167" s="289">
        <v>1197</v>
      </c>
      <c r="B1167" s="289" t="s">
        <v>7997</v>
      </c>
      <c r="C1167" s="289"/>
      <c r="D1167" s="9" t="s">
        <v>8003</v>
      </c>
      <c r="E1167" s="22" t="s">
        <v>7379</v>
      </c>
      <c r="F1167" s="9" t="s">
        <v>8004</v>
      </c>
      <c r="G1167" s="285" t="s">
        <v>101</v>
      </c>
      <c r="H1167" s="285" t="s">
        <v>5127</v>
      </c>
      <c r="I1167" s="289"/>
      <c r="J1167" s="285" t="s">
        <v>3136</v>
      </c>
      <c r="K1167" s="14">
        <v>43122</v>
      </c>
      <c r="L1167" s="285">
        <v>37</v>
      </c>
      <c r="M1167" s="15">
        <v>43073</v>
      </c>
      <c r="N1167" s="24">
        <v>1</v>
      </c>
      <c r="O1167" s="63">
        <v>15988</v>
      </c>
      <c r="P1167" s="63">
        <v>15988</v>
      </c>
      <c r="Q1167" s="40">
        <f t="shared" si="31"/>
        <v>0</v>
      </c>
      <c r="R1167" s="285" t="s">
        <v>970</v>
      </c>
      <c r="S1167" s="14">
        <v>42997</v>
      </c>
      <c r="T1167" s="22" t="s">
        <v>7999</v>
      </c>
    </row>
    <row r="1168" spans="1:20" ht="48.75" customHeight="1" x14ac:dyDescent="0.2">
      <c r="A1168" s="289">
        <v>1198</v>
      </c>
      <c r="B1168" s="289" t="s">
        <v>8005</v>
      </c>
      <c r="C1168" s="289"/>
      <c r="D1168" s="9" t="s">
        <v>8006</v>
      </c>
      <c r="E1168" s="22" t="s">
        <v>7379</v>
      </c>
      <c r="F1168" s="9" t="s">
        <v>8007</v>
      </c>
      <c r="G1168" s="285" t="s">
        <v>101</v>
      </c>
      <c r="H1168" s="285" t="s">
        <v>5127</v>
      </c>
      <c r="I1168" s="289"/>
      <c r="J1168" s="285" t="s">
        <v>3136</v>
      </c>
      <c r="K1168" s="14">
        <v>43122</v>
      </c>
      <c r="L1168" s="285">
        <v>37</v>
      </c>
      <c r="M1168" s="15">
        <v>43080</v>
      </c>
      <c r="N1168" s="24">
        <v>3</v>
      </c>
      <c r="O1168" s="63">
        <f>10152+12420+12690</f>
        <v>35262</v>
      </c>
      <c r="P1168" s="63">
        <f>10152+12420+12690</f>
        <v>35262</v>
      </c>
      <c r="Q1168" s="40">
        <f t="shared" si="31"/>
        <v>0</v>
      </c>
      <c r="R1168" s="285" t="s">
        <v>5363</v>
      </c>
      <c r="S1168" s="14">
        <v>43063</v>
      </c>
      <c r="T1168" s="22" t="s">
        <v>8008</v>
      </c>
    </row>
    <row r="1169" spans="1:20" ht="69" customHeight="1" x14ac:dyDescent="0.2">
      <c r="A1169" s="289">
        <v>1199</v>
      </c>
      <c r="B1169" s="289" t="s">
        <v>7992</v>
      </c>
      <c r="C1169" s="289"/>
      <c r="D1169" s="9" t="s">
        <v>8015</v>
      </c>
      <c r="E1169" s="22" t="s">
        <v>7379</v>
      </c>
      <c r="F1169" s="9"/>
      <c r="G1169" s="285" t="s">
        <v>8293</v>
      </c>
      <c r="H1169" s="285" t="s">
        <v>5127</v>
      </c>
      <c r="I1169" s="289"/>
      <c r="J1169" s="285" t="s">
        <v>3136</v>
      </c>
      <c r="K1169" s="14">
        <v>43133</v>
      </c>
      <c r="L1169" s="285">
        <v>98</v>
      </c>
      <c r="M1169" s="15">
        <v>43097</v>
      </c>
      <c r="N1169" s="24">
        <v>1</v>
      </c>
      <c r="O1169" s="63">
        <v>1404</v>
      </c>
      <c r="P1169" s="63">
        <v>1404</v>
      </c>
      <c r="Q1169" s="40">
        <f t="shared" si="31"/>
        <v>0</v>
      </c>
      <c r="R1169" s="285" t="s">
        <v>8016</v>
      </c>
      <c r="S1169" s="14">
        <v>43097</v>
      </c>
      <c r="T1169" s="22" t="s">
        <v>2377</v>
      </c>
    </row>
    <row r="1170" spans="1:20" ht="117" customHeight="1" x14ac:dyDescent="0.2">
      <c r="A1170" s="289">
        <v>1202</v>
      </c>
      <c r="B1170" s="289" t="s">
        <v>7997</v>
      </c>
      <c r="C1170" s="289"/>
      <c r="D1170" s="9" t="s">
        <v>8017</v>
      </c>
      <c r="E1170" s="22" t="s">
        <v>10317</v>
      </c>
      <c r="F1170" s="9"/>
      <c r="G1170" s="285" t="s">
        <v>8293</v>
      </c>
      <c r="H1170" s="285" t="s">
        <v>5127</v>
      </c>
      <c r="I1170" s="289"/>
      <c r="J1170" s="285" t="s">
        <v>3136</v>
      </c>
      <c r="K1170" s="14">
        <v>43133</v>
      </c>
      <c r="L1170" s="285">
        <v>98</v>
      </c>
      <c r="M1170" s="15">
        <v>43097</v>
      </c>
      <c r="N1170" s="24">
        <v>1</v>
      </c>
      <c r="O1170" s="63">
        <v>2275</v>
      </c>
      <c r="P1170" s="63">
        <v>2275</v>
      </c>
      <c r="Q1170" s="40">
        <f>O1170-P1170</f>
        <v>0</v>
      </c>
      <c r="R1170" s="285" t="s">
        <v>8016</v>
      </c>
      <c r="S1170" s="14">
        <v>43097</v>
      </c>
      <c r="T1170" s="22" t="s">
        <v>2377</v>
      </c>
    </row>
    <row r="1171" spans="1:20" ht="40.5" customHeight="1" x14ac:dyDescent="0.2">
      <c r="A1171" s="289">
        <v>1203</v>
      </c>
      <c r="B1171" s="289" t="s">
        <v>8019</v>
      </c>
      <c r="C1171" s="289"/>
      <c r="D1171" s="9" t="s">
        <v>6250</v>
      </c>
      <c r="E1171" s="22"/>
      <c r="F1171" s="9"/>
      <c r="G1171" s="285" t="s">
        <v>101</v>
      </c>
      <c r="H1171" s="285" t="s">
        <v>5127</v>
      </c>
      <c r="I1171" s="289"/>
      <c r="J1171" s="285" t="s">
        <v>3136</v>
      </c>
      <c r="K1171" s="14">
        <v>43133</v>
      </c>
      <c r="L1171" s="285">
        <v>101</v>
      </c>
      <c r="M1171" s="15"/>
      <c r="N1171" s="24">
        <v>1</v>
      </c>
      <c r="O1171" s="63">
        <v>4500</v>
      </c>
      <c r="P1171" s="63">
        <v>4500</v>
      </c>
      <c r="Q1171" s="40">
        <v>0</v>
      </c>
      <c r="R1171" s="285"/>
      <c r="S1171" s="14"/>
      <c r="T1171" s="22"/>
    </row>
    <row r="1172" spans="1:20" ht="117" customHeight="1" x14ac:dyDescent="0.2">
      <c r="A1172" s="289">
        <v>1204</v>
      </c>
      <c r="B1172" s="289" t="s">
        <v>8020</v>
      </c>
      <c r="C1172" s="289"/>
      <c r="D1172" s="9" t="s">
        <v>2731</v>
      </c>
      <c r="E1172" s="22" t="s">
        <v>7379</v>
      </c>
      <c r="F1172" s="13" t="s">
        <v>8028</v>
      </c>
      <c r="G1172" s="285" t="s">
        <v>8661</v>
      </c>
      <c r="H1172" s="285" t="s">
        <v>5127</v>
      </c>
      <c r="I1172" s="289"/>
      <c r="J1172" s="285" t="s">
        <v>3136</v>
      </c>
      <c r="K1172" s="14">
        <v>43152</v>
      </c>
      <c r="L1172" s="285">
        <v>153</v>
      </c>
      <c r="M1172" s="15">
        <v>43126</v>
      </c>
      <c r="N1172" s="24">
        <v>1</v>
      </c>
      <c r="O1172" s="63">
        <v>4000</v>
      </c>
      <c r="P1172" s="63">
        <v>4000</v>
      </c>
      <c r="Q1172" s="40">
        <v>0</v>
      </c>
      <c r="R1172" s="285" t="s">
        <v>8035</v>
      </c>
      <c r="S1172" s="14">
        <v>43126</v>
      </c>
      <c r="T1172" s="22" t="s">
        <v>8036</v>
      </c>
    </row>
    <row r="1173" spans="1:20" ht="117" customHeight="1" x14ac:dyDescent="0.2">
      <c r="A1173" s="289">
        <v>1205</v>
      </c>
      <c r="B1173" s="289" t="s">
        <v>8021</v>
      </c>
      <c r="C1173" s="289"/>
      <c r="D1173" s="9" t="s">
        <v>8027</v>
      </c>
      <c r="E1173" s="22" t="s">
        <v>7379</v>
      </c>
      <c r="F1173" s="13" t="s">
        <v>8029</v>
      </c>
      <c r="G1173" s="285" t="s">
        <v>9194</v>
      </c>
      <c r="H1173" s="285" t="s">
        <v>5127</v>
      </c>
      <c r="I1173" s="289"/>
      <c r="J1173" s="285" t="s">
        <v>3136</v>
      </c>
      <c r="K1173" s="14">
        <v>43152</v>
      </c>
      <c r="L1173" s="285">
        <v>153</v>
      </c>
      <c r="M1173" s="15">
        <v>43126</v>
      </c>
      <c r="N1173" s="24">
        <v>1</v>
      </c>
      <c r="O1173" s="63">
        <v>3500</v>
      </c>
      <c r="P1173" s="63">
        <v>3500</v>
      </c>
      <c r="Q1173" s="40">
        <v>0</v>
      </c>
      <c r="R1173" s="285" t="s">
        <v>8035</v>
      </c>
      <c r="S1173" s="14">
        <v>43126</v>
      </c>
      <c r="T1173" s="22" t="s">
        <v>8036</v>
      </c>
    </row>
    <row r="1174" spans="1:20" ht="100.5" customHeight="1" x14ac:dyDescent="0.2">
      <c r="A1174" s="289">
        <v>1206</v>
      </c>
      <c r="B1174" s="289" t="s">
        <v>8022</v>
      </c>
      <c r="C1174" s="289"/>
      <c r="D1174" s="9" t="s">
        <v>2514</v>
      </c>
      <c r="E1174" s="22" t="s">
        <v>7379</v>
      </c>
      <c r="F1174" s="13" t="s">
        <v>8030</v>
      </c>
      <c r="G1174" s="285" t="s">
        <v>9194</v>
      </c>
      <c r="H1174" s="285" t="s">
        <v>5127</v>
      </c>
      <c r="I1174" s="289"/>
      <c r="J1174" s="285" t="s">
        <v>3136</v>
      </c>
      <c r="K1174" s="14">
        <v>43152</v>
      </c>
      <c r="L1174" s="285">
        <v>153</v>
      </c>
      <c r="M1174" s="15">
        <v>43126</v>
      </c>
      <c r="N1174" s="24">
        <v>1</v>
      </c>
      <c r="O1174" s="63">
        <v>6000</v>
      </c>
      <c r="P1174" s="63">
        <v>6000</v>
      </c>
      <c r="Q1174" s="40">
        <v>0</v>
      </c>
      <c r="R1174" s="285" t="s">
        <v>8035</v>
      </c>
      <c r="S1174" s="14">
        <v>43126</v>
      </c>
      <c r="T1174" s="22" t="s">
        <v>8036</v>
      </c>
    </row>
    <row r="1175" spans="1:20" ht="117" customHeight="1" x14ac:dyDescent="0.2">
      <c r="A1175" s="289">
        <v>1207</v>
      </c>
      <c r="B1175" s="289" t="s">
        <v>8023</v>
      </c>
      <c r="C1175" s="289"/>
      <c r="D1175" s="9" t="s">
        <v>8037</v>
      </c>
      <c r="E1175" s="22" t="s">
        <v>7379</v>
      </c>
      <c r="F1175" s="13" t="s">
        <v>8031</v>
      </c>
      <c r="G1175" s="285" t="s">
        <v>9194</v>
      </c>
      <c r="H1175" s="285" t="s">
        <v>5127</v>
      </c>
      <c r="I1175" s="289"/>
      <c r="J1175" s="285" t="s">
        <v>3136</v>
      </c>
      <c r="K1175" s="14">
        <v>43152</v>
      </c>
      <c r="L1175" s="285">
        <v>153</v>
      </c>
      <c r="M1175" s="15">
        <v>43126</v>
      </c>
      <c r="N1175" s="24">
        <v>1</v>
      </c>
      <c r="O1175" s="63">
        <v>9000</v>
      </c>
      <c r="P1175" s="63">
        <v>9000</v>
      </c>
      <c r="Q1175" s="40">
        <v>0</v>
      </c>
      <c r="R1175" s="285" t="s">
        <v>8035</v>
      </c>
      <c r="S1175" s="14">
        <v>43126</v>
      </c>
      <c r="T1175" s="22" t="s">
        <v>8036</v>
      </c>
    </row>
    <row r="1176" spans="1:20" ht="117" customHeight="1" x14ac:dyDescent="0.2">
      <c r="A1176" s="289">
        <v>1208</v>
      </c>
      <c r="B1176" s="289" t="s">
        <v>8024</v>
      </c>
      <c r="C1176" s="289"/>
      <c r="D1176" s="9" t="s">
        <v>8038</v>
      </c>
      <c r="E1176" s="22" t="s">
        <v>7379</v>
      </c>
      <c r="F1176" s="13" t="s">
        <v>8032</v>
      </c>
      <c r="G1176" s="285" t="s">
        <v>9194</v>
      </c>
      <c r="H1176" s="285" t="s">
        <v>5127</v>
      </c>
      <c r="I1176" s="289"/>
      <c r="J1176" s="285" t="s">
        <v>3136</v>
      </c>
      <c r="K1176" s="14">
        <v>43152</v>
      </c>
      <c r="L1176" s="285">
        <v>153</v>
      </c>
      <c r="M1176" s="15">
        <v>43126</v>
      </c>
      <c r="N1176" s="24">
        <v>1</v>
      </c>
      <c r="O1176" s="63">
        <v>4000</v>
      </c>
      <c r="P1176" s="63">
        <v>4000</v>
      </c>
      <c r="Q1176" s="40">
        <v>0</v>
      </c>
      <c r="R1176" s="285" t="s">
        <v>8035</v>
      </c>
      <c r="S1176" s="14">
        <v>43126</v>
      </c>
      <c r="T1176" s="22" t="s">
        <v>8036</v>
      </c>
    </row>
    <row r="1177" spans="1:20" ht="96.75" customHeight="1" x14ac:dyDescent="0.2">
      <c r="A1177" s="289">
        <v>1209</v>
      </c>
      <c r="B1177" s="289" t="s">
        <v>8025</v>
      </c>
      <c r="C1177" s="289"/>
      <c r="D1177" s="9" t="s">
        <v>3303</v>
      </c>
      <c r="E1177" s="22" t="s">
        <v>7379</v>
      </c>
      <c r="F1177" s="13" t="s">
        <v>8033</v>
      </c>
      <c r="G1177" s="285" t="s">
        <v>8661</v>
      </c>
      <c r="H1177" s="285" t="s">
        <v>5127</v>
      </c>
      <c r="I1177" s="289"/>
      <c r="J1177" s="285" t="s">
        <v>3136</v>
      </c>
      <c r="K1177" s="14">
        <v>43152</v>
      </c>
      <c r="L1177" s="285">
        <v>153</v>
      </c>
      <c r="M1177" s="15">
        <v>43126</v>
      </c>
      <c r="N1177" s="24">
        <v>1</v>
      </c>
      <c r="O1177" s="63">
        <v>5000</v>
      </c>
      <c r="P1177" s="63">
        <v>5000</v>
      </c>
      <c r="Q1177" s="40">
        <v>0</v>
      </c>
      <c r="R1177" s="285" t="s">
        <v>8035</v>
      </c>
      <c r="S1177" s="14">
        <v>43126</v>
      </c>
      <c r="T1177" s="22" t="s">
        <v>8036</v>
      </c>
    </row>
    <row r="1178" spans="1:20" ht="106.5" customHeight="1" x14ac:dyDescent="0.2">
      <c r="A1178" s="289">
        <v>1210</v>
      </c>
      <c r="B1178" s="289" t="s">
        <v>8026</v>
      </c>
      <c r="C1178" s="289"/>
      <c r="D1178" s="9" t="s">
        <v>8039</v>
      </c>
      <c r="E1178" s="22" t="s">
        <v>7379</v>
      </c>
      <c r="F1178" s="13" t="s">
        <v>8034</v>
      </c>
      <c r="G1178" s="285" t="s">
        <v>9194</v>
      </c>
      <c r="H1178" s="285" t="s">
        <v>5127</v>
      </c>
      <c r="I1178" s="289"/>
      <c r="J1178" s="285" t="s">
        <v>3136</v>
      </c>
      <c r="K1178" s="14">
        <v>43152</v>
      </c>
      <c r="L1178" s="285">
        <v>153</v>
      </c>
      <c r="M1178" s="15">
        <v>43126</v>
      </c>
      <c r="N1178" s="24">
        <v>1</v>
      </c>
      <c r="O1178" s="63">
        <v>6000</v>
      </c>
      <c r="P1178" s="63">
        <v>6000</v>
      </c>
      <c r="Q1178" s="40">
        <v>0</v>
      </c>
      <c r="R1178" s="285" t="s">
        <v>8035</v>
      </c>
      <c r="S1178" s="14">
        <v>43126</v>
      </c>
      <c r="T1178" s="22" t="s">
        <v>8036</v>
      </c>
    </row>
    <row r="1179" spans="1:20" ht="69" customHeight="1" x14ac:dyDescent="0.2">
      <c r="A1179" s="289">
        <v>1211</v>
      </c>
      <c r="B1179" s="289" t="s">
        <v>8056</v>
      </c>
      <c r="C1179" s="289"/>
      <c r="D1179" s="9" t="s">
        <v>8057</v>
      </c>
      <c r="E1179" s="22" t="s">
        <v>7379</v>
      </c>
      <c r="F1179" s="13" t="s">
        <v>8058</v>
      </c>
      <c r="G1179" s="285" t="s">
        <v>9194</v>
      </c>
      <c r="H1179" s="285" t="s">
        <v>5127</v>
      </c>
      <c r="I1179" s="289"/>
      <c r="J1179" s="285" t="s">
        <v>3136</v>
      </c>
      <c r="K1179" s="14">
        <v>43152</v>
      </c>
      <c r="L1179" s="285">
        <v>152</v>
      </c>
      <c r="M1179" s="15">
        <v>43119</v>
      </c>
      <c r="N1179" s="24">
        <v>2</v>
      </c>
      <c r="O1179" s="63">
        <v>14640</v>
      </c>
      <c r="P1179" s="63">
        <v>14640</v>
      </c>
      <c r="Q1179" s="40">
        <v>0</v>
      </c>
      <c r="R1179" s="285" t="s">
        <v>3418</v>
      </c>
      <c r="S1179" s="14">
        <v>43118</v>
      </c>
      <c r="T1179" s="22" t="s">
        <v>8059</v>
      </c>
    </row>
    <row r="1180" spans="1:20" ht="73.5" customHeight="1" x14ac:dyDescent="0.2">
      <c r="A1180" s="289">
        <v>1212</v>
      </c>
      <c r="B1180" s="289" t="s">
        <v>8062</v>
      </c>
      <c r="C1180" s="289"/>
      <c r="D1180" s="9" t="s">
        <v>8063</v>
      </c>
      <c r="E1180" s="22" t="s">
        <v>7379</v>
      </c>
      <c r="F1180" s="13" t="s">
        <v>8064</v>
      </c>
      <c r="G1180" s="285" t="s">
        <v>3090</v>
      </c>
      <c r="H1180" s="285" t="s">
        <v>5127</v>
      </c>
      <c r="I1180" s="289"/>
      <c r="J1180" s="285" t="s">
        <v>3136</v>
      </c>
      <c r="K1180" s="14">
        <v>43161</v>
      </c>
      <c r="L1180" s="285">
        <v>168</v>
      </c>
      <c r="M1180" s="15">
        <v>43097</v>
      </c>
      <c r="N1180" s="24">
        <v>1</v>
      </c>
      <c r="O1180" s="63">
        <v>8981.81</v>
      </c>
      <c r="P1180" s="63">
        <v>8981.81</v>
      </c>
      <c r="Q1180" s="40">
        <v>0</v>
      </c>
      <c r="R1180" s="285" t="s">
        <v>3418</v>
      </c>
      <c r="S1180" s="14">
        <v>43097</v>
      </c>
      <c r="T1180" s="22" t="s">
        <v>8065</v>
      </c>
    </row>
    <row r="1181" spans="1:20" ht="68.25" customHeight="1" x14ac:dyDescent="0.2">
      <c r="A1181" s="289">
        <v>1213</v>
      </c>
      <c r="B1181" s="289" t="s">
        <v>8295</v>
      </c>
      <c r="C1181" s="289" t="s">
        <v>5274</v>
      </c>
      <c r="D1181" s="9" t="s">
        <v>8081</v>
      </c>
      <c r="E1181" s="22" t="s">
        <v>7379</v>
      </c>
      <c r="F1181" s="13" t="s">
        <v>8082</v>
      </c>
      <c r="G1181" s="285" t="s">
        <v>4946</v>
      </c>
      <c r="H1181" s="285" t="s">
        <v>5127</v>
      </c>
      <c r="I1181" s="289"/>
      <c r="J1181" s="285" t="s">
        <v>3136</v>
      </c>
      <c r="K1181" s="14">
        <v>43770</v>
      </c>
      <c r="L1181" s="285">
        <v>892</v>
      </c>
      <c r="M1181" s="15">
        <v>43140</v>
      </c>
      <c r="N1181" s="24">
        <v>419</v>
      </c>
      <c r="O1181" s="63">
        <v>1341669.2</v>
      </c>
      <c r="P1181" s="63">
        <v>1341669.2</v>
      </c>
      <c r="Q1181" s="40">
        <f t="shared" ref="Q1181:Q1220" si="32">O1181-P1181</f>
        <v>0</v>
      </c>
      <c r="R1181" s="285" t="s">
        <v>7155</v>
      </c>
      <c r="S1181" s="14">
        <v>43089</v>
      </c>
      <c r="T1181" s="22" t="s">
        <v>8083</v>
      </c>
    </row>
    <row r="1182" spans="1:20" ht="67.5" customHeight="1" x14ac:dyDescent="0.2">
      <c r="A1182" s="289">
        <v>1214</v>
      </c>
      <c r="B1182" s="289" t="s">
        <v>8296</v>
      </c>
      <c r="C1182" s="289" t="s">
        <v>5274</v>
      </c>
      <c r="D1182" s="9" t="s">
        <v>8084</v>
      </c>
      <c r="E1182" s="22" t="s">
        <v>7379</v>
      </c>
      <c r="F1182" s="13" t="s">
        <v>8085</v>
      </c>
      <c r="G1182" s="285" t="s">
        <v>4946</v>
      </c>
      <c r="H1182" s="285" t="s">
        <v>5127</v>
      </c>
      <c r="I1182" s="289"/>
      <c r="J1182" s="285" t="s">
        <v>3136</v>
      </c>
      <c r="K1182" s="14">
        <v>43770</v>
      </c>
      <c r="L1182" s="285">
        <v>892</v>
      </c>
      <c r="M1182" s="15">
        <v>43126</v>
      </c>
      <c r="N1182" s="24">
        <v>1</v>
      </c>
      <c r="O1182" s="63">
        <v>1200000</v>
      </c>
      <c r="P1182" s="63">
        <v>1140000</v>
      </c>
      <c r="Q1182" s="40">
        <f t="shared" si="32"/>
        <v>60000</v>
      </c>
      <c r="R1182" s="285" t="s">
        <v>7155</v>
      </c>
      <c r="S1182" s="14">
        <v>43094</v>
      </c>
      <c r="T1182" s="22" t="s">
        <v>8086</v>
      </c>
    </row>
    <row r="1183" spans="1:20" ht="123" customHeight="1" x14ac:dyDescent="0.2">
      <c r="A1183" s="289">
        <v>1215</v>
      </c>
      <c r="B1183" s="289" t="s">
        <v>8107</v>
      </c>
      <c r="C1183" s="289"/>
      <c r="D1183" s="9" t="s">
        <v>8108</v>
      </c>
      <c r="E1183" s="22" t="s">
        <v>8071</v>
      </c>
      <c r="F1183" s="13" t="s">
        <v>8123</v>
      </c>
      <c r="G1183" s="285" t="s">
        <v>792</v>
      </c>
      <c r="H1183" s="285" t="s">
        <v>5127</v>
      </c>
      <c r="I1183" s="289"/>
      <c r="J1183" s="285" t="s">
        <v>3136</v>
      </c>
      <c r="K1183" s="14">
        <v>43200</v>
      </c>
      <c r="L1183" s="285">
        <v>278</v>
      </c>
      <c r="M1183" s="15">
        <v>43188</v>
      </c>
      <c r="N1183" s="24">
        <f>10+5</f>
        <v>15</v>
      </c>
      <c r="O1183" s="63">
        <f>45000+22500</f>
        <v>67500</v>
      </c>
      <c r="P1183" s="63">
        <v>67500</v>
      </c>
      <c r="Q1183" s="40">
        <f t="shared" si="32"/>
        <v>0</v>
      </c>
      <c r="R1183" s="285" t="s">
        <v>8124</v>
      </c>
      <c r="S1183" s="14" t="s">
        <v>8125</v>
      </c>
      <c r="T1183" s="22" t="s">
        <v>8126</v>
      </c>
    </row>
    <row r="1184" spans="1:20" ht="117" customHeight="1" x14ac:dyDescent="0.2">
      <c r="A1184" s="289">
        <v>1216</v>
      </c>
      <c r="B1184" s="289" t="s">
        <v>8127</v>
      </c>
      <c r="C1184" s="289"/>
      <c r="D1184" s="9" t="s">
        <v>8128</v>
      </c>
      <c r="E1184" s="22" t="s">
        <v>8071</v>
      </c>
      <c r="F1184" s="13" t="s">
        <v>8131</v>
      </c>
      <c r="G1184" s="285" t="s">
        <v>7983</v>
      </c>
      <c r="H1184" s="285" t="s">
        <v>5127</v>
      </c>
      <c r="I1184" s="289"/>
      <c r="J1184" s="285" t="s">
        <v>3136</v>
      </c>
      <c r="K1184" s="14">
        <v>43202</v>
      </c>
      <c r="L1184" s="285">
        <v>286</v>
      </c>
      <c r="M1184" s="15">
        <v>43195</v>
      </c>
      <c r="N1184" s="24">
        <v>2</v>
      </c>
      <c r="O1184" s="63">
        <v>9366</v>
      </c>
      <c r="P1184" s="63">
        <v>9366</v>
      </c>
      <c r="Q1184" s="40">
        <f t="shared" si="32"/>
        <v>0</v>
      </c>
      <c r="R1184" s="285" t="s">
        <v>7155</v>
      </c>
      <c r="S1184" s="14">
        <v>43174</v>
      </c>
      <c r="T1184" s="22" t="s">
        <v>8133</v>
      </c>
    </row>
    <row r="1185" spans="1:20" ht="117" customHeight="1" x14ac:dyDescent="0.2">
      <c r="A1185" s="289">
        <v>1217</v>
      </c>
      <c r="B1185" s="289" t="s">
        <v>8129</v>
      </c>
      <c r="C1185" s="289"/>
      <c r="D1185" s="9" t="s">
        <v>8130</v>
      </c>
      <c r="E1185" s="22" t="s">
        <v>8071</v>
      </c>
      <c r="F1185" s="13" t="s">
        <v>8132</v>
      </c>
      <c r="G1185" s="285" t="s">
        <v>7983</v>
      </c>
      <c r="H1185" s="285" t="s">
        <v>5127</v>
      </c>
      <c r="I1185" s="289"/>
      <c r="J1185" s="285" t="s">
        <v>3136</v>
      </c>
      <c r="K1185" s="14">
        <v>43202</v>
      </c>
      <c r="L1185" s="285">
        <v>286</v>
      </c>
      <c r="M1185" s="15">
        <v>43195</v>
      </c>
      <c r="N1185" s="24">
        <v>1</v>
      </c>
      <c r="O1185" s="63">
        <v>14146</v>
      </c>
      <c r="P1185" s="63">
        <v>14146</v>
      </c>
      <c r="Q1185" s="40">
        <f t="shared" si="32"/>
        <v>0</v>
      </c>
      <c r="R1185" s="285" t="s">
        <v>7155</v>
      </c>
      <c r="S1185" s="14">
        <v>43174</v>
      </c>
      <c r="T1185" s="22" t="s">
        <v>8133</v>
      </c>
    </row>
    <row r="1186" spans="1:20" ht="77.25" customHeight="1" x14ac:dyDescent="0.2">
      <c r="A1186" s="289">
        <v>1218</v>
      </c>
      <c r="B1186" s="289" t="s">
        <v>8146</v>
      </c>
      <c r="C1186" s="289"/>
      <c r="D1186" s="9" t="s">
        <v>4502</v>
      </c>
      <c r="E1186" s="22" t="s">
        <v>8071</v>
      </c>
      <c r="F1186" s="13" t="s">
        <v>8147</v>
      </c>
      <c r="G1186" s="285" t="s">
        <v>7982</v>
      </c>
      <c r="H1186" s="285" t="s">
        <v>5127</v>
      </c>
      <c r="I1186" s="289"/>
      <c r="J1186" s="285" t="s">
        <v>3136</v>
      </c>
      <c r="K1186" s="14">
        <v>43210</v>
      </c>
      <c r="L1186" s="285">
        <v>319</v>
      </c>
      <c r="M1186" s="15">
        <v>43187</v>
      </c>
      <c r="N1186" s="24">
        <v>1</v>
      </c>
      <c r="O1186" s="63">
        <v>5510</v>
      </c>
      <c r="P1186" s="63">
        <v>5510</v>
      </c>
      <c r="Q1186" s="40">
        <f t="shared" si="32"/>
        <v>0</v>
      </c>
      <c r="R1186" s="285" t="s">
        <v>8148</v>
      </c>
      <c r="S1186" s="14">
        <v>43146</v>
      </c>
      <c r="T1186" s="22" t="s">
        <v>8149</v>
      </c>
    </row>
    <row r="1187" spans="1:20" ht="117" customHeight="1" x14ac:dyDescent="0.2">
      <c r="A1187" s="289">
        <v>1219</v>
      </c>
      <c r="B1187" s="289" t="s">
        <v>8161</v>
      </c>
      <c r="C1187" s="289"/>
      <c r="D1187" s="9" t="s">
        <v>8171</v>
      </c>
      <c r="E1187" s="22" t="s">
        <v>8071</v>
      </c>
      <c r="F1187" s="13" t="s">
        <v>8172</v>
      </c>
      <c r="G1187" s="285" t="s">
        <v>515</v>
      </c>
      <c r="H1187" s="285" t="s">
        <v>5127</v>
      </c>
      <c r="I1187" s="289"/>
      <c r="J1187" s="285" t="s">
        <v>3136</v>
      </c>
      <c r="K1187" s="14">
        <v>43237</v>
      </c>
      <c r="L1187" s="285">
        <v>427</v>
      </c>
      <c r="M1187" s="15">
        <v>43193</v>
      </c>
      <c r="N1187" s="24">
        <v>1</v>
      </c>
      <c r="O1187" s="63">
        <v>11919</v>
      </c>
      <c r="P1187" s="63">
        <v>11919</v>
      </c>
      <c r="Q1187" s="40">
        <f t="shared" si="32"/>
        <v>0</v>
      </c>
      <c r="R1187" s="285" t="s">
        <v>6111</v>
      </c>
      <c r="S1187" s="14">
        <v>43068</v>
      </c>
      <c r="T1187" s="22" t="s">
        <v>8185</v>
      </c>
    </row>
    <row r="1188" spans="1:20" ht="117" customHeight="1" x14ac:dyDescent="0.2">
      <c r="A1188" s="289">
        <v>1220</v>
      </c>
      <c r="B1188" s="289" t="s">
        <v>8162</v>
      </c>
      <c r="C1188" s="289"/>
      <c r="D1188" s="9" t="s">
        <v>8193</v>
      </c>
      <c r="E1188" s="22" t="s">
        <v>8071</v>
      </c>
      <c r="F1188" s="13" t="s">
        <v>8186</v>
      </c>
      <c r="G1188" s="285" t="s">
        <v>515</v>
      </c>
      <c r="H1188" s="285" t="s">
        <v>5127</v>
      </c>
      <c r="I1188" s="289"/>
      <c r="J1188" s="285" t="s">
        <v>3136</v>
      </c>
      <c r="K1188" s="14">
        <v>43237</v>
      </c>
      <c r="L1188" s="285">
        <v>427</v>
      </c>
      <c r="M1188" s="15">
        <v>43193</v>
      </c>
      <c r="N1188" s="24">
        <v>1</v>
      </c>
      <c r="O1188" s="63">
        <v>8434</v>
      </c>
      <c r="P1188" s="63">
        <v>8434</v>
      </c>
      <c r="Q1188" s="40">
        <f t="shared" si="32"/>
        <v>0</v>
      </c>
      <c r="R1188" s="285" t="s">
        <v>6111</v>
      </c>
      <c r="S1188" s="14">
        <v>43068</v>
      </c>
      <c r="T1188" s="22" t="s">
        <v>8185</v>
      </c>
    </row>
    <row r="1189" spans="1:20" ht="69.75" customHeight="1" x14ac:dyDescent="0.2">
      <c r="A1189" s="289">
        <v>1221</v>
      </c>
      <c r="B1189" s="289" t="s">
        <v>8163</v>
      </c>
      <c r="C1189" s="289"/>
      <c r="D1189" s="9" t="s">
        <v>8192</v>
      </c>
      <c r="E1189" s="22" t="s">
        <v>8071</v>
      </c>
      <c r="F1189" s="13" t="s">
        <v>8187</v>
      </c>
      <c r="G1189" s="285" t="s">
        <v>515</v>
      </c>
      <c r="H1189" s="285" t="s">
        <v>5127</v>
      </c>
      <c r="I1189" s="289"/>
      <c r="J1189" s="285" t="s">
        <v>3136</v>
      </c>
      <c r="K1189" s="14">
        <v>43237</v>
      </c>
      <c r="L1189" s="285">
        <v>427</v>
      </c>
      <c r="M1189" s="15">
        <v>43193</v>
      </c>
      <c r="N1189" s="24">
        <v>1</v>
      </c>
      <c r="O1189" s="63">
        <v>10208</v>
      </c>
      <c r="P1189" s="63">
        <v>10208</v>
      </c>
      <c r="Q1189" s="40">
        <f t="shared" si="32"/>
        <v>0</v>
      </c>
      <c r="R1189" s="285" t="s">
        <v>6111</v>
      </c>
      <c r="S1189" s="14">
        <v>43068</v>
      </c>
      <c r="T1189" s="22" t="s">
        <v>8185</v>
      </c>
    </row>
    <row r="1190" spans="1:20" ht="117" customHeight="1" x14ac:dyDescent="0.2">
      <c r="A1190" s="289">
        <v>1222</v>
      </c>
      <c r="B1190" s="289" t="s">
        <v>8164</v>
      </c>
      <c r="C1190" s="289"/>
      <c r="D1190" s="9" t="s">
        <v>8191</v>
      </c>
      <c r="E1190" s="22" t="s">
        <v>8071</v>
      </c>
      <c r="F1190" s="13" t="s">
        <v>8188</v>
      </c>
      <c r="G1190" s="285" t="s">
        <v>515</v>
      </c>
      <c r="H1190" s="285" t="s">
        <v>5127</v>
      </c>
      <c r="I1190" s="289"/>
      <c r="J1190" s="285" t="s">
        <v>3136</v>
      </c>
      <c r="K1190" s="14">
        <v>43237</v>
      </c>
      <c r="L1190" s="285">
        <v>427</v>
      </c>
      <c r="M1190" s="15">
        <v>43193</v>
      </c>
      <c r="N1190" s="24">
        <v>1</v>
      </c>
      <c r="O1190" s="63">
        <v>6646</v>
      </c>
      <c r="P1190" s="63">
        <v>6646</v>
      </c>
      <c r="Q1190" s="40">
        <f t="shared" si="32"/>
        <v>0</v>
      </c>
      <c r="R1190" s="285" t="s">
        <v>6111</v>
      </c>
      <c r="S1190" s="14">
        <v>43068</v>
      </c>
      <c r="T1190" s="22" t="s">
        <v>8185</v>
      </c>
    </row>
    <row r="1191" spans="1:20" ht="117" customHeight="1" x14ac:dyDescent="0.2">
      <c r="A1191" s="289">
        <v>1223</v>
      </c>
      <c r="B1191" s="289" t="s">
        <v>8165</v>
      </c>
      <c r="C1191" s="289"/>
      <c r="D1191" s="9" t="s">
        <v>8190</v>
      </c>
      <c r="E1191" s="22" t="s">
        <v>8071</v>
      </c>
      <c r="F1191" s="13" t="s">
        <v>8189</v>
      </c>
      <c r="G1191" s="285" t="s">
        <v>515</v>
      </c>
      <c r="H1191" s="285" t="s">
        <v>5127</v>
      </c>
      <c r="I1191" s="289"/>
      <c r="J1191" s="285" t="s">
        <v>3136</v>
      </c>
      <c r="K1191" s="14">
        <v>43237</v>
      </c>
      <c r="L1191" s="285">
        <v>427</v>
      </c>
      <c r="M1191" s="15">
        <v>43193</v>
      </c>
      <c r="N1191" s="24">
        <v>1</v>
      </c>
      <c r="O1191" s="63">
        <v>8509</v>
      </c>
      <c r="P1191" s="63">
        <v>8509</v>
      </c>
      <c r="Q1191" s="40">
        <f t="shared" si="32"/>
        <v>0</v>
      </c>
      <c r="R1191" s="285" t="s">
        <v>6111</v>
      </c>
      <c r="S1191" s="14">
        <v>43068</v>
      </c>
      <c r="T1191" s="22" t="s">
        <v>8185</v>
      </c>
    </row>
    <row r="1192" spans="1:20" ht="68.25" customHeight="1" x14ac:dyDescent="0.2">
      <c r="A1192" s="289">
        <v>1224</v>
      </c>
      <c r="B1192" s="289" t="s">
        <v>8166</v>
      </c>
      <c r="C1192" s="289"/>
      <c r="D1192" s="9" t="s">
        <v>8194</v>
      </c>
      <c r="E1192" s="22" t="s">
        <v>8071</v>
      </c>
      <c r="F1192" s="13" t="s">
        <v>8195</v>
      </c>
      <c r="G1192" s="285" t="s">
        <v>515</v>
      </c>
      <c r="H1192" s="285" t="s">
        <v>5127</v>
      </c>
      <c r="I1192" s="289"/>
      <c r="J1192" s="285" t="s">
        <v>3136</v>
      </c>
      <c r="K1192" s="14">
        <v>43237</v>
      </c>
      <c r="L1192" s="285">
        <v>427</v>
      </c>
      <c r="M1192" s="15">
        <v>43193</v>
      </c>
      <c r="N1192" s="24">
        <v>1</v>
      </c>
      <c r="O1192" s="63">
        <v>5171</v>
      </c>
      <c r="P1192" s="63">
        <v>5171</v>
      </c>
      <c r="Q1192" s="40">
        <f t="shared" si="32"/>
        <v>0</v>
      </c>
      <c r="R1192" s="285" t="s">
        <v>6111</v>
      </c>
      <c r="S1192" s="14">
        <v>43068</v>
      </c>
      <c r="T1192" s="22" t="s">
        <v>8185</v>
      </c>
    </row>
    <row r="1193" spans="1:20" ht="108" customHeight="1" x14ac:dyDescent="0.2">
      <c r="A1193" s="289">
        <v>1225</v>
      </c>
      <c r="B1193" s="289" t="s">
        <v>8167</v>
      </c>
      <c r="C1193" s="289"/>
      <c r="D1193" s="9" t="s">
        <v>8196</v>
      </c>
      <c r="E1193" s="22" t="s">
        <v>8071</v>
      </c>
      <c r="F1193" s="13" t="s">
        <v>8197</v>
      </c>
      <c r="G1193" s="285" t="s">
        <v>515</v>
      </c>
      <c r="H1193" s="285" t="s">
        <v>5127</v>
      </c>
      <c r="I1193" s="289"/>
      <c r="J1193" s="285" t="s">
        <v>3136</v>
      </c>
      <c r="K1193" s="14">
        <v>43237</v>
      </c>
      <c r="L1193" s="285">
        <v>427</v>
      </c>
      <c r="M1193" s="15">
        <v>43193</v>
      </c>
      <c r="N1193" s="24">
        <v>1</v>
      </c>
      <c r="O1193" s="63">
        <v>10706</v>
      </c>
      <c r="P1193" s="63">
        <v>10706</v>
      </c>
      <c r="Q1193" s="40">
        <f t="shared" si="32"/>
        <v>0</v>
      </c>
      <c r="R1193" s="285" t="s">
        <v>6111</v>
      </c>
      <c r="S1193" s="14">
        <v>43068</v>
      </c>
      <c r="T1193" s="22" t="s">
        <v>8185</v>
      </c>
    </row>
    <row r="1194" spans="1:20" ht="108" customHeight="1" x14ac:dyDescent="0.2">
      <c r="A1194" s="289">
        <v>1226</v>
      </c>
      <c r="B1194" s="289" t="s">
        <v>8168</v>
      </c>
      <c r="C1194" s="289"/>
      <c r="D1194" s="9" t="s">
        <v>8198</v>
      </c>
      <c r="E1194" s="22" t="s">
        <v>8071</v>
      </c>
      <c r="F1194" s="13" t="s">
        <v>8199</v>
      </c>
      <c r="G1194" s="285" t="s">
        <v>515</v>
      </c>
      <c r="H1194" s="285" t="s">
        <v>5127</v>
      </c>
      <c r="I1194" s="289"/>
      <c r="J1194" s="285" t="s">
        <v>3136</v>
      </c>
      <c r="K1194" s="14">
        <v>43237</v>
      </c>
      <c r="L1194" s="285">
        <v>427</v>
      </c>
      <c r="M1194" s="15">
        <v>43193</v>
      </c>
      <c r="N1194" s="24">
        <v>1</v>
      </c>
      <c r="O1194" s="63">
        <v>4006</v>
      </c>
      <c r="P1194" s="63">
        <v>4006</v>
      </c>
      <c r="Q1194" s="40">
        <f t="shared" si="32"/>
        <v>0</v>
      </c>
      <c r="R1194" s="285" t="s">
        <v>6111</v>
      </c>
      <c r="S1194" s="14">
        <v>43068</v>
      </c>
      <c r="T1194" s="22" t="s">
        <v>8185</v>
      </c>
    </row>
    <row r="1195" spans="1:20" ht="71.25" customHeight="1" x14ac:dyDescent="0.2">
      <c r="A1195" s="289">
        <v>1227</v>
      </c>
      <c r="B1195" s="289" t="s">
        <v>8169</v>
      </c>
      <c r="C1195" s="289"/>
      <c r="D1195" s="9" t="s">
        <v>8200</v>
      </c>
      <c r="E1195" s="22" t="s">
        <v>8071</v>
      </c>
      <c r="F1195" s="13" t="s">
        <v>8201</v>
      </c>
      <c r="G1195" s="285" t="s">
        <v>515</v>
      </c>
      <c r="H1195" s="285" t="s">
        <v>5127</v>
      </c>
      <c r="I1195" s="289"/>
      <c r="J1195" s="285" t="s">
        <v>3136</v>
      </c>
      <c r="K1195" s="14">
        <v>43237</v>
      </c>
      <c r="L1195" s="285">
        <v>427</v>
      </c>
      <c r="M1195" s="15">
        <v>43193</v>
      </c>
      <c r="N1195" s="24">
        <v>1</v>
      </c>
      <c r="O1195" s="63">
        <v>5545</v>
      </c>
      <c r="P1195" s="63">
        <v>5545</v>
      </c>
      <c r="Q1195" s="40">
        <f t="shared" si="32"/>
        <v>0</v>
      </c>
      <c r="R1195" s="285" t="s">
        <v>6111</v>
      </c>
      <c r="S1195" s="14">
        <v>43068</v>
      </c>
      <c r="T1195" s="22" t="s">
        <v>8185</v>
      </c>
    </row>
    <row r="1196" spans="1:20" ht="108" customHeight="1" x14ac:dyDescent="0.2">
      <c r="A1196" s="289">
        <v>1228</v>
      </c>
      <c r="B1196" s="289" t="s">
        <v>8170</v>
      </c>
      <c r="C1196" s="289"/>
      <c r="D1196" s="9" t="s">
        <v>8171</v>
      </c>
      <c r="E1196" s="22" t="s">
        <v>8071</v>
      </c>
      <c r="F1196" s="13" t="s">
        <v>8202</v>
      </c>
      <c r="G1196" s="285" t="s">
        <v>515</v>
      </c>
      <c r="H1196" s="285" t="s">
        <v>5127</v>
      </c>
      <c r="I1196" s="289"/>
      <c r="J1196" s="285" t="s">
        <v>3136</v>
      </c>
      <c r="K1196" s="14">
        <v>43237</v>
      </c>
      <c r="L1196" s="285">
        <v>427</v>
      </c>
      <c r="M1196" s="15">
        <v>43193</v>
      </c>
      <c r="N1196" s="24">
        <v>1</v>
      </c>
      <c r="O1196" s="63">
        <v>8919</v>
      </c>
      <c r="P1196" s="63">
        <v>8919</v>
      </c>
      <c r="Q1196" s="40">
        <f t="shared" si="32"/>
        <v>0</v>
      </c>
      <c r="R1196" s="285" t="s">
        <v>6111</v>
      </c>
      <c r="S1196" s="14">
        <v>43068</v>
      </c>
      <c r="T1196" s="22" t="s">
        <v>8185</v>
      </c>
    </row>
    <row r="1197" spans="1:20" ht="108" customHeight="1" x14ac:dyDescent="0.2">
      <c r="A1197" s="289">
        <v>1229</v>
      </c>
      <c r="B1197" s="289" t="s">
        <v>8177</v>
      </c>
      <c r="C1197" s="289"/>
      <c r="D1197" s="9" t="s">
        <v>8203</v>
      </c>
      <c r="E1197" s="22" t="s">
        <v>8071</v>
      </c>
      <c r="F1197" s="13" t="s">
        <v>8204</v>
      </c>
      <c r="G1197" s="285" t="s">
        <v>515</v>
      </c>
      <c r="H1197" s="285" t="s">
        <v>5127</v>
      </c>
      <c r="I1197" s="289"/>
      <c r="J1197" s="285" t="s">
        <v>3136</v>
      </c>
      <c r="K1197" s="14">
        <v>43237</v>
      </c>
      <c r="L1197" s="285">
        <v>426</v>
      </c>
      <c r="M1197" s="15">
        <v>43193</v>
      </c>
      <c r="N1197" s="24">
        <v>1</v>
      </c>
      <c r="O1197" s="63">
        <v>4250</v>
      </c>
      <c r="P1197" s="63">
        <v>4250</v>
      </c>
      <c r="Q1197" s="40">
        <f t="shared" si="32"/>
        <v>0</v>
      </c>
      <c r="R1197" s="285" t="s">
        <v>6111</v>
      </c>
      <c r="S1197" s="14">
        <v>43080</v>
      </c>
      <c r="T1197" s="22" t="s">
        <v>8205</v>
      </c>
    </row>
    <row r="1198" spans="1:20" ht="86.25" customHeight="1" x14ac:dyDescent="0.2">
      <c r="A1198" s="289">
        <v>1230</v>
      </c>
      <c r="B1198" s="289" t="s">
        <v>8178</v>
      </c>
      <c r="C1198" s="289"/>
      <c r="D1198" s="9" t="s">
        <v>8171</v>
      </c>
      <c r="E1198" s="22" t="s">
        <v>8071</v>
      </c>
      <c r="F1198" s="13" t="s">
        <v>8206</v>
      </c>
      <c r="G1198" s="285" t="s">
        <v>515</v>
      </c>
      <c r="H1198" s="285" t="s">
        <v>5127</v>
      </c>
      <c r="I1198" s="289"/>
      <c r="J1198" s="285" t="s">
        <v>3136</v>
      </c>
      <c r="K1198" s="14">
        <v>43237</v>
      </c>
      <c r="L1198" s="285">
        <v>426</v>
      </c>
      <c r="M1198" s="15">
        <v>43193</v>
      </c>
      <c r="N1198" s="24">
        <v>1</v>
      </c>
      <c r="O1198" s="63">
        <v>9143</v>
      </c>
      <c r="P1198" s="63">
        <v>9143</v>
      </c>
      <c r="Q1198" s="40">
        <f t="shared" si="32"/>
        <v>0</v>
      </c>
      <c r="R1198" s="285" t="s">
        <v>6111</v>
      </c>
      <c r="S1198" s="14">
        <v>43080</v>
      </c>
      <c r="T1198" s="22" t="s">
        <v>8205</v>
      </c>
    </row>
    <row r="1199" spans="1:20" ht="108" customHeight="1" x14ac:dyDescent="0.2">
      <c r="A1199" s="289">
        <v>1231</v>
      </c>
      <c r="B1199" s="289" t="s">
        <v>8179</v>
      </c>
      <c r="C1199" s="289"/>
      <c r="D1199" s="9" t="s">
        <v>8207</v>
      </c>
      <c r="E1199" s="22" t="s">
        <v>8071</v>
      </c>
      <c r="F1199" s="13" t="s">
        <v>8208</v>
      </c>
      <c r="G1199" s="285" t="s">
        <v>515</v>
      </c>
      <c r="H1199" s="285" t="s">
        <v>5127</v>
      </c>
      <c r="I1199" s="289"/>
      <c r="J1199" s="285" t="s">
        <v>3136</v>
      </c>
      <c r="K1199" s="14">
        <v>43237</v>
      </c>
      <c r="L1199" s="285">
        <v>426</v>
      </c>
      <c r="M1199" s="15">
        <v>43193</v>
      </c>
      <c r="N1199" s="24">
        <v>1</v>
      </c>
      <c r="O1199" s="63">
        <v>8143</v>
      </c>
      <c r="P1199" s="63">
        <v>8143</v>
      </c>
      <c r="Q1199" s="40">
        <f t="shared" si="32"/>
        <v>0</v>
      </c>
      <c r="R1199" s="285" t="s">
        <v>6111</v>
      </c>
      <c r="S1199" s="14">
        <v>43080</v>
      </c>
      <c r="T1199" s="22" t="s">
        <v>8205</v>
      </c>
    </row>
    <row r="1200" spans="1:20" ht="108" customHeight="1" x14ac:dyDescent="0.2">
      <c r="A1200" s="289">
        <v>1232</v>
      </c>
      <c r="B1200" s="289" t="s">
        <v>8180</v>
      </c>
      <c r="C1200" s="289"/>
      <c r="D1200" s="9" t="s">
        <v>8209</v>
      </c>
      <c r="E1200" s="22" t="s">
        <v>8071</v>
      </c>
      <c r="F1200" s="13" t="s">
        <v>8210</v>
      </c>
      <c r="G1200" s="285" t="s">
        <v>515</v>
      </c>
      <c r="H1200" s="285" t="s">
        <v>5127</v>
      </c>
      <c r="I1200" s="289"/>
      <c r="J1200" s="285" t="s">
        <v>3136</v>
      </c>
      <c r="K1200" s="14">
        <v>43237</v>
      </c>
      <c r="L1200" s="285">
        <v>426</v>
      </c>
      <c r="M1200" s="15">
        <v>43193</v>
      </c>
      <c r="N1200" s="24">
        <v>1</v>
      </c>
      <c r="O1200" s="63">
        <v>5705</v>
      </c>
      <c r="P1200" s="63">
        <v>5705</v>
      </c>
      <c r="Q1200" s="40">
        <f t="shared" si="32"/>
        <v>0</v>
      </c>
      <c r="R1200" s="285" t="s">
        <v>6111</v>
      </c>
      <c r="S1200" s="14">
        <v>43080</v>
      </c>
      <c r="T1200" s="22" t="s">
        <v>8205</v>
      </c>
    </row>
    <row r="1201" spans="1:20" ht="75.75" customHeight="1" x14ac:dyDescent="0.2">
      <c r="A1201" s="289">
        <v>1233</v>
      </c>
      <c r="B1201" s="289" t="s">
        <v>8181</v>
      </c>
      <c r="C1201" s="289"/>
      <c r="D1201" s="9" t="s">
        <v>8211</v>
      </c>
      <c r="E1201" s="22" t="s">
        <v>8071</v>
      </c>
      <c r="F1201" s="13" t="s">
        <v>8212</v>
      </c>
      <c r="G1201" s="285" t="s">
        <v>515</v>
      </c>
      <c r="H1201" s="285" t="s">
        <v>5127</v>
      </c>
      <c r="I1201" s="289"/>
      <c r="J1201" s="285" t="s">
        <v>3136</v>
      </c>
      <c r="K1201" s="14">
        <v>43237</v>
      </c>
      <c r="L1201" s="285">
        <v>426</v>
      </c>
      <c r="M1201" s="15">
        <v>43193</v>
      </c>
      <c r="N1201" s="24">
        <v>1</v>
      </c>
      <c r="O1201" s="63">
        <v>7895</v>
      </c>
      <c r="P1201" s="63">
        <v>7895</v>
      </c>
      <c r="Q1201" s="40">
        <f t="shared" si="32"/>
        <v>0</v>
      </c>
      <c r="R1201" s="285" t="s">
        <v>6111</v>
      </c>
      <c r="S1201" s="14">
        <v>43080</v>
      </c>
      <c r="T1201" s="22" t="s">
        <v>8205</v>
      </c>
    </row>
    <row r="1202" spans="1:20" ht="108" customHeight="1" x14ac:dyDescent="0.2">
      <c r="A1202" s="289">
        <v>1234</v>
      </c>
      <c r="B1202" s="289" t="s">
        <v>8182</v>
      </c>
      <c r="C1202" s="289"/>
      <c r="D1202" s="9" t="s">
        <v>8213</v>
      </c>
      <c r="E1202" s="22" t="s">
        <v>8071</v>
      </c>
      <c r="F1202" s="13" t="s">
        <v>8214</v>
      </c>
      <c r="G1202" s="285" t="s">
        <v>515</v>
      </c>
      <c r="H1202" s="285" t="s">
        <v>5127</v>
      </c>
      <c r="I1202" s="289"/>
      <c r="J1202" s="285" t="s">
        <v>3136</v>
      </c>
      <c r="K1202" s="14">
        <v>43237</v>
      </c>
      <c r="L1202" s="285">
        <v>426</v>
      </c>
      <c r="M1202" s="15">
        <v>43193</v>
      </c>
      <c r="N1202" s="24">
        <v>1</v>
      </c>
      <c r="O1202" s="63">
        <v>8900</v>
      </c>
      <c r="P1202" s="63">
        <v>8900</v>
      </c>
      <c r="Q1202" s="40">
        <f t="shared" si="32"/>
        <v>0</v>
      </c>
      <c r="R1202" s="285" t="s">
        <v>6111</v>
      </c>
      <c r="S1202" s="14">
        <v>43080</v>
      </c>
      <c r="T1202" s="22" t="s">
        <v>8205</v>
      </c>
    </row>
    <row r="1203" spans="1:20" ht="108" customHeight="1" x14ac:dyDescent="0.2">
      <c r="A1203" s="289">
        <v>1235</v>
      </c>
      <c r="B1203" s="289" t="s">
        <v>8183</v>
      </c>
      <c r="C1203" s="289"/>
      <c r="D1203" s="9" t="s">
        <v>8215</v>
      </c>
      <c r="E1203" s="22" t="s">
        <v>8071</v>
      </c>
      <c r="F1203" s="13" t="s">
        <v>8216</v>
      </c>
      <c r="G1203" s="285" t="s">
        <v>515</v>
      </c>
      <c r="H1203" s="285" t="s">
        <v>5127</v>
      </c>
      <c r="I1203" s="289"/>
      <c r="J1203" s="285" t="s">
        <v>3136</v>
      </c>
      <c r="K1203" s="14">
        <v>43237</v>
      </c>
      <c r="L1203" s="285">
        <v>426</v>
      </c>
      <c r="M1203" s="15">
        <v>43193</v>
      </c>
      <c r="N1203" s="24">
        <v>1</v>
      </c>
      <c r="O1203" s="63">
        <v>8500</v>
      </c>
      <c r="P1203" s="63">
        <v>8500</v>
      </c>
      <c r="Q1203" s="40">
        <f t="shared" si="32"/>
        <v>0</v>
      </c>
      <c r="R1203" s="285" t="s">
        <v>6111</v>
      </c>
      <c r="S1203" s="14">
        <v>43080</v>
      </c>
      <c r="T1203" s="22" t="s">
        <v>8205</v>
      </c>
    </row>
    <row r="1204" spans="1:20" ht="111" customHeight="1" x14ac:dyDescent="0.2">
      <c r="A1204" s="289">
        <v>1236</v>
      </c>
      <c r="B1204" s="289" t="s">
        <v>8184</v>
      </c>
      <c r="C1204" s="289"/>
      <c r="D1204" s="9" t="s">
        <v>5487</v>
      </c>
      <c r="E1204" s="22" t="s">
        <v>8071</v>
      </c>
      <c r="F1204" s="13" t="s">
        <v>8217</v>
      </c>
      <c r="G1204" s="285" t="s">
        <v>515</v>
      </c>
      <c r="H1204" s="285" t="s">
        <v>5127</v>
      </c>
      <c r="I1204" s="289"/>
      <c r="J1204" s="285" t="s">
        <v>3136</v>
      </c>
      <c r="K1204" s="14">
        <v>43237</v>
      </c>
      <c r="L1204" s="285">
        <v>426</v>
      </c>
      <c r="M1204" s="15">
        <v>43193</v>
      </c>
      <c r="N1204" s="24">
        <v>1</v>
      </c>
      <c r="O1204" s="63">
        <v>8465.65</v>
      </c>
      <c r="P1204" s="63">
        <v>8465.65</v>
      </c>
      <c r="Q1204" s="40">
        <f t="shared" si="32"/>
        <v>0</v>
      </c>
      <c r="R1204" s="285" t="s">
        <v>6111</v>
      </c>
      <c r="S1204" s="14">
        <v>43080</v>
      </c>
      <c r="T1204" s="22" t="s">
        <v>8205</v>
      </c>
    </row>
    <row r="1205" spans="1:20" ht="70.5" customHeight="1" x14ac:dyDescent="0.2">
      <c r="A1205" s="289">
        <v>1237</v>
      </c>
      <c r="B1205" s="289" t="s">
        <v>8250</v>
      </c>
      <c r="C1205" s="289"/>
      <c r="D1205" s="9" t="s">
        <v>8251</v>
      </c>
      <c r="E1205" s="22" t="s">
        <v>8071</v>
      </c>
      <c r="F1205" s="13" t="s">
        <v>8252</v>
      </c>
      <c r="G1205" s="285" t="s">
        <v>4946</v>
      </c>
      <c r="H1205" s="285" t="s">
        <v>5127</v>
      </c>
      <c r="I1205" s="289"/>
      <c r="J1205" s="285" t="s">
        <v>3136</v>
      </c>
      <c r="K1205" s="14">
        <v>43257</v>
      </c>
      <c r="L1205" s="285">
        <v>522</v>
      </c>
      <c r="M1205" s="15">
        <v>43235</v>
      </c>
      <c r="N1205" s="24">
        <v>1</v>
      </c>
      <c r="O1205" s="63">
        <v>5000</v>
      </c>
      <c r="P1205" s="63">
        <v>5000</v>
      </c>
      <c r="Q1205" s="40">
        <f t="shared" si="32"/>
        <v>0</v>
      </c>
      <c r="R1205" s="285" t="s">
        <v>3418</v>
      </c>
      <c r="S1205" s="14">
        <v>43235</v>
      </c>
      <c r="T1205" s="22" t="s">
        <v>8253</v>
      </c>
    </row>
    <row r="1206" spans="1:20" ht="84.75" customHeight="1" x14ac:dyDescent="0.2">
      <c r="A1206" s="289">
        <v>1238</v>
      </c>
      <c r="B1206" s="289" t="s">
        <v>8258</v>
      </c>
      <c r="C1206" s="289"/>
      <c r="D1206" s="9" t="s">
        <v>8260</v>
      </c>
      <c r="E1206" s="22" t="s">
        <v>8071</v>
      </c>
      <c r="F1206" s="13" t="s">
        <v>8261</v>
      </c>
      <c r="G1206" s="285" t="s">
        <v>792</v>
      </c>
      <c r="H1206" s="285" t="s">
        <v>5127</v>
      </c>
      <c r="I1206" s="289"/>
      <c r="J1206" s="285" t="s">
        <v>3136</v>
      </c>
      <c r="K1206" s="14">
        <v>43266</v>
      </c>
      <c r="L1206" s="285">
        <v>562</v>
      </c>
      <c r="M1206" s="15">
        <v>43259</v>
      </c>
      <c r="N1206" s="24">
        <v>2</v>
      </c>
      <c r="O1206" s="63">
        <v>6200</v>
      </c>
      <c r="P1206" s="63">
        <v>6200</v>
      </c>
      <c r="Q1206" s="40">
        <f t="shared" si="32"/>
        <v>0</v>
      </c>
      <c r="R1206" s="285" t="s">
        <v>5345</v>
      </c>
      <c r="S1206" s="14">
        <v>43250</v>
      </c>
      <c r="T1206" s="22" t="s">
        <v>8262</v>
      </c>
    </row>
    <row r="1207" spans="1:20" ht="84.75" customHeight="1" x14ac:dyDescent="0.2">
      <c r="A1207" s="289">
        <v>1239</v>
      </c>
      <c r="B1207" s="289" t="s">
        <v>8259</v>
      </c>
      <c r="C1207" s="289"/>
      <c r="D1207" s="9" t="s">
        <v>8263</v>
      </c>
      <c r="E1207" s="22" t="s">
        <v>8071</v>
      </c>
      <c r="F1207" s="13" t="s">
        <v>8264</v>
      </c>
      <c r="G1207" s="285" t="s">
        <v>792</v>
      </c>
      <c r="H1207" s="285" t="s">
        <v>5127</v>
      </c>
      <c r="I1207" s="289"/>
      <c r="J1207" s="285" t="s">
        <v>3136</v>
      </c>
      <c r="K1207" s="14">
        <v>43266</v>
      </c>
      <c r="L1207" s="285">
        <v>562</v>
      </c>
      <c r="M1207" s="15">
        <v>43259</v>
      </c>
      <c r="N1207" s="24">
        <v>1</v>
      </c>
      <c r="O1207" s="63">
        <v>12000</v>
      </c>
      <c r="P1207" s="63">
        <v>12000</v>
      </c>
      <c r="Q1207" s="40">
        <f t="shared" si="32"/>
        <v>0</v>
      </c>
      <c r="R1207" s="285" t="s">
        <v>5345</v>
      </c>
      <c r="S1207" s="14">
        <v>43250</v>
      </c>
      <c r="T1207" s="22" t="s">
        <v>8262</v>
      </c>
    </row>
    <row r="1208" spans="1:20" ht="73.5" customHeight="1" x14ac:dyDescent="0.2">
      <c r="A1208" s="289">
        <v>1240</v>
      </c>
      <c r="B1208" s="289" t="s">
        <v>8265</v>
      </c>
      <c r="C1208" s="289"/>
      <c r="D1208" s="9" t="s">
        <v>8266</v>
      </c>
      <c r="E1208" s="22" t="s">
        <v>8071</v>
      </c>
      <c r="F1208" s="13" t="s">
        <v>8267</v>
      </c>
      <c r="G1208" s="285" t="s">
        <v>7967</v>
      </c>
      <c r="H1208" s="285" t="s">
        <v>5127</v>
      </c>
      <c r="I1208" s="289"/>
      <c r="J1208" s="285" t="s">
        <v>3136</v>
      </c>
      <c r="K1208" s="14">
        <v>43270</v>
      </c>
      <c r="L1208" s="285">
        <v>571</v>
      </c>
      <c r="M1208" s="15">
        <v>43259</v>
      </c>
      <c r="N1208" s="24">
        <v>1</v>
      </c>
      <c r="O1208" s="63">
        <v>6450</v>
      </c>
      <c r="P1208" s="63">
        <v>6450</v>
      </c>
      <c r="Q1208" s="40">
        <f t="shared" si="32"/>
        <v>0</v>
      </c>
      <c r="R1208" s="285" t="s">
        <v>3418</v>
      </c>
      <c r="S1208" s="14">
        <v>43259</v>
      </c>
      <c r="T1208" s="22" t="s">
        <v>1029</v>
      </c>
    </row>
    <row r="1209" spans="1:20" ht="65.25" customHeight="1" x14ac:dyDescent="0.2">
      <c r="A1209" s="289">
        <v>1241</v>
      </c>
      <c r="B1209" s="289" t="s">
        <v>8268</v>
      </c>
      <c r="C1209" s="289"/>
      <c r="D1209" s="9" t="s">
        <v>8269</v>
      </c>
      <c r="E1209" s="22" t="s">
        <v>8071</v>
      </c>
      <c r="F1209" s="13" t="s">
        <v>8270</v>
      </c>
      <c r="G1209" s="285" t="s">
        <v>4946</v>
      </c>
      <c r="H1209" s="285" t="s">
        <v>5127</v>
      </c>
      <c r="I1209" s="289"/>
      <c r="J1209" s="285" t="s">
        <v>3136</v>
      </c>
      <c r="K1209" s="14">
        <v>43270</v>
      </c>
      <c r="L1209" s="285">
        <v>570</v>
      </c>
      <c r="M1209" s="15">
        <v>43258</v>
      </c>
      <c r="N1209" s="24">
        <v>1</v>
      </c>
      <c r="O1209" s="63">
        <v>5194</v>
      </c>
      <c r="P1209" s="63">
        <v>5194</v>
      </c>
      <c r="Q1209" s="40">
        <f t="shared" si="32"/>
        <v>0</v>
      </c>
      <c r="R1209" s="285" t="s">
        <v>3418</v>
      </c>
      <c r="S1209" s="14">
        <v>43257</v>
      </c>
      <c r="T1209" s="22" t="s">
        <v>8271</v>
      </c>
    </row>
    <row r="1210" spans="1:20" ht="66.75" customHeight="1" x14ac:dyDescent="0.2">
      <c r="A1210" s="289">
        <v>1242</v>
      </c>
      <c r="B1210" s="289" t="s">
        <v>8275</v>
      </c>
      <c r="C1210" s="289"/>
      <c r="D1210" s="9" t="s">
        <v>8276</v>
      </c>
      <c r="E1210" s="22" t="s">
        <v>8071</v>
      </c>
      <c r="F1210" s="13" t="s">
        <v>8277</v>
      </c>
      <c r="G1210" s="285" t="s">
        <v>7983</v>
      </c>
      <c r="H1210" s="285" t="s">
        <v>5127</v>
      </c>
      <c r="I1210" s="289"/>
      <c r="J1210" s="285" t="s">
        <v>3136</v>
      </c>
      <c r="K1210" s="14">
        <v>43277</v>
      </c>
      <c r="L1210" s="285">
        <v>605</v>
      </c>
      <c r="M1210" s="15">
        <v>43272</v>
      </c>
      <c r="N1210" s="24">
        <v>1</v>
      </c>
      <c r="O1210" s="63">
        <v>7900</v>
      </c>
      <c r="P1210" s="63">
        <v>7900</v>
      </c>
      <c r="Q1210" s="40">
        <f t="shared" si="32"/>
        <v>0</v>
      </c>
      <c r="R1210" s="285" t="s">
        <v>7155</v>
      </c>
      <c r="S1210" s="14">
        <v>43259</v>
      </c>
      <c r="T1210" s="22" t="s">
        <v>8278</v>
      </c>
    </row>
    <row r="1211" spans="1:20" ht="90.75" customHeight="1" x14ac:dyDescent="0.2">
      <c r="A1211" s="289">
        <v>1243</v>
      </c>
      <c r="B1211" s="289" t="s">
        <v>8285</v>
      </c>
      <c r="C1211" s="289"/>
      <c r="D1211" s="9" t="s">
        <v>8286</v>
      </c>
      <c r="E1211" s="22" t="s">
        <v>8071</v>
      </c>
      <c r="F1211" s="13" t="s">
        <v>8287</v>
      </c>
      <c r="G1211" s="285" t="s">
        <v>792</v>
      </c>
      <c r="H1211" s="285" t="s">
        <v>5127</v>
      </c>
      <c r="I1211" s="289"/>
      <c r="J1211" s="285" t="s">
        <v>3136</v>
      </c>
      <c r="K1211" s="14">
        <v>43285</v>
      </c>
      <c r="L1211" s="285">
        <v>651</v>
      </c>
      <c r="M1211" s="15">
        <v>43259</v>
      </c>
      <c r="N1211" s="24">
        <v>1</v>
      </c>
      <c r="O1211" s="63">
        <v>7830</v>
      </c>
      <c r="P1211" s="63">
        <v>7830</v>
      </c>
      <c r="Q1211" s="40">
        <f t="shared" si="32"/>
        <v>0</v>
      </c>
      <c r="R1211" s="285" t="s">
        <v>5345</v>
      </c>
      <c r="S1211" s="14">
        <v>43245</v>
      </c>
      <c r="T1211" s="22" t="s">
        <v>8288</v>
      </c>
    </row>
    <row r="1212" spans="1:20" ht="42.75" customHeight="1" x14ac:dyDescent="0.2">
      <c r="A1212" s="289">
        <v>1244</v>
      </c>
      <c r="B1212" s="289" t="s">
        <v>8344</v>
      </c>
      <c r="C1212" s="289"/>
      <c r="D1212" s="9" t="s">
        <v>1300</v>
      </c>
      <c r="E1212" s="22" t="s">
        <v>8071</v>
      </c>
      <c r="F1212" s="13" t="s">
        <v>8345</v>
      </c>
      <c r="G1212" s="285" t="s">
        <v>101</v>
      </c>
      <c r="H1212" s="285" t="s">
        <v>5127</v>
      </c>
      <c r="I1212" s="289"/>
      <c r="J1212" s="285" t="s">
        <v>3136</v>
      </c>
      <c r="K1212" s="14">
        <v>43322</v>
      </c>
      <c r="L1212" s="285">
        <v>792</v>
      </c>
      <c r="M1212" s="15">
        <v>43293</v>
      </c>
      <c r="N1212" s="24">
        <v>4</v>
      </c>
      <c r="O1212" s="63">
        <v>14000</v>
      </c>
      <c r="P1212" s="63">
        <v>14000</v>
      </c>
      <c r="Q1212" s="40">
        <f t="shared" si="32"/>
        <v>0</v>
      </c>
      <c r="R1212" s="285" t="s">
        <v>3418</v>
      </c>
      <c r="S1212" s="15">
        <v>43292</v>
      </c>
      <c r="T1212" s="22">
        <v>3120182066</v>
      </c>
    </row>
    <row r="1213" spans="1:20" ht="87.75" customHeight="1" x14ac:dyDescent="0.2">
      <c r="A1213" s="289">
        <v>1245</v>
      </c>
      <c r="B1213" s="289" t="s">
        <v>8368</v>
      </c>
      <c r="C1213" s="289"/>
      <c r="D1213" s="9" t="s">
        <v>7755</v>
      </c>
      <c r="E1213" s="22" t="s">
        <v>8071</v>
      </c>
      <c r="F1213" s="13" t="s">
        <v>8370</v>
      </c>
      <c r="G1213" s="285" t="s">
        <v>792</v>
      </c>
      <c r="H1213" s="285" t="s">
        <v>5127</v>
      </c>
      <c r="I1213" s="289"/>
      <c r="J1213" s="285" t="s">
        <v>3136</v>
      </c>
      <c r="K1213" s="14">
        <v>43382</v>
      </c>
      <c r="L1213" s="285">
        <v>983</v>
      </c>
      <c r="M1213" s="15">
        <v>43325</v>
      </c>
      <c r="N1213" s="24">
        <v>1</v>
      </c>
      <c r="O1213" s="63">
        <v>8540</v>
      </c>
      <c r="P1213" s="63">
        <v>8540</v>
      </c>
      <c r="Q1213" s="40">
        <f t="shared" si="32"/>
        <v>0</v>
      </c>
      <c r="R1213" s="285" t="s">
        <v>8369</v>
      </c>
      <c r="S1213" s="15">
        <v>43312</v>
      </c>
      <c r="T1213" s="22" t="s">
        <v>1029</v>
      </c>
    </row>
    <row r="1214" spans="1:20" ht="90.75" customHeight="1" x14ac:dyDescent="0.2">
      <c r="A1214" s="289">
        <v>1246</v>
      </c>
      <c r="B1214" s="289" t="s">
        <v>8371</v>
      </c>
      <c r="C1214" s="289"/>
      <c r="D1214" s="9" t="s">
        <v>8266</v>
      </c>
      <c r="E1214" s="22" t="s">
        <v>8071</v>
      </c>
      <c r="F1214" s="13" t="s">
        <v>8373</v>
      </c>
      <c r="G1214" s="285" t="s">
        <v>7981</v>
      </c>
      <c r="H1214" s="285" t="s">
        <v>5127</v>
      </c>
      <c r="I1214" s="289"/>
      <c r="J1214" s="285" t="s">
        <v>3136</v>
      </c>
      <c r="K1214" s="14">
        <v>43382</v>
      </c>
      <c r="L1214" s="285">
        <v>982</v>
      </c>
      <c r="M1214" s="15">
        <v>43241</v>
      </c>
      <c r="N1214" s="24">
        <v>1</v>
      </c>
      <c r="O1214" s="63">
        <v>7000</v>
      </c>
      <c r="P1214" s="63">
        <v>7000</v>
      </c>
      <c r="Q1214" s="40">
        <f t="shared" si="32"/>
        <v>0</v>
      </c>
      <c r="R1214" s="285" t="s">
        <v>5345</v>
      </c>
      <c r="S1214" s="15">
        <v>43241</v>
      </c>
      <c r="T1214" s="22" t="s">
        <v>1029</v>
      </c>
    </row>
    <row r="1215" spans="1:20" ht="90" customHeight="1" x14ac:dyDescent="0.2">
      <c r="A1215" s="289">
        <v>1247</v>
      </c>
      <c r="B1215" s="289" t="s">
        <v>8372</v>
      </c>
      <c r="C1215" s="289"/>
      <c r="D1215" s="9" t="s">
        <v>8374</v>
      </c>
      <c r="E1215" s="22" t="s">
        <v>8071</v>
      </c>
      <c r="F1215" s="13" t="s">
        <v>8375</v>
      </c>
      <c r="G1215" s="285" t="s">
        <v>7981</v>
      </c>
      <c r="H1215" s="285" t="s">
        <v>5127</v>
      </c>
      <c r="I1215" s="289"/>
      <c r="J1215" s="285" t="s">
        <v>3136</v>
      </c>
      <c r="K1215" s="14">
        <v>43382</v>
      </c>
      <c r="L1215" s="285">
        <v>982</v>
      </c>
      <c r="M1215" s="15">
        <v>43293</v>
      </c>
      <c r="N1215" s="24">
        <v>1</v>
      </c>
      <c r="O1215" s="63">
        <v>6000</v>
      </c>
      <c r="P1215" s="63">
        <v>6000</v>
      </c>
      <c r="Q1215" s="40">
        <f t="shared" si="32"/>
        <v>0</v>
      </c>
      <c r="R1215" s="285" t="s">
        <v>5345</v>
      </c>
      <c r="S1215" s="15">
        <v>43293</v>
      </c>
      <c r="T1215" s="22" t="s">
        <v>1029</v>
      </c>
    </row>
    <row r="1216" spans="1:20" ht="71.25" customHeight="1" x14ac:dyDescent="0.2">
      <c r="A1216" s="289">
        <v>1248</v>
      </c>
      <c r="B1216" s="289" t="s">
        <v>8376</v>
      </c>
      <c r="C1216" s="289"/>
      <c r="D1216" s="9" t="s">
        <v>8379</v>
      </c>
      <c r="E1216" s="22" t="s">
        <v>8071</v>
      </c>
      <c r="F1216" s="13" t="s">
        <v>8377</v>
      </c>
      <c r="G1216" s="285" t="s">
        <v>4946</v>
      </c>
      <c r="H1216" s="285" t="s">
        <v>5127</v>
      </c>
      <c r="I1216" s="289"/>
      <c r="J1216" s="285" t="s">
        <v>3136</v>
      </c>
      <c r="K1216" s="14">
        <v>43382</v>
      </c>
      <c r="L1216" s="285">
        <v>978</v>
      </c>
      <c r="M1216" s="15">
        <v>43327</v>
      </c>
      <c r="N1216" s="24">
        <v>3</v>
      </c>
      <c r="O1216" s="63">
        <f>5700*3</f>
        <v>17100</v>
      </c>
      <c r="P1216" s="63">
        <f>O1216</f>
        <v>17100</v>
      </c>
      <c r="Q1216" s="40">
        <f t="shared" si="32"/>
        <v>0</v>
      </c>
      <c r="R1216" s="285" t="s">
        <v>3418</v>
      </c>
      <c r="S1216" s="15">
        <v>43326</v>
      </c>
      <c r="T1216" s="22" t="s">
        <v>8378</v>
      </c>
    </row>
    <row r="1217" spans="1:20" ht="69" customHeight="1" x14ac:dyDescent="0.2">
      <c r="A1217" s="289">
        <v>1249</v>
      </c>
      <c r="B1217" s="289" t="s">
        <v>8380</v>
      </c>
      <c r="C1217" s="289"/>
      <c r="D1217" s="9" t="s">
        <v>8395</v>
      </c>
      <c r="E1217" s="22" t="s">
        <v>8071</v>
      </c>
      <c r="F1217" s="13" t="s">
        <v>8381</v>
      </c>
      <c r="G1217" s="285" t="s">
        <v>7982</v>
      </c>
      <c r="H1217" s="285" t="s">
        <v>5127</v>
      </c>
      <c r="I1217" s="289"/>
      <c r="J1217" s="285" t="s">
        <v>3136</v>
      </c>
      <c r="K1217" s="14">
        <v>43382</v>
      </c>
      <c r="L1217" s="285">
        <v>979</v>
      </c>
      <c r="M1217" s="15">
        <v>43286</v>
      </c>
      <c r="N1217" s="24">
        <v>1</v>
      </c>
      <c r="O1217" s="63">
        <v>3850</v>
      </c>
      <c r="P1217" s="63">
        <v>3850</v>
      </c>
      <c r="Q1217" s="40">
        <f t="shared" si="32"/>
        <v>0</v>
      </c>
      <c r="R1217" s="285" t="s">
        <v>3418</v>
      </c>
      <c r="S1217" s="15">
        <v>43286</v>
      </c>
      <c r="T1217" s="22" t="s">
        <v>8382</v>
      </c>
    </row>
    <row r="1218" spans="1:20" ht="57.75" customHeight="1" x14ac:dyDescent="0.2">
      <c r="A1218" s="289">
        <v>1250</v>
      </c>
      <c r="B1218" s="289" t="s">
        <v>8388</v>
      </c>
      <c r="C1218" s="289"/>
      <c r="D1218" s="9" t="s">
        <v>8396</v>
      </c>
      <c r="E1218" s="22" t="s">
        <v>8071</v>
      </c>
      <c r="F1218" s="13" t="s">
        <v>8397</v>
      </c>
      <c r="G1218" s="285" t="s">
        <v>515</v>
      </c>
      <c r="H1218" s="285" t="s">
        <v>5127</v>
      </c>
      <c r="I1218" s="289"/>
      <c r="J1218" s="285" t="s">
        <v>3136</v>
      </c>
      <c r="K1218" s="14">
        <v>43383</v>
      </c>
      <c r="L1218" s="285">
        <v>986</v>
      </c>
      <c r="M1218" s="15">
        <v>43292</v>
      </c>
      <c r="N1218" s="24">
        <v>1</v>
      </c>
      <c r="O1218" s="63">
        <v>6300</v>
      </c>
      <c r="P1218" s="63">
        <v>6300</v>
      </c>
      <c r="Q1218" s="40">
        <f t="shared" si="32"/>
        <v>0</v>
      </c>
      <c r="R1218" s="285" t="s">
        <v>5110</v>
      </c>
      <c r="S1218" s="15">
        <v>43292</v>
      </c>
      <c r="T1218" s="22" t="s">
        <v>8402</v>
      </c>
    </row>
    <row r="1219" spans="1:20" ht="72.75" customHeight="1" x14ac:dyDescent="0.2">
      <c r="A1219" s="289">
        <v>1251</v>
      </c>
      <c r="B1219" s="289" t="s">
        <v>8389</v>
      </c>
      <c r="C1219" s="289"/>
      <c r="D1219" s="9" t="s">
        <v>8398</v>
      </c>
      <c r="E1219" s="22" t="s">
        <v>8071</v>
      </c>
      <c r="F1219" s="13" t="s">
        <v>8399</v>
      </c>
      <c r="G1219" s="285" t="s">
        <v>515</v>
      </c>
      <c r="H1219" s="285" t="s">
        <v>5127</v>
      </c>
      <c r="I1219" s="289"/>
      <c r="J1219" s="285" t="s">
        <v>3136</v>
      </c>
      <c r="K1219" s="14">
        <v>43383</v>
      </c>
      <c r="L1219" s="285">
        <v>986</v>
      </c>
      <c r="M1219" s="15">
        <v>43320</v>
      </c>
      <c r="N1219" s="24">
        <v>1</v>
      </c>
      <c r="O1219" s="63">
        <v>9600</v>
      </c>
      <c r="P1219" s="63">
        <v>9600</v>
      </c>
      <c r="Q1219" s="40">
        <f t="shared" si="32"/>
        <v>0</v>
      </c>
      <c r="R1219" s="285" t="s">
        <v>8403</v>
      </c>
      <c r="S1219" s="15">
        <v>43320</v>
      </c>
      <c r="T1219" s="22" t="s">
        <v>8404</v>
      </c>
    </row>
    <row r="1220" spans="1:20" ht="75.75" customHeight="1" x14ac:dyDescent="0.2">
      <c r="A1220" s="289">
        <v>1252</v>
      </c>
      <c r="B1220" s="289" t="s">
        <v>8394</v>
      </c>
      <c r="C1220" s="289"/>
      <c r="D1220" s="9" t="s">
        <v>8400</v>
      </c>
      <c r="E1220" s="22" t="s">
        <v>8071</v>
      </c>
      <c r="F1220" s="13" t="s">
        <v>8401</v>
      </c>
      <c r="G1220" s="285" t="s">
        <v>515</v>
      </c>
      <c r="H1220" s="285" t="s">
        <v>5127</v>
      </c>
      <c r="I1220" s="289"/>
      <c r="J1220" s="285" t="s">
        <v>3136</v>
      </c>
      <c r="K1220" s="14">
        <v>43383</v>
      </c>
      <c r="L1220" s="285">
        <v>986</v>
      </c>
      <c r="M1220" s="15">
        <v>43320</v>
      </c>
      <c r="N1220" s="24">
        <v>2</v>
      </c>
      <c r="O1220" s="63">
        <f>9900*2</f>
        <v>19800</v>
      </c>
      <c r="P1220" s="63">
        <f>9900*2</f>
        <v>19800</v>
      </c>
      <c r="Q1220" s="40">
        <f t="shared" si="32"/>
        <v>0</v>
      </c>
      <c r="R1220" s="285" t="s">
        <v>8403</v>
      </c>
      <c r="S1220" s="15">
        <v>43320</v>
      </c>
      <c r="T1220" s="22" t="s">
        <v>8404</v>
      </c>
    </row>
    <row r="1221" spans="1:20" ht="65.25" customHeight="1" x14ac:dyDescent="0.2">
      <c r="A1221" s="289">
        <v>1253</v>
      </c>
      <c r="B1221" s="289" t="s">
        <v>8461</v>
      </c>
      <c r="C1221" s="289"/>
      <c r="D1221" s="9" t="s">
        <v>8462</v>
      </c>
      <c r="E1221" s="22" t="s">
        <v>8071</v>
      </c>
      <c r="F1221" s="13" t="s">
        <v>8463</v>
      </c>
      <c r="G1221" s="285" t="s">
        <v>7983</v>
      </c>
      <c r="H1221" s="285" t="s">
        <v>5127</v>
      </c>
      <c r="I1221" s="289"/>
      <c r="J1221" s="285" t="s">
        <v>3136</v>
      </c>
      <c r="K1221" s="14">
        <v>43423</v>
      </c>
      <c r="L1221" s="285">
        <v>1101</v>
      </c>
      <c r="M1221" s="15">
        <v>43410</v>
      </c>
      <c r="N1221" s="24">
        <v>1</v>
      </c>
      <c r="O1221" s="63">
        <v>32671</v>
      </c>
      <c r="P1221" s="63">
        <v>32671</v>
      </c>
      <c r="Q1221" s="40">
        <v>0</v>
      </c>
      <c r="R1221" s="285" t="s">
        <v>7155</v>
      </c>
      <c r="S1221" s="15">
        <v>43410</v>
      </c>
      <c r="T1221" s="22" t="s">
        <v>8464</v>
      </c>
    </row>
    <row r="1222" spans="1:20" ht="72.75" customHeight="1" x14ac:dyDescent="0.2">
      <c r="A1222" s="289">
        <v>1254</v>
      </c>
      <c r="B1222" s="289" t="s">
        <v>8510</v>
      </c>
      <c r="C1222" s="289"/>
      <c r="D1222" s="9" t="s">
        <v>8511</v>
      </c>
      <c r="E1222" s="285">
        <v>2018</v>
      </c>
      <c r="F1222" s="9" t="s">
        <v>8525</v>
      </c>
      <c r="G1222" s="285" t="s">
        <v>4877</v>
      </c>
      <c r="H1222" s="285" t="s">
        <v>3793</v>
      </c>
      <c r="I1222" s="18"/>
      <c r="J1222" s="285" t="s">
        <v>3136</v>
      </c>
      <c r="K1222" s="15">
        <v>43444</v>
      </c>
      <c r="L1222" s="12" t="s">
        <v>8521</v>
      </c>
      <c r="M1222" s="15">
        <v>43438</v>
      </c>
      <c r="N1222" s="338">
        <v>14</v>
      </c>
      <c r="O1222" s="61">
        <v>56000</v>
      </c>
      <c r="P1222" s="61">
        <v>56000</v>
      </c>
      <c r="Q1222" s="62">
        <f t="shared" ref="Q1222:Q1253" si="33">O1222-P1222</f>
        <v>0</v>
      </c>
      <c r="R1222" s="285" t="s">
        <v>7155</v>
      </c>
      <c r="S1222" s="15">
        <v>43379</v>
      </c>
      <c r="T1222" s="22" t="s">
        <v>8519</v>
      </c>
    </row>
    <row r="1223" spans="1:20" ht="81.75" customHeight="1" x14ac:dyDescent="0.2">
      <c r="A1223" s="289">
        <v>1255</v>
      </c>
      <c r="B1223" s="289" t="s">
        <v>8512</v>
      </c>
      <c r="C1223" s="289"/>
      <c r="D1223" s="9" t="s">
        <v>8513</v>
      </c>
      <c r="E1223" s="285">
        <v>2018</v>
      </c>
      <c r="F1223" s="9" t="s">
        <v>8525</v>
      </c>
      <c r="G1223" s="285" t="s">
        <v>4877</v>
      </c>
      <c r="H1223" s="285" t="s">
        <v>3793</v>
      </c>
      <c r="I1223" s="18"/>
      <c r="J1223" s="285" t="s">
        <v>3136</v>
      </c>
      <c r="K1223" s="15">
        <v>43444</v>
      </c>
      <c r="L1223" s="12" t="s">
        <v>8521</v>
      </c>
      <c r="M1223" s="15">
        <v>43438</v>
      </c>
      <c r="N1223" s="338">
        <v>14</v>
      </c>
      <c r="O1223" s="61">
        <v>119000</v>
      </c>
      <c r="P1223" s="61">
        <v>119000</v>
      </c>
      <c r="Q1223" s="62">
        <f t="shared" si="33"/>
        <v>0</v>
      </c>
      <c r="R1223" s="285" t="s">
        <v>7155</v>
      </c>
      <c r="S1223" s="15">
        <v>43379</v>
      </c>
      <c r="T1223" s="22" t="s">
        <v>8519</v>
      </c>
    </row>
    <row r="1224" spans="1:20" ht="81.75" customHeight="1" x14ac:dyDescent="0.2">
      <c r="A1224" s="289">
        <v>1256</v>
      </c>
      <c r="B1224" s="289" t="s">
        <v>8514</v>
      </c>
      <c r="C1224" s="289"/>
      <c r="D1224" s="9" t="s">
        <v>8524</v>
      </c>
      <c r="E1224" s="285">
        <v>2018</v>
      </c>
      <c r="F1224" s="9" t="s">
        <v>8525</v>
      </c>
      <c r="G1224" s="285" t="s">
        <v>4877</v>
      </c>
      <c r="H1224" s="285" t="s">
        <v>3793</v>
      </c>
      <c r="I1224" s="18"/>
      <c r="J1224" s="285" t="s">
        <v>3136</v>
      </c>
      <c r="K1224" s="15">
        <v>43444</v>
      </c>
      <c r="L1224" s="12" t="s">
        <v>8521</v>
      </c>
      <c r="M1224" s="15">
        <v>43438</v>
      </c>
      <c r="N1224" s="338">
        <v>6</v>
      </c>
      <c r="O1224" s="61">
        <v>42000</v>
      </c>
      <c r="P1224" s="61">
        <v>42000</v>
      </c>
      <c r="Q1224" s="62">
        <f t="shared" si="33"/>
        <v>0</v>
      </c>
      <c r="R1224" s="285" t="s">
        <v>7155</v>
      </c>
      <c r="S1224" s="15">
        <v>43379</v>
      </c>
      <c r="T1224" s="22" t="s">
        <v>8519</v>
      </c>
    </row>
    <row r="1225" spans="1:20" ht="78" customHeight="1" x14ac:dyDescent="0.2">
      <c r="A1225" s="289">
        <v>1257</v>
      </c>
      <c r="B1225" s="289" t="s">
        <v>8515</v>
      </c>
      <c r="C1225" s="289"/>
      <c r="D1225" s="9" t="s">
        <v>8523</v>
      </c>
      <c r="E1225" s="285">
        <v>2018</v>
      </c>
      <c r="F1225" s="9" t="s">
        <v>8525</v>
      </c>
      <c r="G1225" s="285" t="s">
        <v>4877</v>
      </c>
      <c r="H1225" s="285" t="s">
        <v>3793</v>
      </c>
      <c r="I1225" s="18"/>
      <c r="J1225" s="285" t="s">
        <v>3136</v>
      </c>
      <c r="K1225" s="15">
        <v>43444</v>
      </c>
      <c r="L1225" s="12" t="s">
        <v>8521</v>
      </c>
      <c r="M1225" s="15">
        <v>43438</v>
      </c>
      <c r="N1225" s="338">
        <v>2</v>
      </c>
      <c r="O1225" s="61">
        <v>13497</v>
      </c>
      <c r="P1225" s="61">
        <v>13497</v>
      </c>
      <c r="Q1225" s="62">
        <f t="shared" si="33"/>
        <v>0</v>
      </c>
      <c r="R1225" s="285" t="s">
        <v>7155</v>
      </c>
      <c r="S1225" s="15">
        <v>43379</v>
      </c>
      <c r="T1225" s="22" t="s">
        <v>8519</v>
      </c>
    </row>
    <row r="1226" spans="1:20" ht="74.25" customHeight="1" x14ac:dyDescent="0.2">
      <c r="A1226" s="289">
        <v>1258</v>
      </c>
      <c r="B1226" s="289" t="s">
        <v>8516</v>
      </c>
      <c r="C1226" s="289"/>
      <c r="D1226" s="9" t="s">
        <v>8517</v>
      </c>
      <c r="E1226" s="285">
        <v>2018</v>
      </c>
      <c r="F1226" s="9" t="s">
        <v>8522</v>
      </c>
      <c r="G1226" s="285" t="s">
        <v>4877</v>
      </c>
      <c r="H1226" s="285" t="s">
        <v>3793</v>
      </c>
      <c r="I1226" s="18"/>
      <c r="J1226" s="285" t="s">
        <v>3136</v>
      </c>
      <c r="K1226" s="15">
        <v>43444</v>
      </c>
      <c r="L1226" s="12" t="s">
        <v>8521</v>
      </c>
      <c r="M1226" s="15">
        <v>43438</v>
      </c>
      <c r="N1226" s="338">
        <v>6</v>
      </c>
      <c r="O1226" s="62">
        <v>127107</v>
      </c>
      <c r="P1226" s="61">
        <v>127107</v>
      </c>
      <c r="Q1226" s="62">
        <f t="shared" si="33"/>
        <v>0</v>
      </c>
      <c r="R1226" s="285" t="s">
        <v>7155</v>
      </c>
      <c r="S1226" s="15">
        <v>43264</v>
      </c>
      <c r="T1226" s="22" t="s">
        <v>8520</v>
      </c>
    </row>
    <row r="1227" spans="1:20" ht="70.5" customHeight="1" x14ac:dyDescent="0.2">
      <c r="A1227" s="289">
        <v>1259</v>
      </c>
      <c r="B1227" s="289" t="s">
        <v>8518</v>
      </c>
      <c r="C1227" s="289"/>
      <c r="D1227" s="9" t="s">
        <v>8511</v>
      </c>
      <c r="E1227" s="285">
        <v>2018</v>
      </c>
      <c r="F1227" s="9" t="s">
        <v>8522</v>
      </c>
      <c r="G1227" s="285" t="s">
        <v>4877</v>
      </c>
      <c r="H1227" s="285" t="s">
        <v>3793</v>
      </c>
      <c r="I1227" s="18"/>
      <c r="J1227" s="285" t="s">
        <v>3136</v>
      </c>
      <c r="K1227" s="15">
        <v>43444</v>
      </c>
      <c r="L1227" s="12" t="s">
        <v>8521</v>
      </c>
      <c r="M1227" s="15">
        <v>43438</v>
      </c>
      <c r="N1227" s="338">
        <v>5</v>
      </c>
      <c r="O1227" s="61">
        <v>8639</v>
      </c>
      <c r="P1227" s="61">
        <v>8639</v>
      </c>
      <c r="Q1227" s="62">
        <f t="shared" si="33"/>
        <v>0</v>
      </c>
      <c r="R1227" s="285" t="s">
        <v>7155</v>
      </c>
      <c r="S1227" s="15">
        <v>43264</v>
      </c>
      <c r="T1227" s="22" t="s">
        <v>8520</v>
      </c>
    </row>
    <row r="1228" spans="1:20" ht="74.25" customHeight="1" x14ac:dyDescent="0.2">
      <c r="A1228" s="289">
        <v>1260</v>
      </c>
      <c r="B1228" s="289" t="s">
        <v>8529</v>
      </c>
      <c r="C1228" s="289"/>
      <c r="D1228" s="9" t="s">
        <v>8530</v>
      </c>
      <c r="E1228" s="285">
        <v>2018</v>
      </c>
      <c r="F1228" s="9" t="s">
        <v>8532</v>
      </c>
      <c r="G1228" s="285" t="s">
        <v>7982</v>
      </c>
      <c r="H1228" s="285" t="s">
        <v>5127</v>
      </c>
      <c r="I1228" s="289"/>
      <c r="J1228" s="285" t="s">
        <v>3136</v>
      </c>
      <c r="K1228" s="15">
        <v>43454</v>
      </c>
      <c r="L1228" s="12" t="s">
        <v>8536</v>
      </c>
      <c r="M1228" s="15">
        <v>43434</v>
      </c>
      <c r="N1228" s="24">
        <v>2</v>
      </c>
      <c r="O1228" s="63">
        <v>21104</v>
      </c>
      <c r="P1228" s="63">
        <v>21104</v>
      </c>
      <c r="Q1228" s="40">
        <f t="shared" si="33"/>
        <v>0</v>
      </c>
      <c r="R1228" s="285" t="s">
        <v>3418</v>
      </c>
      <c r="S1228" s="15">
        <v>43417</v>
      </c>
      <c r="T1228" s="22" t="s">
        <v>8531</v>
      </c>
    </row>
    <row r="1229" spans="1:20" ht="93.75" customHeight="1" x14ac:dyDescent="0.2">
      <c r="A1229" s="289">
        <v>1261</v>
      </c>
      <c r="B1229" s="289" t="s">
        <v>8275</v>
      </c>
      <c r="C1229" s="289"/>
      <c r="D1229" s="9" t="s">
        <v>8540</v>
      </c>
      <c r="E1229" s="285">
        <v>2018</v>
      </c>
      <c r="F1229" s="9" t="s">
        <v>8541</v>
      </c>
      <c r="G1229" s="285" t="s">
        <v>7934</v>
      </c>
      <c r="H1229" s="285" t="s">
        <v>5127</v>
      </c>
      <c r="I1229" s="289"/>
      <c r="J1229" s="285" t="s">
        <v>3136</v>
      </c>
      <c r="K1229" s="15">
        <v>43460</v>
      </c>
      <c r="L1229" s="12" t="s">
        <v>8555</v>
      </c>
      <c r="M1229" s="15">
        <v>43445</v>
      </c>
      <c r="N1229" s="24">
        <v>1</v>
      </c>
      <c r="O1229" s="63">
        <v>56999</v>
      </c>
      <c r="P1229" s="63">
        <v>56999</v>
      </c>
      <c r="Q1229" s="40">
        <f t="shared" si="33"/>
        <v>0</v>
      </c>
      <c r="R1229" s="285" t="s">
        <v>3418</v>
      </c>
      <c r="S1229" s="15">
        <v>43445</v>
      </c>
      <c r="T1229" s="22" t="s">
        <v>8542</v>
      </c>
    </row>
    <row r="1230" spans="1:20" ht="66" customHeight="1" x14ac:dyDescent="0.2">
      <c r="A1230" s="289">
        <v>1262</v>
      </c>
      <c r="B1230" s="289" t="s">
        <v>8543</v>
      </c>
      <c r="C1230" s="289"/>
      <c r="D1230" s="9" t="s">
        <v>8544</v>
      </c>
      <c r="E1230" s="285">
        <v>2018</v>
      </c>
      <c r="F1230" s="9" t="s">
        <v>8545</v>
      </c>
      <c r="G1230" s="285" t="s">
        <v>4946</v>
      </c>
      <c r="H1230" s="285" t="s">
        <v>5127</v>
      </c>
      <c r="I1230" s="289"/>
      <c r="J1230" s="285" t="s">
        <v>3136</v>
      </c>
      <c r="K1230" s="15">
        <v>43462</v>
      </c>
      <c r="L1230" s="12" t="s">
        <v>8566</v>
      </c>
      <c r="M1230" s="15">
        <v>43441</v>
      </c>
      <c r="N1230" s="24">
        <v>1</v>
      </c>
      <c r="O1230" s="63">
        <v>13000</v>
      </c>
      <c r="P1230" s="63">
        <v>13000</v>
      </c>
      <c r="Q1230" s="40">
        <f t="shared" si="33"/>
        <v>0</v>
      </c>
      <c r="R1230" s="285" t="s">
        <v>3588</v>
      </c>
      <c r="S1230" s="15">
        <v>43441</v>
      </c>
      <c r="T1230" s="22" t="s">
        <v>8546</v>
      </c>
    </row>
    <row r="1231" spans="1:20" ht="105.6" customHeight="1" x14ac:dyDescent="0.2">
      <c r="A1231" s="289">
        <v>1263</v>
      </c>
      <c r="B1231" s="289" t="s">
        <v>8547</v>
      </c>
      <c r="C1231" s="289"/>
      <c r="D1231" s="9" t="s">
        <v>8548</v>
      </c>
      <c r="E1231" s="285">
        <v>2018</v>
      </c>
      <c r="F1231" s="9" t="s">
        <v>8549</v>
      </c>
      <c r="G1231" s="285" t="s">
        <v>4877</v>
      </c>
      <c r="H1231" s="285" t="s">
        <v>3793</v>
      </c>
      <c r="I1231" s="18"/>
      <c r="J1231" s="285" t="s">
        <v>3136</v>
      </c>
      <c r="K1231" s="15">
        <v>43462</v>
      </c>
      <c r="L1231" s="12" t="s">
        <v>8565</v>
      </c>
      <c r="M1231" s="15">
        <v>43437</v>
      </c>
      <c r="N1231" s="24">
        <v>1</v>
      </c>
      <c r="O1231" s="63">
        <v>161061.67000000001</v>
      </c>
      <c r="P1231" s="63">
        <v>86283</v>
      </c>
      <c r="Q1231" s="40">
        <f t="shared" si="33"/>
        <v>74778.670000000013</v>
      </c>
      <c r="R1231" s="285" t="s">
        <v>8550</v>
      </c>
      <c r="S1231" s="15">
        <v>43379</v>
      </c>
      <c r="T1231" s="22" t="s">
        <v>8551</v>
      </c>
    </row>
    <row r="1232" spans="1:20" ht="73.5" customHeight="1" x14ac:dyDescent="0.2">
      <c r="A1232" s="289">
        <v>1264</v>
      </c>
      <c r="B1232" s="289" t="s">
        <v>8609</v>
      </c>
      <c r="C1232" s="289"/>
      <c r="D1232" s="9" t="s">
        <v>8610</v>
      </c>
      <c r="E1232" s="22" t="s">
        <v>8611</v>
      </c>
      <c r="F1232" s="9" t="s">
        <v>8620</v>
      </c>
      <c r="G1232" s="285" t="s">
        <v>792</v>
      </c>
      <c r="H1232" s="285" t="s">
        <v>5127</v>
      </c>
      <c r="I1232" s="289"/>
      <c r="J1232" s="285" t="s">
        <v>3136</v>
      </c>
      <c r="K1232" s="15">
        <v>43493</v>
      </c>
      <c r="L1232" s="12" t="s">
        <v>8619</v>
      </c>
      <c r="M1232" s="15">
        <v>43486</v>
      </c>
      <c r="N1232" s="24">
        <v>1</v>
      </c>
      <c r="O1232" s="63">
        <v>17999</v>
      </c>
      <c r="P1232" s="63">
        <v>17999</v>
      </c>
      <c r="Q1232" s="40">
        <f t="shared" si="33"/>
        <v>0</v>
      </c>
      <c r="R1232" s="285" t="s">
        <v>5110</v>
      </c>
      <c r="S1232" s="15">
        <v>43479</v>
      </c>
      <c r="T1232" s="22" t="s">
        <v>3665</v>
      </c>
    </row>
    <row r="1233" spans="1:20" ht="119.25" customHeight="1" x14ac:dyDescent="0.2">
      <c r="A1233" s="289">
        <v>1265</v>
      </c>
      <c r="B1233" s="289" t="s">
        <v>8751</v>
      </c>
      <c r="C1233" s="289"/>
      <c r="D1233" s="9" t="s">
        <v>8759</v>
      </c>
      <c r="E1233" s="22" t="s">
        <v>8615</v>
      </c>
      <c r="F1233" s="9"/>
      <c r="G1233" s="285" t="s">
        <v>7981</v>
      </c>
      <c r="H1233" s="285" t="s">
        <v>5127</v>
      </c>
      <c r="I1233" s="289"/>
      <c r="J1233" s="285" t="s">
        <v>3136</v>
      </c>
      <c r="K1233" s="15">
        <v>43531</v>
      </c>
      <c r="L1233" s="12" t="s">
        <v>8776</v>
      </c>
      <c r="M1233" s="15">
        <v>43493</v>
      </c>
      <c r="N1233" s="24">
        <v>1</v>
      </c>
      <c r="O1233" s="63">
        <v>5732.1</v>
      </c>
      <c r="P1233" s="63">
        <v>5732.1</v>
      </c>
      <c r="Q1233" s="40">
        <f t="shared" si="33"/>
        <v>0</v>
      </c>
      <c r="R1233" s="285" t="s">
        <v>5303</v>
      </c>
      <c r="S1233" s="15">
        <v>43493</v>
      </c>
      <c r="T1233" s="22" t="s">
        <v>8760</v>
      </c>
    </row>
    <row r="1234" spans="1:20" ht="131.25" customHeight="1" x14ac:dyDescent="0.2">
      <c r="A1234" s="289">
        <v>1266</v>
      </c>
      <c r="B1234" s="289" t="s">
        <v>8752</v>
      </c>
      <c r="C1234" s="289"/>
      <c r="D1234" s="9" t="s">
        <v>8761</v>
      </c>
      <c r="E1234" s="22" t="s">
        <v>8615</v>
      </c>
      <c r="F1234" s="9"/>
      <c r="G1234" s="285" t="s">
        <v>7981</v>
      </c>
      <c r="H1234" s="285" t="s">
        <v>5127</v>
      </c>
      <c r="I1234" s="289"/>
      <c r="J1234" s="285" t="s">
        <v>3136</v>
      </c>
      <c r="K1234" s="15">
        <v>43531</v>
      </c>
      <c r="L1234" s="12" t="s">
        <v>8776</v>
      </c>
      <c r="M1234" s="15">
        <v>43493</v>
      </c>
      <c r="N1234" s="24">
        <v>1</v>
      </c>
      <c r="O1234" s="63">
        <v>8167.5</v>
      </c>
      <c r="P1234" s="63">
        <v>8167.5</v>
      </c>
      <c r="Q1234" s="40">
        <f t="shared" si="33"/>
        <v>0</v>
      </c>
      <c r="R1234" s="285" t="s">
        <v>5303</v>
      </c>
      <c r="S1234" s="15">
        <v>43493</v>
      </c>
      <c r="T1234" s="22" t="s">
        <v>8760</v>
      </c>
    </row>
    <row r="1235" spans="1:20" ht="114.75" customHeight="1" x14ac:dyDescent="0.2">
      <c r="A1235" s="289">
        <v>1267</v>
      </c>
      <c r="B1235" s="289" t="s">
        <v>8753</v>
      </c>
      <c r="C1235" s="289"/>
      <c r="D1235" s="9" t="s">
        <v>8762</v>
      </c>
      <c r="E1235" s="22" t="s">
        <v>8615</v>
      </c>
      <c r="F1235" s="9"/>
      <c r="G1235" s="285" t="s">
        <v>7981</v>
      </c>
      <c r="H1235" s="285" t="s">
        <v>5127</v>
      </c>
      <c r="I1235" s="289"/>
      <c r="J1235" s="285" t="s">
        <v>3136</v>
      </c>
      <c r="K1235" s="15">
        <v>43531</v>
      </c>
      <c r="L1235" s="12" t="s">
        <v>8776</v>
      </c>
      <c r="M1235" s="15">
        <v>43493</v>
      </c>
      <c r="N1235" s="24">
        <v>1</v>
      </c>
      <c r="O1235" s="63">
        <v>16731</v>
      </c>
      <c r="P1235" s="63">
        <v>16731</v>
      </c>
      <c r="Q1235" s="40">
        <f t="shared" si="33"/>
        <v>0</v>
      </c>
      <c r="R1235" s="285" t="s">
        <v>5303</v>
      </c>
      <c r="S1235" s="15">
        <v>43493</v>
      </c>
      <c r="T1235" s="22" t="s">
        <v>8760</v>
      </c>
    </row>
    <row r="1236" spans="1:20" ht="119.25" customHeight="1" x14ac:dyDescent="0.2">
      <c r="A1236" s="289">
        <v>1268</v>
      </c>
      <c r="B1236" s="289" t="s">
        <v>8754</v>
      </c>
      <c r="C1236" s="289"/>
      <c r="D1236" s="9" t="s">
        <v>8763</v>
      </c>
      <c r="E1236" s="22" t="s">
        <v>8615</v>
      </c>
      <c r="F1236" s="9"/>
      <c r="G1236" s="285" t="s">
        <v>7981</v>
      </c>
      <c r="H1236" s="285" t="s">
        <v>5127</v>
      </c>
      <c r="I1236" s="289"/>
      <c r="J1236" s="285" t="s">
        <v>3136</v>
      </c>
      <c r="K1236" s="15">
        <v>43531</v>
      </c>
      <c r="L1236" s="12" t="s">
        <v>8776</v>
      </c>
      <c r="M1236" s="15">
        <v>43493</v>
      </c>
      <c r="N1236" s="24">
        <v>2</v>
      </c>
      <c r="O1236" s="63">
        <v>2999.7</v>
      </c>
      <c r="P1236" s="63">
        <v>2999.7</v>
      </c>
      <c r="Q1236" s="40">
        <f t="shared" si="33"/>
        <v>0</v>
      </c>
      <c r="R1236" s="285" t="s">
        <v>5303</v>
      </c>
      <c r="S1236" s="15">
        <v>43493</v>
      </c>
      <c r="T1236" s="22" t="s">
        <v>8760</v>
      </c>
    </row>
    <row r="1237" spans="1:20" ht="123" customHeight="1" x14ac:dyDescent="0.2">
      <c r="A1237" s="289">
        <v>1269</v>
      </c>
      <c r="B1237" s="289" t="s">
        <v>8755</v>
      </c>
      <c r="C1237" s="289"/>
      <c r="D1237" s="9" t="s">
        <v>8764</v>
      </c>
      <c r="E1237" s="22" t="s">
        <v>8615</v>
      </c>
      <c r="F1237" s="9"/>
      <c r="G1237" s="285" t="s">
        <v>7981</v>
      </c>
      <c r="H1237" s="285" t="s">
        <v>5127</v>
      </c>
      <c r="I1237" s="289"/>
      <c r="J1237" s="285" t="s">
        <v>3136</v>
      </c>
      <c r="K1237" s="15">
        <v>43531</v>
      </c>
      <c r="L1237" s="12" t="s">
        <v>8776</v>
      </c>
      <c r="M1237" s="15">
        <v>43493</v>
      </c>
      <c r="N1237" s="24">
        <v>1</v>
      </c>
      <c r="O1237" s="63">
        <v>1499.85</v>
      </c>
      <c r="P1237" s="63">
        <v>1499.85</v>
      </c>
      <c r="Q1237" s="40">
        <f t="shared" si="33"/>
        <v>0</v>
      </c>
      <c r="R1237" s="285" t="s">
        <v>5303</v>
      </c>
      <c r="S1237" s="15">
        <v>43493</v>
      </c>
      <c r="T1237" s="22" t="s">
        <v>8760</v>
      </c>
    </row>
    <row r="1238" spans="1:20" ht="170.25" customHeight="1" x14ac:dyDescent="0.2">
      <c r="A1238" s="289">
        <v>1270</v>
      </c>
      <c r="B1238" s="289" t="s">
        <v>8756</v>
      </c>
      <c r="C1238" s="289"/>
      <c r="D1238" s="9" t="s">
        <v>8765</v>
      </c>
      <c r="E1238" s="22" t="s">
        <v>8615</v>
      </c>
      <c r="F1238" s="9"/>
      <c r="G1238" s="285" t="s">
        <v>7981</v>
      </c>
      <c r="H1238" s="285" t="s">
        <v>5127</v>
      </c>
      <c r="I1238" s="289"/>
      <c r="J1238" s="285" t="s">
        <v>3136</v>
      </c>
      <c r="K1238" s="15">
        <v>43531</v>
      </c>
      <c r="L1238" s="12" t="s">
        <v>8776</v>
      </c>
      <c r="M1238" s="15">
        <v>43493</v>
      </c>
      <c r="N1238" s="24">
        <v>1</v>
      </c>
      <c r="O1238" s="63">
        <v>1653.3</v>
      </c>
      <c r="P1238" s="63">
        <v>1653.3</v>
      </c>
      <c r="Q1238" s="40">
        <f t="shared" si="33"/>
        <v>0</v>
      </c>
      <c r="R1238" s="285" t="s">
        <v>5303</v>
      </c>
      <c r="S1238" s="15">
        <v>43493</v>
      </c>
      <c r="T1238" s="22" t="s">
        <v>8760</v>
      </c>
    </row>
    <row r="1239" spans="1:20" ht="120.75" customHeight="1" x14ac:dyDescent="0.2">
      <c r="A1239" s="289">
        <v>1271</v>
      </c>
      <c r="B1239" s="289" t="s">
        <v>8757</v>
      </c>
      <c r="C1239" s="289"/>
      <c r="D1239" s="9" t="s">
        <v>8766</v>
      </c>
      <c r="E1239" s="22" t="s">
        <v>8615</v>
      </c>
      <c r="F1239" s="9"/>
      <c r="G1239" s="285" t="s">
        <v>7981</v>
      </c>
      <c r="H1239" s="285" t="s">
        <v>5127</v>
      </c>
      <c r="I1239" s="289"/>
      <c r="J1239" s="285" t="s">
        <v>3136</v>
      </c>
      <c r="K1239" s="15">
        <v>43531</v>
      </c>
      <c r="L1239" s="12" t="s">
        <v>8776</v>
      </c>
      <c r="M1239" s="15">
        <v>43493</v>
      </c>
      <c r="N1239" s="24">
        <v>1</v>
      </c>
      <c r="O1239" s="63">
        <v>7070.58</v>
      </c>
      <c r="P1239" s="63">
        <v>7070.58</v>
      </c>
      <c r="Q1239" s="40">
        <f t="shared" si="33"/>
        <v>0</v>
      </c>
      <c r="R1239" s="285" t="s">
        <v>5303</v>
      </c>
      <c r="S1239" s="15">
        <v>43493</v>
      </c>
      <c r="T1239" s="22" t="s">
        <v>8760</v>
      </c>
    </row>
    <row r="1240" spans="1:20" ht="117.75" customHeight="1" x14ac:dyDescent="0.2">
      <c r="A1240" s="289">
        <v>1272</v>
      </c>
      <c r="B1240" s="289" t="s">
        <v>8758</v>
      </c>
      <c r="C1240" s="289"/>
      <c r="D1240" s="9" t="s">
        <v>8767</v>
      </c>
      <c r="E1240" s="22" t="s">
        <v>8615</v>
      </c>
      <c r="F1240" s="9"/>
      <c r="G1240" s="285" t="s">
        <v>7981</v>
      </c>
      <c r="H1240" s="285" t="s">
        <v>5127</v>
      </c>
      <c r="I1240" s="289"/>
      <c r="J1240" s="285" t="s">
        <v>3136</v>
      </c>
      <c r="K1240" s="15">
        <v>43531</v>
      </c>
      <c r="L1240" s="12" t="s">
        <v>8776</v>
      </c>
      <c r="M1240" s="15">
        <v>43493</v>
      </c>
      <c r="N1240" s="24">
        <v>1</v>
      </c>
      <c r="O1240" s="63">
        <v>1237.5</v>
      </c>
      <c r="P1240" s="63">
        <v>1237.5</v>
      </c>
      <c r="Q1240" s="40">
        <f t="shared" si="33"/>
        <v>0</v>
      </c>
      <c r="R1240" s="285" t="s">
        <v>5303</v>
      </c>
      <c r="S1240" s="15">
        <v>43493</v>
      </c>
      <c r="T1240" s="22" t="s">
        <v>8760</v>
      </c>
    </row>
    <row r="1241" spans="1:20" ht="120" customHeight="1" x14ac:dyDescent="0.2">
      <c r="A1241" s="289">
        <v>1273</v>
      </c>
      <c r="B1241" s="289" t="s">
        <v>8768</v>
      </c>
      <c r="C1241" s="289"/>
      <c r="D1241" s="9" t="s">
        <v>8771</v>
      </c>
      <c r="E1241" s="22" t="s">
        <v>8615</v>
      </c>
      <c r="F1241" s="9"/>
      <c r="G1241" s="285" t="s">
        <v>7981</v>
      </c>
      <c r="H1241" s="285" t="s">
        <v>5127</v>
      </c>
      <c r="I1241" s="289"/>
      <c r="J1241" s="285" t="s">
        <v>3136</v>
      </c>
      <c r="K1241" s="15">
        <v>43531</v>
      </c>
      <c r="L1241" s="12" t="s">
        <v>8776</v>
      </c>
      <c r="M1241" s="15">
        <v>43493</v>
      </c>
      <c r="N1241" s="33">
        <v>10</v>
      </c>
      <c r="O1241" s="61">
        <v>36432</v>
      </c>
      <c r="P1241" s="61">
        <v>36432</v>
      </c>
      <c r="Q1241" s="62">
        <f t="shared" si="33"/>
        <v>0</v>
      </c>
      <c r="R1241" s="285" t="s">
        <v>5303</v>
      </c>
      <c r="S1241" s="15">
        <v>43493</v>
      </c>
      <c r="T1241" s="22" t="s">
        <v>8760</v>
      </c>
    </row>
    <row r="1242" spans="1:20" ht="123.75" customHeight="1" x14ac:dyDescent="0.2">
      <c r="A1242" s="289">
        <v>1274</v>
      </c>
      <c r="B1242" s="289" t="s">
        <v>8769</v>
      </c>
      <c r="C1242" s="289"/>
      <c r="D1242" s="9" t="s">
        <v>8772</v>
      </c>
      <c r="E1242" s="22" t="s">
        <v>8615</v>
      </c>
      <c r="F1242" s="9"/>
      <c r="G1242" s="285" t="s">
        <v>7981</v>
      </c>
      <c r="H1242" s="285" t="s">
        <v>5127</v>
      </c>
      <c r="I1242" s="289"/>
      <c r="J1242" s="285" t="s">
        <v>3136</v>
      </c>
      <c r="K1242" s="15">
        <v>43531</v>
      </c>
      <c r="L1242" s="12" t="s">
        <v>8776</v>
      </c>
      <c r="M1242" s="15">
        <v>43493</v>
      </c>
      <c r="N1242" s="33">
        <v>1</v>
      </c>
      <c r="O1242" s="61">
        <v>2326.5</v>
      </c>
      <c r="P1242" s="61">
        <v>2326.5</v>
      </c>
      <c r="Q1242" s="62">
        <f t="shared" si="33"/>
        <v>0</v>
      </c>
      <c r="R1242" s="285" t="s">
        <v>5303</v>
      </c>
      <c r="S1242" s="15">
        <v>43493</v>
      </c>
      <c r="T1242" s="22" t="s">
        <v>8760</v>
      </c>
    </row>
    <row r="1243" spans="1:20" ht="126" customHeight="1" x14ac:dyDescent="0.2">
      <c r="A1243" s="289">
        <v>1275</v>
      </c>
      <c r="B1243" s="289" t="s">
        <v>8770</v>
      </c>
      <c r="C1243" s="289"/>
      <c r="D1243" s="9" t="s">
        <v>8773</v>
      </c>
      <c r="E1243" s="22" t="s">
        <v>8615</v>
      </c>
      <c r="F1243" s="9"/>
      <c r="G1243" s="285" t="s">
        <v>7981</v>
      </c>
      <c r="H1243" s="285" t="s">
        <v>5127</v>
      </c>
      <c r="I1243" s="289"/>
      <c r="J1243" s="285" t="s">
        <v>3136</v>
      </c>
      <c r="K1243" s="15">
        <v>43531</v>
      </c>
      <c r="L1243" s="12" t="s">
        <v>8776</v>
      </c>
      <c r="M1243" s="15">
        <v>43493</v>
      </c>
      <c r="N1243" s="33">
        <v>1</v>
      </c>
      <c r="O1243" s="61">
        <v>72756.09</v>
      </c>
      <c r="P1243" s="61">
        <v>72756.09</v>
      </c>
      <c r="Q1243" s="62">
        <f t="shared" si="33"/>
        <v>0</v>
      </c>
      <c r="R1243" s="285" t="s">
        <v>5303</v>
      </c>
      <c r="S1243" s="15">
        <v>43493</v>
      </c>
      <c r="T1243" s="22" t="s">
        <v>8760</v>
      </c>
    </row>
    <row r="1244" spans="1:20" ht="117" customHeight="1" x14ac:dyDescent="0.2">
      <c r="A1244" s="289">
        <v>1276</v>
      </c>
      <c r="B1244" s="289" t="s">
        <v>8774</v>
      </c>
      <c r="C1244" s="289"/>
      <c r="D1244" s="9" t="s">
        <v>8775</v>
      </c>
      <c r="E1244" s="22" t="s">
        <v>8615</v>
      </c>
      <c r="F1244" s="9"/>
      <c r="G1244" s="285" t="s">
        <v>7981</v>
      </c>
      <c r="H1244" s="285" t="s">
        <v>5127</v>
      </c>
      <c r="I1244" s="289"/>
      <c r="J1244" s="285" t="s">
        <v>3136</v>
      </c>
      <c r="K1244" s="15">
        <v>43531</v>
      </c>
      <c r="L1244" s="12" t="s">
        <v>8776</v>
      </c>
      <c r="M1244" s="15">
        <v>43493</v>
      </c>
      <c r="N1244" s="33">
        <v>1</v>
      </c>
      <c r="O1244" s="63">
        <v>140393.88</v>
      </c>
      <c r="P1244" s="63">
        <v>140393.88</v>
      </c>
      <c r="Q1244" s="40">
        <f t="shared" si="33"/>
        <v>0</v>
      </c>
      <c r="R1244" s="285" t="s">
        <v>5303</v>
      </c>
      <c r="S1244" s="15">
        <v>43493</v>
      </c>
      <c r="T1244" s="22" t="s">
        <v>8760</v>
      </c>
    </row>
    <row r="1245" spans="1:20" ht="160.5" customHeight="1" x14ac:dyDescent="0.2">
      <c r="A1245" s="289">
        <v>1277</v>
      </c>
      <c r="B1245" s="289" t="s">
        <v>8801</v>
      </c>
      <c r="C1245" s="289"/>
      <c r="D1245" s="9" t="s">
        <v>8802</v>
      </c>
      <c r="E1245" s="22" t="s">
        <v>8615</v>
      </c>
      <c r="F1245" s="9" t="s">
        <v>8842</v>
      </c>
      <c r="G1245" s="285" t="s">
        <v>7934</v>
      </c>
      <c r="H1245" s="285" t="s">
        <v>5127</v>
      </c>
      <c r="I1245" s="289"/>
      <c r="J1245" s="285" t="s">
        <v>3136</v>
      </c>
      <c r="K1245" s="15">
        <v>43543</v>
      </c>
      <c r="L1245" s="12" t="s">
        <v>8841</v>
      </c>
      <c r="M1245" s="15">
        <v>43535</v>
      </c>
      <c r="N1245" s="24">
        <v>1</v>
      </c>
      <c r="O1245" s="63">
        <v>11000</v>
      </c>
      <c r="P1245" s="63">
        <v>11000</v>
      </c>
      <c r="Q1245" s="40">
        <f t="shared" si="33"/>
        <v>0</v>
      </c>
      <c r="R1245" s="285" t="s">
        <v>3418</v>
      </c>
      <c r="S1245" s="15">
        <v>43523</v>
      </c>
      <c r="T1245" s="22" t="s">
        <v>8803</v>
      </c>
    </row>
    <row r="1246" spans="1:20" ht="82.5" customHeight="1" x14ac:dyDescent="0.2">
      <c r="A1246" s="289">
        <v>1278</v>
      </c>
      <c r="B1246" s="289" t="s">
        <v>8804</v>
      </c>
      <c r="C1246" s="289"/>
      <c r="D1246" s="9" t="s">
        <v>8805</v>
      </c>
      <c r="E1246" s="22" t="s">
        <v>8615</v>
      </c>
      <c r="F1246" s="9" t="s">
        <v>8806</v>
      </c>
      <c r="G1246" s="285" t="s">
        <v>7979</v>
      </c>
      <c r="H1246" s="285" t="s">
        <v>5127</v>
      </c>
      <c r="I1246" s="289"/>
      <c r="J1246" s="285" t="s">
        <v>3136</v>
      </c>
      <c r="K1246" s="15">
        <v>43543</v>
      </c>
      <c r="L1246" s="12" t="s">
        <v>8843</v>
      </c>
      <c r="M1246" s="15">
        <v>43535</v>
      </c>
      <c r="N1246" s="24">
        <v>1</v>
      </c>
      <c r="O1246" s="63">
        <v>11400</v>
      </c>
      <c r="P1246" s="63">
        <v>11400</v>
      </c>
      <c r="Q1246" s="40">
        <f t="shared" si="33"/>
        <v>0</v>
      </c>
      <c r="R1246" s="285" t="s">
        <v>8807</v>
      </c>
      <c r="S1246" s="15">
        <v>43521</v>
      </c>
      <c r="T1246" s="22" t="s">
        <v>8808</v>
      </c>
    </row>
    <row r="1247" spans="1:20" ht="123.75" customHeight="1" x14ac:dyDescent="0.2">
      <c r="A1247" s="289">
        <v>1279</v>
      </c>
      <c r="B1247" s="289" t="s">
        <v>8866</v>
      </c>
      <c r="C1247" s="289"/>
      <c r="D1247" s="9" t="s">
        <v>8873</v>
      </c>
      <c r="E1247" s="22" t="s">
        <v>8615</v>
      </c>
      <c r="F1247" s="9"/>
      <c r="G1247" s="285" t="s">
        <v>7977</v>
      </c>
      <c r="H1247" s="285" t="s">
        <v>5127</v>
      </c>
      <c r="I1247" s="289"/>
      <c r="J1247" s="285" t="s">
        <v>3136</v>
      </c>
      <c r="K1247" s="15">
        <v>43560</v>
      </c>
      <c r="L1247" s="12" t="s">
        <v>2233</v>
      </c>
      <c r="M1247" s="15">
        <v>43538</v>
      </c>
      <c r="N1247" s="24">
        <v>1</v>
      </c>
      <c r="O1247" s="63">
        <v>3920.3</v>
      </c>
      <c r="P1247" s="63">
        <v>3920.3</v>
      </c>
      <c r="Q1247" s="40">
        <f t="shared" si="33"/>
        <v>0</v>
      </c>
      <c r="R1247" s="285" t="s">
        <v>5303</v>
      </c>
      <c r="S1247" s="14" t="s">
        <v>8875</v>
      </c>
      <c r="T1247" s="22" t="s">
        <v>8874</v>
      </c>
    </row>
    <row r="1248" spans="1:20" ht="116.25" customHeight="1" x14ac:dyDescent="0.2">
      <c r="A1248" s="289">
        <v>1280</v>
      </c>
      <c r="B1248" s="289" t="s">
        <v>8867</v>
      </c>
      <c r="C1248" s="289"/>
      <c r="D1248" s="9" t="s">
        <v>4993</v>
      </c>
      <c r="E1248" s="22" t="s">
        <v>8615</v>
      </c>
      <c r="F1248" s="9"/>
      <c r="G1248" s="285" t="s">
        <v>7977</v>
      </c>
      <c r="H1248" s="285" t="s">
        <v>5127</v>
      </c>
      <c r="I1248" s="289"/>
      <c r="J1248" s="285" t="s">
        <v>3136</v>
      </c>
      <c r="K1248" s="15">
        <v>43560</v>
      </c>
      <c r="L1248" s="12" t="s">
        <v>2233</v>
      </c>
      <c r="M1248" s="15">
        <v>43538</v>
      </c>
      <c r="N1248" s="24">
        <v>2</v>
      </c>
      <c r="O1248" s="63">
        <v>11406.3</v>
      </c>
      <c r="P1248" s="63">
        <v>11406.3</v>
      </c>
      <c r="Q1248" s="40">
        <f t="shared" si="33"/>
        <v>0</v>
      </c>
      <c r="R1248" s="285" t="s">
        <v>5303</v>
      </c>
      <c r="S1248" s="14" t="s">
        <v>8875</v>
      </c>
      <c r="T1248" s="22" t="s">
        <v>8874</v>
      </c>
    </row>
    <row r="1249" spans="1:20" ht="117" customHeight="1" x14ac:dyDescent="0.2">
      <c r="A1249" s="289">
        <v>1281</v>
      </c>
      <c r="B1249" s="289" t="s">
        <v>8868</v>
      </c>
      <c r="C1249" s="289"/>
      <c r="D1249" s="9" t="s">
        <v>8876</v>
      </c>
      <c r="E1249" s="22" t="s">
        <v>8615</v>
      </c>
      <c r="F1249" s="9"/>
      <c r="G1249" s="285" t="s">
        <v>7977</v>
      </c>
      <c r="H1249" s="285" t="s">
        <v>5127</v>
      </c>
      <c r="I1249" s="289"/>
      <c r="J1249" s="285" t="s">
        <v>3136</v>
      </c>
      <c r="K1249" s="15">
        <v>43560</v>
      </c>
      <c r="L1249" s="12" t="s">
        <v>2233</v>
      </c>
      <c r="M1249" s="15">
        <v>43538</v>
      </c>
      <c r="N1249" s="24">
        <v>1</v>
      </c>
      <c r="O1249" s="63">
        <v>14376.08</v>
      </c>
      <c r="P1249" s="63">
        <v>14376.08</v>
      </c>
      <c r="Q1249" s="40">
        <f t="shared" si="33"/>
        <v>0</v>
      </c>
      <c r="R1249" s="285" t="s">
        <v>5303</v>
      </c>
      <c r="S1249" s="14" t="s">
        <v>8875</v>
      </c>
      <c r="T1249" s="22" t="s">
        <v>8874</v>
      </c>
    </row>
    <row r="1250" spans="1:20" ht="170.25" customHeight="1" x14ac:dyDescent="0.2">
      <c r="A1250" s="289">
        <v>1282</v>
      </c>
      <c r="B1250" s="289" t="s">
        <v>8869</v>
      </c>
      <c r="C1250" s="289"/>
      <c r="D1250" s="9" t="s">
        <v>8877</v>
      </c>
      <c r="E1250" s="22" t="s">
        <v>8615</v>
      </c>
      <c r="F1250" s="9"/>
      <c r="G1250" s="285" t="s">
        <v>7977</v>
      </c>
      <c r="H1250" s="285" t="s">
        <v>5127</v>
      </c>
      <c r="I1250" s="289"/>
      <c r="J1250" s="285" t="s">
        <v>3136</v>
      </c>
      <c r="K1250" s="15">
        <v>43560</v>
      </c>
      <c r="L1250" s="12" t="s">
        <v>2233</v>
      </c>
      <c r="M1250" s="15">
        <v>43538</v>
      </c>
      <c r="N1250" s="24">
        <v>1</v>
      </c>
      <c r="O1250" s="63">
        <v>5900.15</v>
      </c>
      <c r="P1250" s="63">
        <v>5900.15</v>
      </c>
      <c r="Q1250" s="40">
        <f t="shared" si="33"/>
        <v>0</v>
      </c>
      <c r="R1250" s="285" t="s">
        <v>5303</v>
      </c>
      <c r="S1250" s="14" t="s">
        <v>8875</v>
      </c>
      <c r="T1250" s="22" t="s">
        <v>8874</v>
      </c>
    </row>
    <row r="1251" spans="1:20" ht="123" customHeight="1" x14ac:dyDescent="0.2">
      <c r="A1251" s="289">
        <v>1283</v>
      </c>
      <c r="B1251" s="289" t="s">
        <v>8870</v>
      </c>
      <c r="C1251" s="289"/>
      <c r="D1251" s="9" t="s">
        <v>6356</v>
      </c>
      <c r="E1251" s="22" t="s">
        <v>8615</v>
      </c>
      <c r="F1251" s="9"/>
      <c r="G1251" s="285" t="s">
        <v>7977</v>
      </c>
      <c r="H1251" s="285" t="s">
        <v>5127</v>
      </c>
      <c r="I1251" s="289"/>
      <c r="J1251" s="285" t="s">
        <v>3136</v>
      </c>
      <c r="K1251" s="15">
        <v>43560</v>
      </c>
      <c r="L1251" s="12" t="s">
        <v>2233</v>
      </c>
      <c r="M1251" s="15">
        <v>43538</v>
      </c>
      <c r="N1251" s="24">
        <v>1</v>
      </c>
      <c r="O1251" s="63">
        <v>4895.45</v>
      </c>
      <c r="P1251" s="63">
        <v>4895.45</v>
      </c>
      <c r="Q1251" s="40">
        <f t="shared" si="33"/>
        <v>0</v>
      </c>
      <c r="R1251" s="285" t="s">
        <v>5303</v>
      </c>
      <c r="S1251" s="14" t="s">
        <v>8875</v>
      </c>
      <c r="T1251" s="22" t="s">
        <v>8874</v>
      </c>
    </row>
    <row r="1252" spans="1:20" ht="115.5" customHeight="1" x14ac:dyDescent="0.2">
      <c r="A1252" s="289">
        <v>1284</v>
      </c>
      <c r="B1252" s="289" t="s">
        <v>8871</v>
      </c>
      <c r="C1252" s="289"/>
      <c r="D1252" s="9" t="s">
        <v>7544</v>
      </c>
      <c r="E1252" s="22" t="s">
        <v>8615</v>
      </c>
      <c r="F1252" s="9"/>
      <c r="G1252" s="285" t="s">
        <v>7977</v>
      </c>
      <c r="H1252" s="285" t="s">
        <v>5127</v>
      </c>
      <c r="I1252" s="289"/>
      <c r="J1252" s="285" t="s">
        <v>3136</v>
      </c>
      <c r="K1252" s="15">
        <v>43560</v>
      </c>
      <c r="L1252" s="12" t="s">
        <v>2233</v>
      </c>
      <c r="M1252" s="15">
        <v>43538</v>
      </c>
      <c r="N1252" s="24">
        <v>1</v>
      </c>
      <c r="O1252" s="63">
        <v>4531</v>
      </c>
      <c r="P1252" s="63">
        <v>4531</v>
      </c>
      <c r="Q1252" s="40">
        <f t="shared" si="33"/>
        <v>0</v>
      </c>
      <c r="R1252" s="285" t="s">
        <v>5303</v>
      </c>
      <c r="S1252" s="14" t="s">
        <v>8875</v>
      </c>
      <c r="T1252" s="22" t="s">
        <v>8874</v>
      </c>
    </row>
    <row r="1253" spans="1:20" ht="170.25" customHeight="1" x14ac:dyDescent="0.2">
      <c r="A1253" s="289">
        <v>1285</v>
      </c>
      <c r="B1253" s="289" t="s">
        <v>8872</v>
      </c>
      <c r="C1253" s="289"/>
      <c r="D1253" s="9" t="s">
        <v>7584</v>
      </c>
      <c r="E1253" s="22" t="s">
        <v>8615</v>
      </c>
      <c r="F1253" s="9"/>
      <c r="G1253" s="285" t="s">
        <v>7977</v>
      </c>
      <c r="H1253" s="285" t="s">
        <v>5127</v>
      </c>
      <c r="I1253" s="289"/>
      <c r="J1253" s="285" t="s">
        <v>3136</v>
      </c>
      <c r="K1253" s="15">
        <v>43560</v>
      </c>
      <c r="L1253" s="12" t="s">
        <v>2233</v>
      </c>
      <c r="M1253" s="15">
        <v>43538</v>
      </c>
      <c r="N1253" s="24">
        <v>1</v>
      </c>
      <c r="O1253" s="63">
        <v>21571.5</v>
      </c>
      <c r="P1253" s="63">
        <v>21571.5</v>
      </c>
      <c r="Q1253" s="40">
        <f t="shared" si="33"/>
        <v>0</v>
      </c>
      <c r="R1253" s="285" t="s">
        <v>5303</v>
      </c>
      <c r="S1253" s="14" t="s">
        <v>8875</v>
      </c>
      <c r="T1253" s="22" t="s">
        <v>8874</v>
      </c>
    </row>
    <row r="1254" spans="1:20" ht="170.25" customHeight="1" x14ac:dyDescent="0.2">
      <c r="A1254" s="289">
        <v>1286</v>
      </c>
      <c r="B1254" s="289" t="s">
        <v>8878</v>
      </c>
      <c r="C1254" s="289"/>
      <c r="D1254" s="9" t="s">
        <v>8881</v>
      </c>
      <c r="E1254" s="22" t="s">
        <v>8615</v>
      </c>
      <c r="F1254" s="9"/>
      <c r="G1254" s="285" t="s">
        <v>7977</v>
      </c>
      <c r="H1254" s="285" t="s">
        <v>5127</v>
      </c>
      <c r="I1254" s="289"/>
      <c r="J1254" s="285" t="s">
        <v>3136</v>
      </c>
      <c r="K1254" s="15">
        <v>43560</v>
      </c>
      <c r="L1254" s="12" t="s">
        <v>2233</v>
      </c>
      <c r="M1254" s="15">
        <v>43538</v>
      </c>
      <c r="N1254" s="24">
        <v>1</v>
      </c>
      <c r="O1254" s="63">
        <v>18222.5</v>
      </c>
      <c r="P1254" s="63">
        <v>18222.5</v>
      </c>
      <c r="Q1254" s="40">
        <f t="shared" ref="Q1254:Q1285" si="34">O1254-P1254</f>
        <v>0</v>
      </c>
      <c r="R1254" s="285" t="s">
        <v>5303</v>
      </c>
      <c r="S1254" s="14" t="s">
        <v>8875</v>
      </c>
      <c r="T1254" s="22" t="s">
        <v>8874</v>
      </c>
    </row>
    <row r="1255" spans="1:20" ht="117" customHeight="1" x14ac:dyDescent="0.2">
      <c r="A1255" s="289">
        <v>1287</v>
      </c>
      <c r="B1255" s="289" t="s">
        <v>8879</v>
      </c>
      <c r="C1255" s="289"/>
      <c r="D1255" s="9" t="s">
        <v>7547</v>
      </c>
      <c r="E1255" s="22" t="s">
        <v>8615</v>
      </c>
      <c r="F1255" s="9"/>
      <c r="G1255" s="285" t="s">
        <v>7977</v>
      </c>
      <c r="H1255" s="285" t="s">
        <v>5127</v>
      </c>
      <c r="I1255" s="289"/>
      <c r="J1255" s="285" t="s">
        <v>3136</v>
      </c>
      <c r="K1255" s="15">
        <v>43560</v>
      </c>
      <c r="L1255" s="12" t="s">
        <v>2233</v>
      </c>
      <c r="M1255" s="15">
        <v>43538</v>
      </c>
      <c r="N1255" s="24">
        <v>1</v>
      </c>
      <c r="O1255" s="63">
        <v>2649.65</v>
      </c>
      <c r="P1255" s="63">
        <v>2649.65</v>
      </c>
      <c r="Q1255" s="40">
        <f t="shared" si="34"/>
        <v>0</v>
      </c>
      <c r="R1255" s="285" t="s">
        <v>5303</v>
      </c>
      <c r="S1255" s="14" t="s">
        <v>8875</v>
      </c>
      <c r="T1255" s="22" t="s">
        <v>8874</v>
      </c>
    </row>
    <row r="1256" spans="1:20" ht="139.5" customHeight="1" x14ac:dyDescent="0.2">
      <c r="A1256" s="289">
        <v>1288</v>
      </c>
      <c r="B1256" s="289" t="s">
        <v>8880</v>
      </c>
      <c r="C1256" s="289"/>
      <c r="D1256" s="9" t="s">
        <v>8882</v>
      </c>
      <c r="E1256" s="22" t="s">
        <v>8615</v>
      </c>
      <c r="F1256" s="9"/>
      <c r="G1256" s="285" t="s">
        <v>7977</v>
      </c>
      <c r="H1256" s="285" t="s">
        <v>5127</v>
      </c>
      <c r="I1256" s="289"/>
      <c r="J1256" s="285" t="s">
        <v>3136</v>
      </c>
      <c r="K1256" s="15">
        <v>43560</v>
      </c>
      <c r="L1256" s="12" t="s">
        <v>2233</v>
      </c>
      <c r="M1256" s="15">
        <v>43538</v>
      </c>
      <c r="N1256" s="24">
        <v>1</v>
      </c>
      <c r="O1256" s="63">
        <v>5516</v>
      </c>
      <c r="P1256" s="63">
        <v>5516</v>
      </c>
      <c r="Q1256" s="40">
        <f t="shared" si="34"/>
        <v>0</v>
      </c>
      <c r="R1256" s="285" t="s">
        <v>5303</v>
      </c>
      <c r="S1256" s="14" t="s">
        <v>8875</v>
      </c>
      <c r="T1256" s="22" t="s">
        <v>8874</v>
      </c>
    </row>
    <row r="1257" spans="1:20" ht="117.75" customHeight="1" x14ac:dyDescent="0.2">
      <c r="A1257" s="289">
        <v>1289</v>
      </c>
      <c r="B1257" s="289" t="s">
        <v>8883</v>
      </c>
      <c r="C1257" s="289"/>
      <c r="D1257" s="9" t="s">
        <v>8885</v>
      </c>
      <c r="E1257" s="22" t="s">
        <v>8615</v>
      </c>
      <c r="F1257" s="9"/>
      <c r="G1257" s="285" t="s">
        <v>7977</v>
      </c>
      <c r="H1257" s="285" t="s">
        <v>5127</v>
      </c>
      <c r="I1257" s="289"/>
      <c r="J1257" s="285" t="s">
        <v>3136</v>
      </c>
      <c r="K1257" s="15">
        <v>43560</v>
      </c>
      <c r="L1257" s="12" t="s">
        <v>2233</v>
      </c>
      <c r="M1257" s="15">
        <v>43538</v>
      </c>
      <c r="N1257" s="24">
        <v>1</v>
      </c>
      <c r="O1257" s="63">
        <v>6698</v>
      </c>
      <c r="P1257" s="63">
        <v>6698</v>
      </c>
      <c r="Q1257" s="40">
        <f t="shared" si="34"/>
        <v>0</v>
      </c>
      <c r="R1257" s="285" t="s">
        <v>5303</v>
      </c>
      <c r="S1257" s="14" t="s">
        <v>8875</v>
      </c>
      <c r="T1257" s="22" t="s">
        <v>8874</v>
      </c>
    </row>
    <row r="1258" spans="1:20" ht="120" customHeight="1" x14ac:dyDescent="0.2">
      <c r="A1258" s="289">
        <v>1290</v>
      </c>
      <c r="B1258" s="289" t="s">
        <v>8884</v>
      </c>
      <c r="C1258" s="289"/>
      <c r="D1258" s="9" t="s">
        <v>1376</v>
      </c>
      <c r="E1258" s="22" t="s">
        <v>8615</v>
      </c>
      <c r="F1258" s="9"/>
      <c r="G1258" s="285" t="s">
        <v>7977</v>
      </c>
      <c r="H1258" s="285" t="s">
        <v>5127</v>
      </c>
      <c r="I1258" s="289"/>
      <c r="J1258" s="285" t="s">
        <v>3136</v>
      </c>
      <c r="K1258" s="15">
        <v>43560</v>
      </c>
      <c r="L1258" s="12" t="s">
        <v>2233</v>
      </c>
      <c r="M1258" s="15">
        <v>43538</v>
      </c>
      <c r="N1258" s="24">
        <v>1</v>
      </c>
      <c r="O1258" s="63">
        <v>26989</v>
      </c>
      <c r="P1258" s="63">
        <v>26989</v>
      </c>
      <c r="Q1258" s="40">
        <f t="shared" si="34"/>
        <v>0</v>
      </c>
      <c r="R1258" s="285" t="s">
        <v>5303</v>
      </c>
      <c r="S1258" s="14" t="s">
        <v>8875</v>
      </c>
      <c r="T1258" s="22" t="s">
        <v>8874</v>
      </c>
    </row>
    <row r="1259" spans="1:20" ht="139.5" customHeight="1" x14ac:dyDescent="0.2">
      <c r="A1259" s="289">
        <v>1291</v>
      </c>
      <c r="B1259" s="289" t="s">
        <v>10702</v>
      </c>
      <c r="C1259" s="289"/>
      <c r="D1259" s="9" t="s">
        <v>542</v>
      </c>
      <c r="E1259" s="22" t="s">
        <v>8615</v>
      </c>
      <c r="F1259" s="9" t="s">
        <v>11754</v>
      </c>
      <c r="G1259" s="285" t="s">
        <v>10465</v>
      </c>
      <c r="H1259" s="289" t="s">
        <v>2207</v>
      </c>
      <c r="I1259" s="289"/>
      <c r="J1259" s="285" t="s">
        <v>3136</v>
      </c>
      <c r="K1259" s="14" t="s">
        <v>11752</v>
      </c>
      <c r="L1259" s="22" t="s">
        <v>11753</v>
      </c>
      <c r="M1259" s="15">
        <v>43601</v>
      </c>
      <c r="N1259" s="24">
        <f>16-11-2</f>
        <v>3</v>
      </c>
      <c r="O1259" s="63">
        <f>99990-13200-3090-32500-36300-5000</f>
        <v>9900</v>
      </c>
      <c r="P1259" s="63">
        <f>99990-13200-3090-32500-36300-5000</f>
        <v>9900</v>
      </c>
      <c r="Q1259" s="40">
        <f t="shared" si="34"/>
        <v>0</v>
      </c>
      <c r="R1259" s="285" t="s">
        <v>7155</v>
      </c>
      <c r="S1259" s="14">
        <v>43591</v>
      </c>
      <c r="T1259" s="22" t="s">
        <v>8935</v>
      </c>
    </row>
    <row r="1260" spans="1:20" ht="104.25" customHeight="1" x14ac:dyDescent="0.2">
      <c r="A1260" s="289">
        <v>1292</v>
      </c>
      <c r="B1260" s="289" t="s">
        <v>9020</v>
      </c>
      <c r="C1260" s="289"/>
      <c r="D1260" s="9" t="s">
        <v>9021</v>
      </c>
      <c r="E1260" s="22" t="s">
        <v>8615</v>
      </c>
      <c r="F1260" s="9" t="s">
        <v>9022</v>
      </c>
      <c r="G1260" s="285" t="s">
        <v>8293</v>
      </c>
      <c r="H1260" s="285" t="s">
        <v>5127</v>
      </c>
      <c r="I1260" s="289"/>
      <c r="J1260" s="285" t="s">
        <v>3136</v>
      </c>
      <c r="K1260" s="15">
        <v>43675</v>
      </c>
      <c r="L1260" s="12" t="s">
        <v>9027</v>
      </c>
      <c r="M1260" s="15">
        <v>43643</v>
      </c>
      <c r="N1260" s="24">
        <v>1</v>
      </c>
      <c r="O1260" s="63">
        <v>17955</v>
      </c>
      <c r="P1260" s="63">
        <v>17955</v>
      </c>
      <c r="Q1260" s="40">
        <f t="shared" si="34"/>
        <v>0</v>
      </c>
      <c r="R1260" s="285" t="s">
        <v>3588</v>
      </c>
      <c r="S1260" s="14">
        <v>43643</v>
      </c>
      <c r="T1260" s="22" t="s">
        <v>9023</v>
      </c>
    </row>
    <row r="1261" spans="1:20" ht="59.25" customHeight="1" x14ac:dyDescent="0.2">
      <c r="A1261" s="289">
        <v>1293</v>
      </c>
      <c r="B1261" s="289" t="s">
        <v>9033</v>
      </c>
      <c r="C1261" s="289"/>
      <c r="D1261" s="9" t="s">
        <v>9034</v>
      </c>
      <c r="E1261" s="22" t="s">
        <v>8615</v>
      </c>
      <c r="F1261" s="9" t="s">
        <v>9035</v>
      </c>
      <c r="G1261" s="285" t="s">
        <v>4946</v>
      </c>
      <c r="H1261" s="285" t="s">
        <v>5127</v>
      </c>
      <c r="I1261" s="289"/>
      <c r="J1261" s="285" t="s">
        <v>3136</v>
      </c>
      <c r="K1261" s="15">
        <v>43697</v>
      </c>
      <c r="L1261" s="12" t="s">
        <v>9037</v>
      </c>
      <c r="M1261" s="15">
        <v>43692</v>
      </c>
      <c r="N1261" s="24">
        <v>1</v>
      </c>
      <c r="O1261" s="63">
        <v>12500</v>
      </c>
      <c r="P1261" s="63">
        <v>12500</v>
      </c>
      <c r="Q1261" s="40">
        <f t="shared" si="34"/>
        <v>0</v>
      </c>
      <c r="R1261" s="285" t="s">
        <v>12</v>
      </c>
      <c r="S1261" s="14">
        <v>43692</v>
      </c>
      <c r="T1261" s="22" t="s">
        <v>9036</v>
      </c>
    </row>
    <row r="1262" spans="1:20" ht="100.5" customHeight="1" x14ac:dyDescent="0.2">
      <c r="A1262" s="289">
        <v>1294</v>
      </c>
      <c r="B1262" s="289" t="s">
        <v>9044</v>
      </c>
      <c r="C1262" s="289"/>
      <c r="D1262" s="9" t="s">
        <v>9045</v>
      </c>
      <c r="E1262" s="22" t="s">
        <v>8615</v>
      </c>
      <c r="F1262" s="9" t="s">
        <v>9046</v>
      </c>
      <c r="G1262" s="285" t="s">
        <v>10465</v>
      </c>
      <c r="H1262" s="289" t="s">
        <v>2207</v>
      </c>
      <c r="I1262" s="289"/>
      <c r="J1262" s="285" t="s">
        <v>3136</v>
      </c>
      <c r="K1262" s="15">
        <v>43710</v>
      </c>
      <c r="L1262" s="12" t="s">
        <v>9078</v>
      </c>
      <c r="M1262" s="15">
        <v>43675</v>
      </c>
      <c r="N1262" s="24">
        <v>1</v>
      </c>
      <c r="O1262" s="63">
        <v>156986.81</v>
      </c>
      <c r="P1262" s="63">
        <v>0</v>
      </c>
      <c r="Q1262" s="40">
        <f t="shared" si="34"/>
        <v>156986.81</v>
      </c>
      <c r="R1262" s="285" t="s">
        <v>7155</v>
      </c>
      <c r="S1262" s="14" t="s">
        <v>9047</v>
      </c>
      <c r="T1262" s="22" t="s">
        <v>9048</v>
      </c>
    </row>
    <row r="1263" spans="1:20" ht="72.75" customHeight="1" x14ac:dyDescent="0.2">
      <c r="A1263" s="289">
        <v>1295</v>
      </c>
      <c r="B1263" s="289" t="s">
        <v>9085</v>
      </c>
      <c r="C1263" s="289"/>
      <c r="D1263" s="9" t="s">
        <v>9087</v>
      </c>
      <c r="E1263" s="22" t="s">
        <v>8615</v>
      </c>
      <c r="F1263" s="9" t="s">
        <v>9088</v>
      </c>
      <c r="G1263" s="285" t="s">
        <v>7983</v>
      </c>
      <c r="H1263" s="285" t="s">
        <v>5127</v>
      </c>
      <c r="I1263" s="289"/>
      <c r="J1263" s="285" t="s">
        <v>3136</v>
      </c>
      <c r="K1263" s="15">
        <v>43752</v>
      </c>
      <c r="L1263" s="12" t="s">
        <v>9102</v>
      </c>
      <c r="M1263" s="15">
        <v>43733</v>
      </c>
      <c r="N1263" s="24">
        <v>1</v>
      </c>
      <c r="O1263" s="63">
        <v>34000</v>
      </c>
      <c r="P1263" s="63">
        <v>34000</v>
      </c>
      <c r="Q1263" s="40">
        <f t="shared" si="34"/>
        <v>0</v>
      </c>
      <c r="R1263" s="285" t="s">
        <v>7155</v>
      </c>
      <c r="S1263" s="14">
        <v>43724</v>
      </c>
      <c r="T1263" s="22" t="s">
        <v>9089</v>
      </c>
    </row>
    <row r="1264" spans="1:20" ht="73.5" customHeight="1" x14ac:dyDescent="0.2">
      <c r="A1264" s="289">
        <v>1296</v>
      </c>
      <c r="B1264" s="289" t="s">
        <v>9086</v>
      </c>
      <c r="C1264" s="289"/>
      <c r="D1264" s="9" t="s">
        <v>9090</v>
      </c>
      <c r="E1264" s="22" t="s">
        <v>8615</v>
      </c>
      <c r="F1264" s="9" t="s">
        <v>9091</v>
      </c>
      <c r="G1264" s="285" t="s">
        <v>7983</v>
      </c>
      <c r="H1264" s="285" t="s">
        <v>5127</v>
      </c>
      <c r="I1264" s="289"/>
      <c r="J1264" s="285" t="s">
        <v>3136</v>
      </c>
      <c r="K1264" s="15">
        <v>43752</v>
      </c>
      <c r="L1264" s="12" t="s">
        <v>9102</v>
      </c>
      <c r="M1264" s="15">
        <v>43733</v>
      </c>
      <c r="N1264" s="24">
        <v>1</v>
      </c>
      <c r="O1264" s="63">
        <v>20000</v>
      </c>
      <c r="P1264" s="63">
        <v>20000</v>
      </c>
      <c r="Q1264" s="40">
        <f t="shared" si="34"/>
        <v>0</v>
      </c>
      <c r="R1264" s="285" t="s">
        <v>7155</v>
      </c>
      <c r="S1264" s="14">
        <v>43724</v>
      </c>
      <c r="T1264" s="22" t="s">
        <v>9089</v>
      </c>
    </row>
    <row r="1265" spans="1:20" ht="92.25" customHeight="1" x14ac:dyDescent="0.2">
      <c r="A1265" s="289">
        <v>1297</v>
      </c>
      <c r="B1265" s="289" t="s">
        <v>9107</v>
      </c>
      <c r="C1265" s="289"/>
      <c r="D1265" s="9" t="s">
        <v>9108</v>
      </c>
      <c r="E1265" s="22" t="s">
        <v>8615</v>
      </c>
      <c r="F1265" s="9" t="s">
        <v>9109</v>
      </c>
      <c r="G1265" s="285" t="s">
        <v>3090</v>
      </c>
      <c r="H1265" s="285" t="s">
        <v>5127</v>
      </c>
      <c r="I1265" s="289"/>
      <c r="J1265" s="285" t="s">
        <v>3136</v>
      </c>
      <c r="K1265" s="15">
        <v>43754</v>
      </c>
      <c r="L1265" s="12" t="s">
        <v>9111</v>
      </c>
      <c r="M1265" s="15">
        <v>43720</v>
      </c>
      <c r="N1265" s="24">
        <v>1</v>
      </c>
      <c r="O1265" s="63">
        <v>16899</v>
      </c>
      <c r="P1265" s="63">
        <v>16899</v>
      </c>
      <c r="Q1265" s="40">
        <f t="shared" si="34"/>
        <v>0</v>
      </c>
      <c r="R1265" s="285" t="s">
        <v>3418</v>
      </c>
      <c r="S1265" s="14">
        <v>43714</v>
      </c>
      <c r="T1265" s="22" t="s">
        <v>9110</v>
      </c>
    </row>
    <row r="1266" spans="1:20" ht="90.75" customHeight="1" x14ac:dyDescent="0.2">
      <c r="A1266" s="289">
        <v>1298</v>
      </c>
      <c r="B1266" s="289" t="s">
        <v>9112</v>
      </c>
      <c r="C1266" s="289"/>
      <c r="D1266" s="9" t="s">
        <v>9113</v>
      </c>
      <c r="E1266" s="22" t="s">
        <v>8615</v>
      </c>
      <c r="F1266" s="9" t="s">
        <v>9114</v>
      </c>
      <c r="G1266" s="285" t="s">
        <v>3090</v>
      </c>
      <c r="H1266" s="285" t="s">
        <v>5127</v>
      </c>
      <c r="I1266" s="289"/>
      <c r="J1266" s="285" t="s">
        <v>3136</v>
      </c>
      <c r="K1266" s="15">
        <v>43760</v>
      </c>
      <c r="L1266" s="12" t="s">
        <v>9159</v>
      </c>
      <c r="M1266" s="15">
        <v>43704</v>
      </c>
      <c r="N1266" s="24">
        <v>1</v>
      </c>
      <c r="O1266" s="63">
        <v>15000</v>
      </c>
      <c r="P1266" s="63">
        <v>15000</v>
      </c>
      <c r="Q1266" s="40">
        <f t="shared" si="34"/>
        <v>0</v>
      </c>
      <c r="R1266" s="285" t="s">
        <v>9115</v>
      </c>
      <c r="S1266" s="14">
        <v>43704</v>
      </c>
      <c r="T1266" s="22" t="s">
        <v>9116</v>
      </c>
    </row>
    <row r="1267" spans="1:20" ht="86.25" customHeight="1" x14ac:dyDescent="0.2">
      <c r="A1267" s="289">
        <v>1299</v>
      </c>
      <c r="B1267" s="289" t="s">
        <v>9168</v>
      </c>
      <c r="C1267" s="289"/>
      <c r="D1267" s="9" t="s">
        <v>9169</v>
      </c>
      <c r="E1267" s="22" t="s">
        <v>8615</v>
      </c>
      <c r="F1267" s="9" t="s">
        <v>9170</v>
      </c>
      <c r="G1267" s="285" t="s">
        <v>7982</v>
      </c>
      <c r="H1267" s="285" t="s">
        <v>5127</v>
      </c>
      <c r="I1267" s="289"/>
      <c r="J1267" s="285" t="s">
        <v>3136</v>
      </c>
      <c r="K1267" s="15">
        <v>43774</v>
      </c>
      <c r="L1267" s="12" t="s">
        <v>9172</v>
      </c>
      <c r="M1267" s="15">
        <v>43749</v>
      </c>
      <c r="N1267" s="24">
        <v>3</v>
      </c>
      <c r="O1267" s="63">
        <v>32250</v>
      </c>
      <c r="P1267" s="63">
        <v>32250</v>
      </c>
      <c r="Q1267" s="40">
        <f t="shared" si="34"/>
        <v>0</v>
      </c>
      <c r="R1267" s="285" t="s">
        <v>5345</v>
      </c>
      <c r="S1267" s="14">
        <v>43749</v>
      </c>
      <c r="T1267" s="22" t="s">
        <v>1029</v>
      </c>
    </row>
    <row r="1268" spans="1:20" ht="102" customHeight="1" x14ac:dyDescent="0.2">
      <c r="A1268" s="289">
        <v>1300</v>
      </c>
      <c r="B1268" s="289" t="s">
        <v>9195</v>
      </c>
      <c r="C1268" s="289"/>
      <c r="D1268" s="9" t="s">
        <v>2294</v>
      </c>
      <c r="E1268" s="22" t="s">
        <v>8615</v>
      </c>
      <c r="F1268" s="9" t="s">
        <v>9196</v>
      </c>
      <c r="G1268" s="285" t="s">
        <v>7983</v>
      </c>
      <c r="H1268" s="285" t="s">
        <v>5127</v>
      </c>
      <c r="I1268" s="289"/>
      <c r="J1268" s="285" t="s">
        <v>3136</v>
      </c>
      <c r="K1268" s="15">
        <v>43802</v>
      </c>
      <c r="L1268" s="12" t="s">
        <v>6289</v>
      </c>
      <c r="M1268" s="15">
        <v>43754</v>
      </c>
      <c r="N1268" s="24"/>
      <c r="O1268" s="63">
        <v>300</v>
      </c>
      <c r="P1268" s="63">
        <v>300</v>
      </c>
      <c r="Q1268" s="40">
        <f t="shared" si="34"/>
        <v>0</v>
      </c>
      <c r="R1268" s="285" t="s">
        <v>5364</v>
      </c>
      <c r="S1268" s="14">
        <v>43698</v>
      </c>
      <c r="T1268" s="22" t="s">
        <v>9197</v>
      </c>
    </row>
    <row r="1269" spans="1:20" ht="77.25" customHeight="1" x14ac:dyDescent="0.2">
      <c r="A1269" s="289">
        <v>1301</v>
      </c>
      <c r="B1269" s="289" t="s">
        <v>9264</v>
      </c>
      <c r="C1269" s="289"/>
      <c r="D1269" s="9" t="s">
        <v>9208</v>
      </c>
      <c r="E1269" s="22"/>
      <c r="F1269" s="9"/>
      <c r="G1269" s="285" t="s">
        <v>8293</v>
      </c>
      <c r="H1269" s="285" t="s">
        <v>5127</v>
      </c>
      <c r="I1269" s="289"/>
      <c r="J1269" s="285" t="s">
        <v>3136</v>
      </c>
      <c r="K1269" s="15">
        <v>43822</v>
      </c>
      <c r="L1269" s="12" t="s">
        <v>3572</v>
      </c>
      <c r="M1269" s="15"/>
      <c r="N1269" s="24">
        <v>1</v>
      </c>
      <c r="O1269" s="63">
        <v>1727</v>
      </c>
      <c r="P1269" s="63">
        <v>1727</v>
      </c>
      <c r="Q1269" s="40">
        <f t="shared" si="34"/>
        <v>0</v>
      </c>
      <c r="R1269" s="285" t="s">
        <v>5364</v>
      </c>
      <c r="S1269" s="14">
        <v>43602</v>
      </c>
      <c r="T1269" s="22" t="s">
        <v>7398</v>
      </c>
    </row>
    <row r="1270" spans="1:20" ht="66.75" customHeight="1" x14ac:dyDescent="0.2">
      <c r="A1270" s="289">
        <v>1302</v>
      </c>
      <c r="B1270" s="289" t="s">
        <v>9265</v>
      </c>
      <c r="C1270" s="289"/>
      <c r="D1270" s="9" t="s">
        <v>8018</v>
      </c>
      <c r="E1270" s="22"/>
      <c r="F1270" s="9"/>
      <c r="G1270" s="285" t="s">
        <v>8293</v>
      </c>
      <c r="H1270" s="285" t="s">
        <v>5127</v>
      </c>
      <c r="I1270" s="289"/>
      <c r="J1270" s="285" t="s">
        <v>3136</v>
      </c>
      <c r="K1270" s="15">
        <v>43822</v>
      </c>
      <c r="L1270" s="12" t="s">
        <v>3572</v>
      </c>
      <c r="M1270" s="15"/>
      <c r="N1270" s="24">
        <v>5</v>
      </c>
      <c r="O1270" s="63">
        <f>5*2347.15</f>
        <v>11735.75</v>
      </c>
      <c r="P1270" s="63">
        <v>11735.75</v>
      </c>
      <c r="Q1270" s="40">
        <f t="shared" si="34"/>
        <v>0</v>
      </c>
      <c r="R1270" s="285" t="s">
        <v>5364</v>
      </c>
      <c r="S1270" s="14">
        <v>43602</v>
      </c>
      <c r="T1270" s="22" t="s">
        <v>7398</v>
      </c>
    </row>
    <row r="1271" spans="1:20" ht="72" customHeight="1" x14ac:dyDescent="0.2">
      <c r="A1271" s="289">
        <v>1303</v>
      </c>
      <c r="B1271" s="289" t="s">
        <v>9266</v>
      </c>
      <c r="C1271" s="289"/>
      <c r="D1271" s="9" t="s">
        <v>9209</v>
      </c>
      <c r="E1271" s="22"/>
      <c r="F1271" s="9"/>
      <c r="G1271" s="285" t="s">
        <v>8293</v>
      </c>
      <c r="H1271" s="285" t="s">
        <v>5127</v>
      </c>
      <c r="I1271" s="289"/>
      <c r="J1271" s="285" t="s">
        <v>3136</v>
      </c>
      <c r="K1271" s="15">
        <v>43822</v>
      </c>
      <c r="L1271" s="12" t="s">
        <v>3572</v>
      </c>
      <c r="M1271" s="15"/>
      <c r="N1271" s="24">
        <v>1</v>
      </c>
      <c r="O1271" s="63">
        <v>2998.7</v>
      </c>
      <c r="P1271" s="63">
        <v>2998.7</v>
      </c>
      <c r="Q1271" s="40">
        <f t="shared" si="34"/>
        <v>0</v>
      </c>
      <c r="R1271" s="285" t="s">
        <v>5364</v>
      </c>
      <c r="S1271" s="14">
        <v>43602</v>
      </c>
      <c r="T1271" s="22" t="s">
        <v>7398</v>
      </c>
    </row>
    <row r="1272" spans="1:20" ht="82.5" customHeight="1" x14ac:dyDescent="0.2">
      <c r="A1272" s="289">
        <v>1304</v>
      </c>
      <c r="B1272" s="289" t="s">
        <v>9267</v>
      </c>
      <c r="C1272" s="289"/>
      <c r="D1272" s="9" t="s">
        <v>7633</v>
      </c>
      <c r="E1272" s="22"/>
      <c r="F1272" s="9"/>
      <c r="G1272" s="285" t="s">
        <v>8293</v>
      </c>
      <c r="H1272" s="285" t="s">
        <v>5127</v>
      </c>
      <c r="I1272" s="289"/>
      <c r="J1272" s="285" t="s">
        <v>3136</v>
      </c>
      <c r="K1272" s="15">
        <v>43822</v>
      </c>
      <c r="L1272" s="12" t="s">
        <v>3572</v>
      </c>
      <c r="M1272" s="15"/>
      <c r="N1272" s="24">
        <v>6</v>
      </c>
      <c r="O1272" s="63">
        <f>6*3297</f>
        <v>19782</v>
      </c>
      <c r="P1272" s="63">
        <v>19782</v>
      </c>
      <c r="Q1272" s="40">
        <f t="shared" si="34"/>
        <v>0</v>
      </c>
      <c r="R1272" s="285" t="s">
        <v>5364</v>
      </c>
      <c r="S1272" s="14">
        <v>43602</v>
      </c>
      <c r="T1272" s="22" t="s">
        <v>7398</v>
      </c>
    </row>
    <row r="1273" spans="1:20" ht="36" x14ac:dyDescent="0.2">
      <c r="A1273" s="289">
        <v>1310</v>
      </c>
      <c r="B1273" s="289" t="s">
        <v>9268</v>
      </c>
      <c r="C1273" s="18"/>
      <c r="D1273" s="9" t="s">
        <v>6007</v>
      </c>
      <c r="E1273" s="12"/>
      <c r="F1273" s="9"/>
      <c r="G1273" s="285" t="s">
        <v>8293</v>
      </c>
      <c r="H1273" s="285" t="s">
        <v>5127</v>
      </c>
      <c r="I1273" s="289"/>
      <c r="J1273" s="285" t="s">
        <v>3136</v>
      </c>
      <c r="K1273" s="14" t="s">
        <v>11739</v>
      </c>
      <c r="L1273" s="22" t="s">
        <v>11740</v>
      </c>
      <c r="M1273" s="15"/>
      <c r="N1273" s="24">
        <f>14-2-8</f>
        <v>4</v>
      </c>
      <c r="O1273" s="63">
        <f>42421.4-6060.2-24240.8</f>
        <v>12120.400000000005</v>
      </c>
      <c r="P1273" s="63">
        <v>12120.4</v>
      </c>
      <c r="Q1273" s="40">
        <f>O1273-P1273</f>
        <v>0</v>
      </c>
      <c r="R1273" s="285" t="s">
        <v>5364</v>
      </c>
      <c r="S1273" s="14">
        <v>43602</v>
      </c>
      <c r="T1273" s="22" t="s">
        <v>7398</v>
      </c>
    </row>
    <row r="1274" spans="1:20" ht="81" customHeight="1" x14ac:dyDescent="0.2">
      <c r="A1274" s="289">
        <v>1306</v>
      </c>
      <c r="B1274" s="289" t="s">
        <v>9269</v>
      </c>
      <c r="C1274" s="289"/>
      <c r="D1274" s="9" t="s">
        <v>9211</v>
      </c>
      <c r="E1274" s="22"/>
      <c r="F1274" s="9"/>
      <c r="G1274" s="285" t="s">
        <v>8293</v>
      </c>
      <c r="H1274" s="285" t="s">
        <v>5127</v>
      </c>
      <c r="I1274" s="289"/>
      <c r="J1274" s="285" t="s">
        <v>3136</v>
      </c>
      <c r="K1274" s="15">
        <v>43822</v>
      </c>
      <c r="L1274" s="12" t="s">
        <v>3572</v>
      </c>
      <c r="M1274" s="15"/>
      <c r="N1274" s="24">
        <v>3</v>
      </c>
      <c r="O1274" s="63">
        <f>3*659.4</f>
        <v>1978.1999999999998</v>
      </c>
      <c r="P1274" s="63">
        <v>1978.2</v>
      </c>
      <c r="Q1274" s="40">
        <f t="shared" si="34"/>
        <v>0</v>
      </c>
      <c r="R1274" s="285" t="s">
        <v>5364</v>
      </c>
      <c r="S1274" s="14">
        <v>43602</v>
      </c>
      <c r="T1274" s="22" t="s">
        <v>7398</v>
      </c>
    </row>
    <row r="1275" spans="1:20" ht="73.5" customHeight="1" x14ac:dyDescent="0.2">
      <c r="A1275" s="289">
        <v>1307</v>
      </c>
      <c r="B1275" s="289" t="s">
        <v>9270</v>
      </c>
      <c r="C1275" s="289"/>
      <c r="D1275" s="9" t="s">
        <v>9212</v>
      </c>
      <c r="E1275" s="22"/>
      <c r="F1275" s="9"/>
      <c r="G1275" s="285" t="s">
        <v>8293</v>
      </c>
      <c r="H1275" s="285" t="s">
        <v>5127</v>
      </c>
      <c r="I1275" s="289"/>
      <c r="J1275" s="285" t="s">
        <v>3136</v>
      </c>
      <c r="K1275" s="15">
        <v>43822</v>
      </c>
      <c r="L1275" s="12" t="s">
        <v>3572</v>
      </c>
      <c r="M1275" s="15"/>
      <c r="N1275" s="24">
        <v>1</v>
      </c>
      <c r="O1275" s="63">
        <v>3493.25</v>
      </c>
      <c r="P1275" s="63">
        <v>3493.25</v>
      </c>
      <c r="Q1275" s="40">
        <f t="shared" si="34"/>
        <v>0</v>
      </c>
      <c r="R1275" s="285" t="s">
        <v>5364</v>
      </c>
      <c r="S1275" s="14">
        <v>43602</v>
      </c>
      <c r="T1275" s="22" t="s">
        <v>7398</v>
      </c>
    </row>
    <row r="1276" spans="1:20" ht="92.25" customHeight="1" x14ac:dyDescent="0.2">
      <c r="A1276" s="289">
        <v>1309</v>
      </c>
      <c r="B1276" s="289" t="s">
        <v>9214</v>
      </c>
      <c r="C1276" s="289"/>
      <c r="D1276" s="9" t="s">
        <v>9215</v>
      </c>
      <c r="E1276" s="22" t="s">
        <v>8615</v>
      </c>
      <c r="F1276" s="9" t="s">
        <v>9216</v>
      </c>
      <c r="G1276" s="285" t="s">
        <v>7979</v>
      </c>
      <c r="H1276" s="285" t="s">
        <v>5127</v>
      </c>
      <c r="I1276" s="289"/>
      <c r="J1276" s="285" t="s">
        <v>3136</v>
      </c>
      <c r="K1276" s="15">
        <v>43815</v>
      </c>
      <c r="L1276" s="12" t="s">
        <v>9232</v>
      </c>
      <c r="M1276" s="15">
        <v>43801</v>
      </c>
      <c r="N1276" s="24">
        <v>1</v>
      </c>
      <c r="O1276" s="63">
        <v>11700</v>
      </c>
      <c r="P1276" s="63">
        <v>11700</v>
      </c>
      <c r="Q1276" s="40">
        <f t="shared" si="34"/>
        <v>0</v>
      </c>
      <c r="R1276" s="285" t="s">
        <v>9217</v>
      </c>
      <c r="S1276" s="14">
        <v>43761</v>
      </c>
      <c r="T1276" s="22" t="s">
        <v>9218</v>
      </c>
    </row>
    <row r="1277" spans="1:20" ht="142.5" customHeight="1" x14ac:dyDescent="0.2">
      <c r="A1277" s="289">
        <v>1310</v>
      </c>
      <c r="B1277" s="289" t="s">
        <v>9224</v>
      </c>
      <c r="C1277" s="289"/>
      <c r="D1277" s="9" t="s">
        <v>9225</v>
      </c>
      <c r="E1277" s="22" t="s">
        <v>8615</v>
      </c>
      <c r="F1277" s="9" t="s">
        <v>9226</v>
      </c>
      <c r="G1277" s="285" t="s">
        <v>515</v>
      </c>
      <c r="H1277" s="285" t="s">
        <v>5127</v>
      </c>
      <c r="I1277" s="289"/>
      <c r="J1277" s="285" t="s">
        <v>3136</v>
      </c>
      <c r="K1277" s="15">
        <v>43815</v>
      </c>
      <c r="L1277" s="12" t="s">
        <v>9233</v>
      </c>
      <c r="M1277" s="15">
        <v>43801</v>
      </c>
      <c r="N1277" s="24">
        <v>1</v>
      </c>
      <c r="O1277" s="63">
        <v>13775</v>
      </c>
      <c r="P1277" s="63">
        <v>13775</v>
      </c>
      <c r="Q1277" s="40">
        <f t="shared" si="34"/>
        <v>0</v>
      </c>
      <c r="R1277" s="285" t="s">
        <v>6111</v>
      </c>
      <c r="S1277" s="14">
        <v>43733</v>
      </c>
      <c r="T1277" s="22" t="s">
        <v>9227</v>
      </c>
    </row>
    <row r="1278" spans="1:20" ht="91.5" customHeight="1" x14ac:dyDescent="0.2">
      <c r="A1278" s="289">
        <v>1311</v>
      </c>
      <c r="B1278" s="289" t="s">
        <v>9271</v>
      </c>
      <c r="C1278" s="289"/>
      <c r="D1278" s="9" t="s">
        <v>9272</v>
      </c>
      <c r="E1278" s="22" t="s">
        <v>8615</v>
      </c>
      <c r="F1278" s="9" t="s">
        <v>9273</v>
      </c>
      <c r="G1278" s="285" t="s">
        <v>7979</v>
      </c>
      <c r="H1278" s="285" t="s">
        <v>5127</v>
      </c>
      <c r="I1278" s="289"/>
      <c r="J1278" s="285" t="s">
        <v>3136</v>
      </c>
      <c r="K1278" s="15">
        <v>43822</v>
      </c>
      <c r="L1278" s="12" t="s">
        <v>9283</v>
      </c>
      <c r="M1278" s="15">
        <v>43811</v>
      </c>
      <c r="N1278" s="24">
        <v>1</v>
      </c>
      <c r="O1278" s="63">
        <v>16785</v>
      </c>
      <c r="P1278" s="63">
        <v>16785</v>
      </c>
      <c r="Q1278" s="40">
        <f t="shared" si="34"/>
        <v>0</v>
      </c>
      <c r="R1278" s="285" t="s">
        <v>9274</v>
      </c>
      <c r="S1278" s="14">
        <v>43781</v>
      </c>
      <c r="T1278" s="22" t="s">
        <v>9275</v>
      </c>
    </row>
    <row r="1279" spans="1:20" ht="170.25" customHeight="1" x14ac:dyDescent="0.2">
      <c r="A1279" s="289">
        <v>1312</v>
      </c>
      <c r="B1279" s="50" t="s">
        <v>9299</v>
      </c>
      <c r="C1279" s="326"/>
      <c r="D1279" s="327" t="s">
        <v>9300</v>
      </c>
      <c r="E1279" s="328" t="s">
        <v>8615</v>
      </c>
      <c r="F1279" s="327" t="s">
        <v>10703</v>
      </c>
      <c r="G1279" s="285" t="s">
        <v>11760</v>
      </c>
      <c r="H1279" s="326" t="s">
        <v>2207</v>
      </c>
      <c r="J1279" s="327" t="s">
        <v>11737</v>
      </c>
      <c r="K1279" s="329" t="s">
        <v>11735</v>
      </c>
      <c r="L1279" s="328" t="s">
        <v>11736</v>
      </c>
      <c r="M1279" s="330">
        <v>43823</v>
      </c>
      <c r="N1279" s="24">
        <v>292</v>
      </c>
      <c r="O1279" s="101">
        <v>2150480.7200000002</v>
      </c>
      <c r="P1279" s="63">
        <v>0</v>
      </c>
      <c r="Q1279" s="101">
        <f>O1279-P1279</f>
        <v>2150480.7200000002</v>
      </c>
      <c r="R1279" s="327" t="s">
        <v>7155</v>
      </c>
      <c r="S1279" s="329">
        <v>43802</v>
      </c>
      <c r="T1279" s="328" t="s">
        <v>9301</v>
      </c>
    </row>
    <row r="1280" spans="1:20" ht="47.25" customHeight="1" x14ac:dyDescent="0.2">
      <c r="A1280" s="289">
        <v>1313</v>
      </c>
      <c r="B1280" s="18" t="s">
        <v>9299</v>
      </c>
      <c r="C1280" s="331"/>
      <c r="D1280" s="332"/>
      <c r="E1280" s="333"/>
      <c r="F1280" s="332"/>
      <c r="G1280" s="285" t="s">
        <v>10465</v>
      </c>
      <c r="H1280" s="331"/>
      <c r="J1280" s="332"/>
      <c r="K1280" s="334"/>
      <c r="L1280" s="333"/>
      <c r="M1280" s="335"/>
      <c r="N1280" s="24">
        <v>16</v>
      </c>
      <c r="O1280" s="63">
        <v>117834.56</v>
      </c>
      <c r="P1280" s="63">
        <v>0</v>
      </c>
      <c r="Q1280" s="40">
        <f>O1280-P1279</f>
        <v>117834.56</v>
      </c>
      <c r="R1280" s="332"/>
      <c r="S1280" s="334"/>
      <c r="T1280" s="333"/>
    </row>
    <row r="1281" spans="1:20" ht="96" customHeight="1" x14ac:dyDescent="0.2">
      <c r="A1281" s="289">
        <v>1313</v>
      </c>
      <c r="B1281" s="289" t="s">
        <v>9319</v>
      </c>
      <c r="C1281" s="289"/>
      <c r="D1281" s="9" t="s">
        <v>9320</v>
      </c>
      <c r="E1281" s="22" t="s">
        <v>8615</v>
      </c>
      <c r="F1281" s="9" t="s">
        <v>9321</v>
      </c>
      <c r="G1281" s="285" t="s">
        <v>7983</v>
      </c>
      <c r="H1281" s="285" t="s">
        <v>5127</v>
      </c>
      <c r="I1281" s="18"/>
      <c r="J1281" s="285" t="s">
        <v>3136</v>
      </c>
      <c r="K1281" s="14">
        <v>43830</v>
      </c>
      <c r="L1281" s="285">
        <v>1101</v>
      </c>
      <c r="M1281" s="15">
        <v>43826</v>
      </c>
      <c r="N1281" s="40">
        <v>1</v>
      </c>
      <c r="O1281" s="63">
        <v>28006</v>
      </c>
      <c r="P1281" s="63">
        <v>28006</v>
      </c>
      <c r="Q1281" s="40">
        <f t="shared" si="34"/>
        <v>0</v>
      </c>
      <c r="R1281" s="285" t="s">
        <v>7155</v>
      </c>
      <c r="S1281" s="14">
        <v>43826</v>
      </c>
      <c r="T1281" s="14" t="s">
        <v>9316</v>
      </c>
    </row>
    <row r="1282" spans="1:20" ht="87" customHeight="1" x14ac:dyDescent="0.2">
      <c r="A1282" s="289">
        <v>1314</v>
      </c>
      <c r="B1282" s="289" t="s">
        <v>9326</v>
      </c>
      <c r="C1282" s="289"/>
      <c r="D1282" s="9" t="s">
        <v>9329</v>
      </c>
      <c r="E1282" s="22" t="s">
        <v>8615</v>
      </c>
      <c r="F1282" s="9" t="s">
        <v>9328</v>
      </c>
      <c r="G1282" s="285" t="s">
        <v>7983</v>
      </c>
      <c r="H1282" s="285" t="s">
        <v>5127</v>
      </c>
      <c r="I1282" s="18"/>
      <c r="J1282" s="285" t="s">
        <v>3136</v>
      </c>
      <c r="K1282" s="14">
        <v>43830</v>
      </c>
      <c r="L1282" s="285">
        <v>1101</v>
      </c>
      <c r="M1282" s="15">
        <v>43830</v>
      </c>
      <c r="N1282" s="40">
        <v>1</v>
      </c>
      <c r="O1282" s="63">
        <v>14600</v>
      </c>
      <c r="P1282" s="63">
        <v>14600</v>
      </c>
      <c r="Q1282" s="40">
        <f t="shared" si="34"/>
        <v>0</v>
      </c>
      <c r="R1282" s="285" t="s">
        <v>7155</v>
      </c>
      <c r="S1282" s="14">
        <v>43829</v>
      </c>
      <c r="T1282" s="14" t="s">
        <v>9331</v>
      </c>
    </row>
    <row r="1283" spans="1:20" ht="87" customHeight="1" x14ac:dyDescent="0.2">
      <c r="A1283" s="289">
        <v>1315</v>
      </c>
      <c r="B1283" s="289" t="s">
        <v>9327</v>
      </c>
      <c r="C1283" s="289"/>
      <c r="D1283" s="9" t="s">
        <v>4510</v>
      </c>
      <c r="E1283" s="22" t="s">
        <v>8615</v>
      </c>
      <c r="F1283" s="9" t="s">
        <v>9330</v>
      </c>
      <c r="G1283" s="285" t="s">
        <v>7983</v>
      </c>
      <c r="H1283" s="285" t="s">
        <v>5127</v>
      </c>
      <c r="I1283" s="18"/>
      <c r="J1283" s="285" t="s">
        <v>3136</v>
      </c>
      <c r="K1283" s="14">
        <v>43830</v>
      </c>
      <c r="L1283" s="285">
        <v>1101</v>
      </c>
      <c r="M1283" s="15">
        <v>43830</v>
      </c>
      <c r="N1283" s="40">
        <v>1</v>
      </c>
      <c r="O1283" s="63">
        <v>11600</v>
      </c>
      <c r="P1283" s="63">
        <v>11600</v>
      </c>
      <c r="Q1283" s="40">
        <f t="shared" si="34"/>
        <v>0</v>
      </c>
      <c r="R1283" s="285" t="s">
        <v>7155</v>
      </c>
      <c r="S1283" s="14">
        <v>43829</v>
      </c>
      <c r="T1283" s="14" t="s">
        <v>9331</v>
      </c>
    </row>
    <row r="1284" spans="1:20" ht="87" customHeight="1" x14ac:dyDescent="0.2">
      <c r="A1284" s="289">
        <v>1316</v>
      </c>
      <c r="B1284" s="289" t="s">
        <v>9500</v>
      </c>
      <c r="C1284" s="289"/>
      <c r="D1284" s="9" t="s">
        <v>9501</v>
      </c>
      <c r="E1284" s="22" t="s">
        <v>9378</v>
      </c>
      <c r="F1284" s="9" t="s">
        <v>9502</v>
      </c>
      <c r="G1284" s="285" t="s">
        <v>4946</v>
      </c>
      <c r="H1284" s="285" t="s">
        <v>5127</v>
      </c>
      <c r="I1284" s="289"/>
      <c r="J1284" s="285" t="s">
        <v>3136</v>
      </c>
      <c r="K1284" s="14">
        <v>43937</v>
      </c>
      <c r="L1284" s="285">
        <v>323</v>
      </c>
      <c r="M1284" s="15">
        <v>43915</v>
      </c>
      <c r="N1284" s="40">
        <v>1</v>
      </c>
      <c r="O1284" s="63">
        <v>81715.8</v>
      </c>
      <c r="P1284" s="63">
        <v>81715.8</v>
      </c>
      <c r="Q1284" s="40">
        <f t="shared" si="34"/>
        <v>0</v>
      </c>
      <c r="R1284" s="285" t="s">
        <v>5110</v>
      </c>
      <c r="S1284" s="14">
        <v>43913</v>
      </c>
      <c r="T1284" s="14" t="s">
        <v>9503</v>
      </c>
    </row>
    <row r="1285" spans="1:20" ht="42" customHeight="1" x14ac:dyDescent="0.2">
      <c r="A1285" s="289">
        <v>1317</v>
      </c>
      <c r="B1285" s="289" t="s">
        <v>9608</v>
      </c>
      <c r="C1285" s="289"/>
      <c r="D1285" s="9" t="s">
        <v>9610</v>
      </c>
      <c r="E1285" s="22" t="s">
        <v>9612</v>
      </c>
      <c r="F1285" s="9" t="s">
        <v>9611</v>
      </c>
      <c r="G1285" s="285" t="s">
        <v>7917</v>
      </c>
      <c r="H1285" s="285" t="s">
        <v>5127</v>
      </c>
      <c r="I1285" s="289"/>
      <c r="J1285" s="285" t="s">
        <v>3136</v>
      </c>
      <c r="K1285" s="14">
        <v>43993</v>
      </c>
      <c r="L1285" s="285">
        <v>514</v>
      </c>
      <c r="M1285" s="15">
        <v>43957</v>
      </c>
      <c r="N1285" s="40">
        <v>1</v>
      </c>
      <c r="O1285" s="63">
        <v>14000</v>
      </c>
      <c r="P1285" s="63">
        <v>14000</v>
      </c>
      <c r="Q1285" s="40">
        <f t="shared" si="34"/>
        <v>0</v>
      </c>
      <c r="R1285" s="285" t="s">
        <v>7124</v>
      </c>
      <c r="S1285" s="14">
        <v>43930</v>
      </c>
      <c r="T1285" s="285">
        <v>8</v>
      </c>
    </row>
    <row r="1286" spans="1:20" ht="39.75" customHeight="1" x14ac:dyDescent="0.2">
      <c r="A1286" s="289">
        <v>1318</v>
      </c>
      <c r="B1286" s="289" t="s">
        <v>9609</v>
      </c>
      <c r="C1286" s="289"/>
      <c r="D1286" s="9" t="s">
        <v>9613</v>
      </c>
      <c r="E1286" s="22" t="s">
        <v>9612</v>
      </c>
      <c r="F1286" s="9" t="s">
        <v>9614</v>
      </c>
      <c r="G1286" s="285" t="s">
        <v>2437</v>
      </c>
      <c r="H1286" s="285" t="s">
        <v>5127</v>
      </c>
      <c r="I1286" s="289"/>
      <c r="J1286" s="285" t="s">
        <v>3136</v>
      </c>
      <c r="K1286" s="14">
        <v>43993</v>
      </c>
      <c r="L1286" s="285">
        <v>514</v>
      </c>
      <c r="M1286" s="15">
        <v>43957</v>
      </c>
      <c r="N1286" s="40">
        <v>1</v>
      </c>
      <c r="O1286" s="63">
        <v>14000</v>
      </c>
      <c r="P1286" s="63">
        <v>14000</v>
      </c>
      <c r="Q1286" s="40">
        <f t="shared" ref="Q1286:Q1317" si="35">O1286-P1286</f>
        <v>0</v>
      </c>
      <c r="R1286" s="285" t="s">
        <v>7124</v>
      </c>
      <c r="S1286" s="14">
        <v>43930</v>
      </c>
      <c r="T1286" s="285">
        <v>8</v>
      </c>
    </row>
    <row r="1287" spans="1:20" ht="36" customHeight="1" x14ac:dyDescent="0.2">
      <c r="A1287" s="289">
        <v>1319</v>
      </c>
      <c r="B1287" s="289" t="s">
        <v>9736</v>
      </c>
      <c r="C1287" s="289"/>
      <c r="D1287" s="9" t="s">
        <v>9741</v>
      </c>
      <c r="E1287" s="22" t="s">
        <v>9742</v>
      </c>
      <c r="F1287" s="9" t="s">
        <v>9743</v>
      </c>
      <c r="G1287" s="285" t="s">
        <v>101</v>
      </c>
      <c r="H1287" s="285" t="s">
        <v>5127</v>
      </c>
      <c r="I1287" s="289"/>
      <c r="J1287" s="285" t="s">
        <v>3136</v>
      </c>
      <c r="K1287" s="14">
        <v>44007</v>
      </c>
      <c r="L1287" s="285">
        <v>553</v>
      </c>
      <c r="M1287" s="15">
        <v>43990</v>
      </c>
      <c r="N1287" s="40">
        <v>1</v>
      </c>
      <c r="O1287" s="63">
        <v>59990</v>
      </c>
      <c r="P1287" s="63">
        <v>59990</v>
      </c>
      <c r="Q1287" s="40">
        <f t="shared" si="35"/>
        <v>0</v>
      </c>
      <c r="R1287" s="285" t="s">
        <v>3493</v>
      </c>
      <c r="S1287" s="14">
        <v>43887</v>
      </c>
      <c r="T1287" s="285" t="s">
        <v>9744</v>
      </c>
    </row>
    <row r="1288" spans="1:20" ht="43.5" customHeight="1" x14ac:dyDescent="0.2">
      <c r="A1288" s="289">
        <v>1320</v>
      </c>
      <c r="B1288" s="289" t="s">
        <v>9737</v>
      </c>
      <c r="C1288" s="289"/>
      <c r="D1288" s="9" t="s">
        <v>9745</v>
      </c>
      <c r="E1288" s="22" t="s">
        <v>9742</v>
      </c>
      <c r="F1288" s="9" t="s">
        <v>9746</v>
      </c>
      <c r="G1288" s="285" t="s">
        <v>101</v>
      </c>
      <c r="H1288" s="285" t="s">
        <v>5127</v>
      </c>
      <c r="I1288" s="289"/>
      <c r="J1288" s="285" t="s">
        <v>3136</v>
      </c>
      <c r="K1288" s="14">
        <v>44007</v>
      </c>
      <c r="L1288" s="285">
        <v>553</v>
      </c>
      <c r="M1288" s="15">
        <v>43990</v>
      </c>
      <c r="N1288" s="40">
        <v>1</v>
      </c>
      <c r="O1288" s="63">
        <v>27990</v>
      </c>
      <c r="P1288" s="63">
        <v>27990</v>
      </c>
      <c r="Q1288" s="40">
        <f t="shared" si="35"/>
        <v>0</v>
      </c>
      <c r="R1288" s="285" t="s">
        <v>3493</v>
      </c>
      <c r="S1288" s="14">
        <v>43887</v>
      </c>
      <c r="T1288" s="285" t="s">
        <v>9744</v>
      </c>
    </row>
    <row r="1289" spans="1:20" ht="40.5" customHeight="1" x14ac:dyDescent="0.2">
      <c r="A1289" s="289">
        <v>1321</v>
      </c>
      <c r="B1289" s="289" t="s">
        <v>9738</v>
      </c>
      <c r="C1289" s="289"/>
      <c r="D1289" s="9" t="s">
        <v>9759</v>
      </c>
      <c r="E1289" s="22" t="s">
        <v>9742</v>
      </c>
      <c r="F1289" s="9" t="s">
        <v>9747</v>
      </c>
      <c r="G1289" s="285" t="s">
        <v>101</v>
      </c>
      <c r="H1289" s="285" t="s">
        <v>5127</v>
      </c>
      <c r="I1289" s="289"/>
      <c r="J1289" s="285" t="s">
        <v>3136</v>
      </c>
      <c r="K1289" s="14">
        <v>44007</v>
      </c>
      <c r="L1289" s="285">
        <v>553</v>
      </c>
      <c r="M1289" s="15">
        <v>43990</v>
      </c>
      <c r="N1289" s="40">
        <v>1</v>
      </c>
      <c r="O1289" s="63">
        <v>31900</v>
      </c>
      <c r="P1289" s="63">
        <v>31900</v>
      </c>
      <c r="Q1289" s="40">
        <f t="shared" si="35"/>
        <v>0</v>
      </c>
      <c r="R1289" s="285" t="s">
        <v>3493</v>
      </c>
      <c r="S1289" s="14">
        <v>43887</v>
      </c>
      <c r="T1289" s="285" t="s">
        <v>9744</v>
      </c>
    </row>
    <row r="1290" spans="1:20" ht="45.75" customHeight="1" x14ac:dyDescent="0.2">
      <c r="A1290" s="289">
        <v>1322</v>
      </c>
      <c r="B1290" s="289" t="s">
        <v>9739</v>
      </c>
      <c r="C1290" s="289"/>
      <c r="D1290" s="9" t="s">
        <v>9748</v>
      </c>
      <c r="E1290" s="22" t="s">
        <v>9742</v>
      </c>
      <c r="F1290" s="9" t="s">
        <v>9749</v>
      </c>
      <c r="G1290" s="285" t="s">
        <v>101</v>
      </c>
      <c r="H1290" s="285" t="s">
        <v>5127</v>
      </c>
      <c r="I1290" s="289"/>
      <c r="J1290" s="285" t="s">
        <v>3136</v>
      </c>
      <c r="K1290" s="14">
        <v>44007</v>
      </c>
      <c r="L1290" s="285">
        <v>553</v>
      </c>
      <c r="M1290" s="15">
        <v>43990</v>
      </c>
      <c r="N1290" s="40">
        <v>1</v>
      </c>
      <c r="O1290" s="63">
        <v>91900</v>
      </c>
      <c r="P1290" s="63">
        <v>91900</v>
      </c>
      <c r="Q1290" s="40">
        <f t="shared" si="35"/>
        <v>0</v>
      </c>
      <c r="R1290" s="285" t="s">
        <v>3493</v>
      </c>
      <c r="S1290" s="14">
        <v>43887</v>
      </c>
      <c r="T1290" s="285" t="s">
        <v>9744</v>
      </c>
    </row>
    <row r="1291" spans="1:20" ht="45.75" customHeight="1" x14ac:dyDescent="0.2">
      <c r="A1291" s="289">
        <v>1323</v>
      </c>
      <c r="B1291" s="289" t="s">
        <v>9740</v>
      </c>
      <c r="C1291" s="289"/>
      <c r="D1291" s="9" t="s">
        <v>9750</v>
      </c>
      <c r="E1291" s="22" t="s">
        <v>9742</v>
      </c>
      <c r="F1291" s="9" t="s">
        <v>9751</v>
      </c>
      <c r="G1291" s="285" t="s">
        <v>101</v>
      </c>
      <c r="H1291" s="285" t="s">
        <v>5127</v>
      </c>
      <c r="I1291" s="289"/>
      <c r="J1291" s="285" t="s">
        <v>3136</v>
      </c>
      <c r="K1291" s="14">
        <v>44007</v>
      </c>
      <c r="L1291" s="285">
        <v>553</v>
      </c>
      <c r="M1291" s="15">
        <v>43990</v>
      </c>
      <c r="N1291" s="40">
        <v>1</v>
      </c>
      <c r="O1291" s="63">
        <v>19590</v>
      </c>
      <c r="P1291" s="63">
        <v>19590</v>
      </c>
      <c r="Q1291" s="40">
        <f t="shared" si="35"/>
        <v>0</v>
      </c>
      <c r="R1291" s="285" t="s">
        <v>3493</v>
      </c>
      <c r="S1291" s="14">
        <v>43887</v>
      </c>
      <c r="T1291" s="285" t="s">
        <v>9744</v>
      </c>
    </row>
    <row r="1292" spans="1:20" ht="45.75" customHeight="1" x14ac:dyDescent="0.2">
      <c r="A1292" s="289">
        <v>1324</v>
      </c>
      <c r="B1292" s="289" t="s">
        <v>9755</v>
      </c>
      <c r="C1292" s="289"/>
      <c r="D1292" s="9" t="s">
        <v>9756</v>
      </c>
      <c r="E1292" s="22" t="s">
        <v>9757</v>
      </c>
      <c r="F1292" s="9" t="s">
        <v>9758</v>
      </c>
      <c r="G1292" s="285" t="s">
        <v>101</v>
      </c>
      <c r="H1292" s="285" t="s">
        <v>5127</v>
      </c>
      <c r="I1292" s="289"/>
      <c r="J1292" s="285" t="s">
        <v>3136</v>
      </c>
      <c r="K1292" s="14">
        <v>44007</v>
      </c>
      <c r="L1292" s="285">
        <v>553</v>
      </c>
      <c r="M1292" s="15">
        <v>43993</v>
      </c>
      <c r="N1292" s="40">
        <v>1</v>
      </c>
      <c r="O1292" s="63">
        <v>18600</v>
      </c>
      <c r="P1292" s="63">
        <v>18600</v>
      </c>
      <c r="Q1292" s="40">
        <f t="shared" si="35"/>
        <v>0</v>
      </c>
      <c r="R1292" s="285" t="s">
        <v>3418</v>
      </c>
      <c r="S1292" s="14">
        <v>43992</v>
      </c>
      <c r="T1292" s="285">
        <v>45</v>
      </c>
    </row>
    <row r="1293" spans="1:20" ht="81.75" customHeight="1" x14ac:dyDescent="0.2">
      <c r="A1293" s="289">
        <v>1325</v>
      </c>
      <c r="B1293" s="289" t="s">
        <v>9849</v>
      </c>
      <c r="C1293" s="289"/>
      <c r="D1293" s="9" t="s">
        <v>1018</v>
      </c>
      <c r="E1293" s="22" t="s">
        <v>9767</v>
      </c>
      <c r="F1293" s="9"/>
      <c r="G1293" s="285" t="s">
        <v>7981</v>
      </c>
      <c r="H1293" s="285" t="s">
        <v>5127</v>
      </c>
      <c r="I1293" s="289"/>
      <c r="J1293" s="285" t="s">
        <v>3136</v>
      </c>
      <c r="K1293" s="14">
        <v>44063</v>
      </c>
      <c r="L1293" s="285">
        <v>691</v>
      </c>
      <c r="M1293" s="15">
        <v>43998</v>
      </c>
      <c r="N1293" s="40">
        <v>1</v>
      </c>
      <c r="O1293" s="63">
        <v>7677.5</v>
      </c>
      <c r="P1293" s="63">
        <v>7677.5</v>
      </c>
      <c r="Q1293" s="40">
        <f t="shared" si="35"/>
        <v>0</v>
      </c>
      <c r="R1293" s="285" t="s">
        <v>9768</v>
      </c>
      <c r="S1293" s="14">
        <v>43979</v>
      </c>
      <c r="T1293" s="285">
        <v>649</v>
      </c>
    </row>
    <row r="1294" spans="1:20" ht="65.25" customHeight="1" x14ac:dyDescent="0.2">
      <c r="A1294" s="289">
        <v>1326</v>
      </c>
      <c r="B1294" s="289" t="s">
        <v>9819</v>
      </c>
      <c r="C1294" s="289"/>
      <c r="D1294" s="9" t="s">
        <v>9769</v>
      </c>
      <c r="E1294" s="22" t="s">
        <v>9767</v>
      </c>
      <c r="F1294" s="9"/>
      <c r="G1294" s="285" t="s">
        <v>7982</v>
      </c>
      <c r="H1294" s="285" t="s">
        <v>5127</v>
      </c>
      <c r="I1294" s="289"/>
      <c r="J1294" s="285" t="s">
        <v>3136</v>
      </c>
      <c r="K1294" s="14">
        <v>44015</v>
      </c>
      <c r="L1294" s="285">
        <v>575</v>
      </c>
      <c r="M1294" s="15">
        <v>43998</v>
      </c>
      <c r="N1294" s="40">
        <v>1</v>
      </c>
      <c r="O1294" s="63">
        <v>3373.95</v>
      </c>
      <c r="P1294" s="63">
        <v>3373.95</v>
      </c>
      <c r="Q1294" s="40">
        <f t="shared" si="35"/>
        <v>0</v>
      </c>
      <c r="R1294" s="285" t="s">
        <v>9768</v>
      </c>
      <c r="S1294" s="14">
        <v>43979</v>
      </c>
      <c r="T1294" s="285">
        <v>649</v>
      </c>
    </row>
    <row r="1295" spans="1:20" ht="79.5" customHeight="1" x14ac:dyDescent="0.2">
      <c r="A1295" s="289">
        <v>1327</v>
      </c>
      <c r="B1295" s="289" t="s">
        <v>9850</v>
      </c>
      <c r="C1295" s="289"/>
      <c r="D1295" s="9" t="s">
        <v>9770</v>
      </c>
      <c r="E1295" s="22" t="s">
        <v>9767</v>
      </c>
      <c r="F1295" s="9"/>
      <c r="G1295" s="285" t="s">
        <v>7981</v>
      </c>
      <c r="H1295" s="285" t="s">
        <v>5127</v>
      </c>
      <c r="I1295" s="289"/>
      <c r="J1295" s="285" t="s">
        <v>3136</v>
      </c>
      <c r="K1295" s="14">
        <v>44063</v>
      </c>
      <c r="L1295" s="285">
        <v>691</v>
      </c>
      <c r="M1295" s="15">
        <v>43998</v>
      </c>
      <c r="N1295" s="40">
        <v>1</v>
      </c>
      <c r="O1295" s="63">
        <v>4467.0600000000004</v>
      </c>
      <c r="P1295" s="63">
        <v>4467.0600000000004</v>
      </c>
      <c r="Q1295" s="40">
        <f t="shared" si="35"/>
        <v>0</v>
      </c>
      <c r="R1295" s="285" t="s">
        <v>9768</v>
      </c>
      <c r="S1295" s="14">
        <v>43979</v>
      </c>
      <c r="T1295" s="285">
        <v>649</v>
      </c>
    </row>
    <row r="1296" spans="1:20" ht="42.75" customHeight="1" x14ac:dyDescent="0.2">
      <c r="A1296" s="289">
        <v>1328</v>
      </c>
      <c r="B1296" s="289" t="s">
        <v>9798</v>
      </c>
      <c r="C1296" s="289"/>
      <c r="D1296" s="9" t="s">
        <v>9771</v>
      </c>
      <c r="E1296" s="22" t="s">
        <v>9767</v>
      </c>
      <c r="F1296" s="9"/>
      <c r="G1296" s="285" t="s">
        <v>7917</v>
      </c>
      <c r="H1296" s="285" t="s">
        <v>5127</v>
      </c>
      <c r="I1296" s="289"/>
      <c r="J1296" s="285" t="s">
        <v>3136</v>
      </c>
      <c r="K1296" s="14">
        <v>44019</v>
      </c>
      <c r="L1296" s="285">
        <v>598</v>
      </c>
      <c r="M1296" s="15">
        <v>43998</v>
      </c>
      <c r="N1296" s="40">
        <v>1</v>
      </c>
      <c r="O1296" s="63">
        <v>6723</v>
      </c>
      <c r="P1296" s="63">
        <v>6723</v>
      </c>
      <c r="Q1296" s="40">
        <f t="shared" si="35"/>
        <v>0</v>
      </c>
      <c r="R1296" s="285" t="s">
        <v>9768</v>
      </c>
      <c r="S1296" s="14">
        <v>43979</v>
      </c>
      <c r="T1296" s="285">
        <v>649</v>
      </c>
    </row>
    <row r="1297" spans="1:20" ht="62.25" customHeight="1" x14ac:dyDescent="0.2">
      <c r="A1297" s="289">
        <v>1329</v>
      </c>
      <c r="B1297" s="289" t="s">
        <v>9820</v>
      </c>
      <c r="C1297" s="289"/>
      <c r="D1297" s="9" t="s">
        <v>9772</v>
      </c>
      <c r="E1297" s="22" t="s">
        <v>9767</v>
      </c>
      <c r="F1297" s="9"/>
      <c r="G1297" s="285" t="s">
        <v>7982</v>
      </c>
      <c r="H1297" s="285" t="s">
        <v>5127</v>
      </c>
      <c r="I1297" s="289"/>
      <c r="J1297" s="285" t="s">
        <v>3136</v>
      </c>
      <c r="K1297" s="14">
        <v>44040</v>
      </c>
      <c r="L1297" s="285">
        <v>655</v>
      </c>
      <c r="M1297" s="15">
        <v>43998</v>
      </c>
      <c r="N1297" s="40">
        <v>1</v>
      </c>
      <c r="O1297" s="63">
        <v>10077.86</v>
      </c>
      <c r="P1297" s="63">
        <v>10077.86</v>
      </c>
      <c r="Q1297" s="40">
        <f t="shared" si="35"/>
        <v>0</v>
      </c>
      <c r="R1297" s="285" t="s">
        <v>9768</v>
      </c>
      <c r="S1297" s="14">
        <v>43979</v>
      </c>
      <c r="T1297" s="285">
        <v>649</v>
      </c>
    </row>
    <row r="1298" spans="1:20" ht="57" customHeight="1" x14ac:dyDescent="0.2">
      <c r="A1298" s="289">
        <v>1330</v>
      </c>
      <c r="B1298" s="289" t="s">
        <v>9799</v>
      </c>
      <c r="C1298" s="289"/>
      <c r="D1298" s="9" t="s">
        <v>9773</v>
      </c>
      <c r="E1298" s="22" t="s">
        <v>9767</v>
      </c>
      <c r="F1298" s="9"/>
      <c r="G1298" s="285" t="s">
        <v>7981</v>
      </c>
      <c r="H1298" s="285" t="s">
        <v>5127</v>
      </c>
      <c r="I1298" s="289"/>
      <c r="J1298" s="285" t="s">
        <v>3136</v>
      </c>
      <c r="K1298" s="14">
        <v>44063</v>
      </c>
      <c r="L1298" s="285">
        <v>691</v>
      </c>
      <c r="M1298" s="15">
        <v>43998</v>
      </c>
      <c r="N1298" s="40">
        <f>14-5-4</f>
        <v>5</v>
      </c>
      <c r="O1298" s="63">
        <f>39508-14110-11288</f>
        <v>14110</v>
      </c>
      <c r="P1298" s="63">
        <v>14110</v>
      </c>
      <c r="Q1298" s="40">
        <f t="shared" si="35"/>
        <v>0</v>
      </c>
      <c r="R1298" s="285" t="s">
        <v>9768</v>
      </c>
      <c r="S1298" s="14">
        <v>43979</v>
      </c>
      <c r="T1298" s="285">
        <v>649</v>
      </c>
    </row>
    <row r="1299" spans="1:20" ht="81.75" customHeight="1" x14ac:dyDescent="0.2">
      <c r="A1299" s="289">
        <v>1331</v>
      </c>
      <c r="B1299" s="289" t="s">
        <v>9799</v>
      </c>
      <c r="C1299" s="289"/>
      <c r="D1299" s="9" t="s">
        <v>9773</v>
      </c>
      <c r="E1299" s="22" t="s">
        <v>9767</v>
      </c>
      <c r="F1299" s="9"/>
      <c r="G1299" s="285" t="s">
        <v>7982</v>
      </c>
      <c r="H1299" s="285" t="s">
        <v>5127</v>
      </c>
      <c r="I1299" s="289"/>
      <c r="J1299" s="285" t="s">
        <v>3136</v>
      </c>
      <c r="K1299" s="14">
        <v>44040</v>
      </c>
      <c r="L1299" s="285">
        <v>655</v>
      </c>
      <c r="M1299" s="15">
        <v>43998</v>
      </c>
      <c r="N1299" s="40">
        <v>4</v>
      </c>
      <c r="O1299" s="63">
        <v>11288</v>
      </c>
      <c r="P1299" s="63">
        <v>11288</v>
      </c>
      <c r="Q1299" s="40">
        <f t="shared" si="35"/>
        <v>0</v>
      </c>
      <c r="R1299" s="285" t="s">
        <v>9768</v>
      </c>
      <c r="S1299" s="14">
        <v>43979</v>
      </c>
      <c r="T1299" s="285">
        <v>649</v>
      </c>
    </row>
    <row r="1300" spans="1:20" ht="41.25" customHeight="1" x14ac:dyDescent="0.2">
      <c r="A1300" s="289">
        <v>1332</v>
      </c>
      <c r="B1300" s="289" t="s">
        <v>9799</v>
      </c>
      <c r="C1300" s="289"/>
      <c r="D1300" s="9" t="s">
        <v>9773</v>
      </c>
      <c r="E1300" s="22" t="s">
        <v>9767</v>
      </c>
      <c r="F1300" s="9"/>
      <c r="G1300" s="285" t="s">
        <v>7917</v>
      </c>
      <c r="H1300" s="285" t="s">
        <v>5127</v>
      </c>
      <c r="I1300" s="289"/>
      <c r="J1300" s="285" t="s">
        <v>3136</v>
      </c>
      <c r="K1300" s="14">
        <v>44019</v>
      </c>
      <c r="L1300" s="285">
        <v>598</v>
      </c>
      <c r="M1300" s="15">
        <v>43998</v>
      </c>
      <c r="N1300" s="40">
        <v>5</v>
      </c>
      <c r="O1300" s="63">
        <v>14110</v>
      </c>
      <c r="P1300" s="63">
        <v>14110</v>
      </c>
      <c r="Q1300" s="40">
        <f t="shared" si="35"/>
        <v>0</v>
      </c>
      <c r="R1300" s="285" t="s">
        <v>9768</v>
      </c>
      <c r="S1300" s="14">
        <v>43979</v>
      </c>
      <c r="T1300" s="285">
        <v>649</v>
      </c>
    </row>
    <row r="1301" spans="1:20" ht="58.5" customHeight="1" x14ac:dyDescent="0.2">
      <c r="A1301" s="289">
        <v>1333</v>
      </c>
      <c r="B1301" s="289" t="s">
        <v>9800</v>
      </c>
      <c r="C1301" s="289"/>
      <c r="D1301" s="9" t="s">
        <v>9774</v>
      </c>
      <c r="E1301" s="22" t="s">
        <v>9767</v>
      </c>
      <c r="F1301" s="9"/>
      <c r="G1301" s="285" t="s">
        <v>7981</v>
      </c>
      <c r="H1301" s="285" t="s">
        <v>5127</v>
      </c>
      <c r="I1301" s="289"/>
      <c r="J1301" s="285" t="s">
        <v>3136</v>
      </c>
      <c r="K1301" s="14">
        <v>44063</v>
      </c>
      <c r="L1301" s="285">
        <v>691</v>
      </c>
      <c r="M1301" s="15">
        <v>43998</v>
      </c>
      <c r="N1301" s="40">
        <f>12-4-4</f>
        <v>4</v>
      </c>
      <c r="O1301" s="63">
        <f>39830.4-13276.8-13276.8</f>
        <v>13276.800000000003</v>
      </c>
      <c r="P1301" s="63">
        <v>13276.8</v>
      </c>
      <c r="Q1301" s="40">
        <f t="shared" si="35"/>
        <v>0</v>
      </c>
      <c r="R1301" s="285" t="s">
        <v>9768</v>
      </c>
      <c r="S1301" s="14">
        <v>43979</v>
      </c>
      <c r="T1301" s="285">
        <v>649</v>
      </c>
    </row>
    <row r="1302" spans="1:20" ht="62.25" customHeight="1" x14ac:dyDescent="0.2">
      <c r="A1302" s="289">
        <v>1334</v>
      </c>
      <c r="B1302" s="289" t="s">
        <v>9800</v>
      </c>
      <c r="C1302" s="289"/>
      <c r="D1302" s="9" t="s">
        <v>9774</v>
      </c>
      <c r="E1302" s="22" t="s">
        <v>9767</v>
      </c>
      <c r="F1302" s="9"/>
      <c r="G1302" s="285" t="s">
        <v>7982</v>
      </c>
      <c r="H1302" s="285" t="s">
        <v>5127</v>
      </c>
      <c r="I1302" s="289"/>
      <c r="J1302" s="285" t="s">
        <v>3136</v>
      </c>
      <c r="K1302" s="14">
        <v>44040</v>
      </c>
      <c r="L1302" s="285">
        <v>655</v>
      </c>
      <c r="M1302" s="15">
        <v>43998</v>
      </c>
      <c r="N1302" s="40">
        <v>4</v>
      </c>
      <c r="O1302" s="63">
        <v>13276.8</v>
      </c>
      <c r="P1302" s="63">
        <v>13276.8</v>
      </c>
      <c r="Q1302" s="40">
        <f t="shared" si="35"/>
        <v>0</v>
      </c>
      <c r="R1302" s="285" t="s">
        <v>9768</v>
      </c>
      <c r="S1302" s="14">
        <v>43979</v>
      </c>
      <c r="T1302" s="285">
        <v>649</v>
      </c>
    </row>
    <row r="1303" spans="1:20" ht="42" customHeight="1" x14ac:dyDescent="0.2">
      <c r="A1303" s="289">
        <v>1335</v>
      </c>
      <c r="B1303" s="289" t="s">
        <v>9800</v>
      </c>
      <c r="C1303" s="289"/>
      <c r="D1303" s="9" t="s">
        <v>9774</v>
      </c>
      <c r="E1303" s="22" t="s">
        <v>9767</v>
      </c>
      <c r="F1303" s="9"/>
      <c r="G1303" s="285" t="s">
        <v>7917</v>
      </c>
      <c r="H1303" s="285" t="s">
        <v>5127</v>
      </c>
      <c r="I1303" s="289"/>
      <c r="J1303" s="285" t="s">
        <v>3136</v>
      </c>
      <c r="K1303" s="14">
        <v>44019</v>
      </c>
      <c r="L1303" s="285">
        <v>598</v>
      </c>
      <c r="M1303" s="15">
        <v>43998</v>
      </c>
      <c r="N1303" s="40">
        <v>4</v>
      </c>
      <c r="O1303" s="63">
        <v>13276.8</v>
      </c>
      <c r="P1303" s="63">
        <v>13276.8</v>
      </c>
      <c r="Q1303" s="40">
        <f t="shared" si="35"/>
        <v>0</v>
      </c>
      <c r="R1303" s="285" t="s">
        <v>9768</v>
      </c>
      <c r="S1303" s="14">
        <v>43979</v>
      </c>
      <c r="T1303" s="285">
        <v>649</v>
      </c>
    </row>
    <row r="1304" spans="1:20" ht="57" customHeight="1" x14ac:dyDescent="0.2">
      <c r="A1304" s="289">
        <v>1336</v>
      </c>
      <c r="B1304" s="289" t="s">
        <v>9801</v>
      </c>
      <c r="C1304" s="289"/>
      <c r="D1304" s="9" t="s">
        <v>9775</v>
      </c>
      <c r="E1304" s="22" t="s">
        <v>9767</v>
      </c>
      <c r="F1304" s="9"/>
      <c r="G1304" s="285" t="s">
        <v>7981</v>
      </c>
      <c r="H1304" s="285" t="s">
        <v>5127</v>
      </c>
      <c r="I1304" s="289"/>
      <c r="J1304" s="285" t="s">
        <v>3136</v>
      </c>
      <c r="K1304" s="14">
        <v>44063</v>
      </c>
      <c r="L1304" s="285">
        <v>691</v>
      </c>
      <c r="M1304" s="15">
        <v>43998</v>
      </c>
      <c r="N1304" s="40">
        <f>10-4-3</f>
        <v>3</v>
      </c>
      <c r="O1304" s="63">
        <f>32370-12948-9711</f>
        <v>9711</v>
      </c>
      <c r="P1304" s="63">
        <v>9711</v>
      </c>
      <c r="Q1304" s="40">
        <f t="shared" si="35"/>
        <v>0</v>
      </c>
      <c r="R1304" s="285" t="s">
        <v>9768</v>
      </c>
      <c r="S1304" s="14">
        <v>43979</v>
      </c>
      <c r="T1304" s="285">
        <v>649</v>
      </c>
    </row>
    <row r="1305" spans="1:20" ht="40.5" customHeight="1" x14ac:dyDescent="0.2">
      <c r="A1305" s="289">
        <v>1337</v>
      </c>
      <c r="B1305" s="289" t="s">
        <v>9801</v>
      </c>
      <c r="C1305" s="289"/>
      <c r="D1305" s="9" t="s">
        <v>9775</v>
      </c>
      <c r="E1305" s="22" t="s">
        <v>9767</v>
      </c>
      <c r="F1305" s="9"/>
      <c r="G1305" s="285" t="s">
        <v>7917</v>
      </c>
      <c r="H1305" s="285" t="s">
        <v>5127</v>
      </c>
      <c r="I1305" s="289"/>
      <c r="J1305" s="285" t="s">
        <v>3136</v>
      </c>
      <c r="K1305" s="14">
        <v>44019</v>
      </c>
      <c r="L1305" s="285">
        <v>598</v>
      </c>
      <c r="M1305" s="15">
        <v>43998</v>
      </c>
      <c r="N1305" s="40">
        <v>4</v>
      </c>
      <c r="O1305" s="63">
        <v>12948</v>
      </c>
      <c r="P1305" s="63">
        <v>12948</v>
      </c>
      <c r="Q1305" s="40">
        <f t="shared" si="35"/>
        <v>0</v>
      </c>
      <c r="R1305" s="285" t="s">
        <v>9768</v>
      </c>
      <c r="S1305" s="14">
        <v>43979</v>
      </c>
      <c r="T1305" s="285">
        <v>649</v>
      </c>
    </row>
    <row r="1306" spans="1:20" ht="51.75" customHeight="1" x14ac:dyDescent="0.2">
      <c r="A1306" s="289">
        <v>1338</v>
      </c>
      <c r="B1306" s="289" t="s">
        <v>9801</v>
      </c>
      <c r="C1306" s="289"/>
      <c r="D1306" s="9" t="s">
        <v>9775</v>
      </c>
      <c r="E1306" s="22" t="s">
        <v>9767</v>
      </c>
      <c r="F1306" s="9"/>
      <c r="G1306" s="285" t="s">
        <v>7982</v>
      </c>
      <c r="H1306" s="285" t="s">
        <v>5127</v>
      </c>
      <c r="I1306" s="289"/>
      <c r="J1306" s="285" t="s">
        <v>3136</v>
      </c>
      <c r="K1306" s="14">
        <v>44040</v>
      </c>
      <c r="L1306" s="285">
        <v>655</v>
      </c>
      <c r="M1306" s="15">
        <v>43998</v>
      </c>
      <c r="N1306" s="40">
        <v>3</v>
      </c>
      <c r="O1306" s="63">
        <v>9711</v>
      </c>
      <c r="P1306" s="63">
        <v>9711</v>
      </c>
      <c r="Q1306" s="40">
        <f t="shared" si="35"/>
        <v>0</v>
      </c>
      <c r="R1306" s="285" t="s">
        <v>9768</v>
      </c>
      <c r="S1306" s="14">
        <v>43979</v>
      </c>
      <c r="T1306" s="285">
        <v>649</v>
      </c>
    </row>
    <row r="1307" spans="1:20" ht="48.75" customHeight="1" x14ac:dyDescent="0.2">
      <c r="A1307" s="289">
        <v>1339</v>
      </c>
      <c r="B1307" s="289" t="s">
        <v>9802</v>
      </c>
      <c r="C1307" s="289"/>
      <c r="D1307" s="9" t="s">
        <v>9776</v>
      </c>
      <c r="E1307" s="22" t="s">
        <v>9767</v>
      </c>
      <c r="F1307" s="9"/>
      <c r="G1307" s="285" t="s">
        <v>7981</v>
      </c>
      <c r="H1307" s="285" t="s">
        <v>5127</v>
      </c>
      <c r="I1307" s="289"/>
      <c r="J1307" s="285" t="s">
        <v>3136</v>
      </c>
      <c r="K1307" s="14">
        <v>44063</v>
      </c>
      <c r="L1307" s="285">
        <v>691</v>
      </c>
      <c r="M1307" s="15">
        <v>43998</v>
      </c>
      <c r="N1307" s="40">
        <f>5-2-1</f>
        <v>2</v>
      </c>
      <c r="O1307" s="63">
        <f>16596-6638.4-3319.2</f>
        <v>6638.4000000000005</v>
      </c>
      <c r="P1307" s="63">
        <v>6638.4</v>
      </c>
      <c r="Q1307" s="40">
        <f t="shared" si="35"/>
        <v>0</v>
      </c>
      <c r="R1307" s="285" t="s">
        <v>9768</v>
      </c>
      <c r="S1307" s="14">
        <v>43979</v>
      </c>
      <c r="T1307" s="285">
        <v>649</v>
      </c>
    </row>
    <row r="1308" spans="1:20" ht="42.75" customHeight="1" x14ac:dyDescent="0.2">
      <c r="A1308" s="289">
        <v>1340</v>
      </c>
      <c r="B1308" s="289" t="s">
        <v>9802</v>
      </c>
      <c r="C1308" s="289"/>
      <c r="D1308" s="9" t="s">
        <v>9776</v>
      </c>
      <c r="E1308" s="22" t="s">
        <v>9767</v>
      </c>
      <c r="F1308" s="9"/>
      <c r="G1308" s="285" t="s">
        <v>7917</v>
      </c>
      <c r="H1308" s="285" t="s">
        <v>5127</v>
      </c>
      <c r="I1308" s="289"/>
      <c r="J1308" s="285" t="s">
        <v>3136</v>
      </c>
      <c r="K1308" s="14">
        <v>44019</v>
      </c>
      <c r="L1308" s="285">
        <v>598</v>
      </c>
      <c r="M1308" s="15">
        <v>43998</v>
      </c>
      <c r="N1308" s="40">
        <v>2</v>
      </c>
      <c r="O1308" s="63">
        <v>6638.4</v>
      </c>
      <c r="P1308" s="63">
        <v>6638.4</v>
      </c>
      <c r="Q1308" s="40">
        <f t="shared" si="35"/>
        <v>0</v>
      </c>
      <c r="R1308" s="285" t="s">
        <v>9768</v>
      </c>
      <c r="S1308" s="14">
        <v>43979</v>
      </c>
      <c r="T1308" s="285">
        <v>649</v>
      </c>
    </row>
    <row r="1309" spans="1:20" ht="53.25" customHeight="1" x14ac:dyDescent="0.2">
      <c r="A1309" s="289">
        <v>1341</v>
      </c>
      <c r="B1309" s="289" t="s">
        <v>9802</v>
      </c>
      <c r="C1309" s="289"/>
      <c r="D1309" s="9" t="s">
        <v>9776</v>
      </c>
      <c r="E1309" s="22" t="s">
        <v>9767</v>
      </c>
      <c r="F1309" s="9"/>
      <c r="G1309" s="285" t="s">
        <v>7982</v>
      </c>
      <c r="H1309" s="285" t="s">
        <v>5127</v>
      </c>
      <c r="I1309" s="289"/>
      <c r="J1309" s="285" t="s">
        <v>3136</v>
      </c>
      <c r="K1309" s="14">
        <v>44040</v>
      </c>
      <c r="L1309" s="285">
        <v>655</v>
      </c>
      <c r="M1309" s="15">
        <v>43998</v>
      </c>
      <c r="N1309" s="40">
        <v>1</v>
      </c>
      <c r="O1309" s="63">
        <v>3319.2</v>
      </c>
      <c r="P1309" s="63">
        <v>3319.2</v>
      </c>
      <c r="Q1309" s="40">
        <f t="shared" si="35"/>
        <v>0</v>
      </c>
      <c r="R1309" s="285" t="s">
        <v>9768</v>
      </c>
      <c r="S1309" s="14">
        <v>43979</v>
      </c>
      <c r="T1309" s="285">
        <v>649</v>
      </c>
    </row>
    <row r="1310" spans="1:20" ht="54" customHeight="1" x14ac:dyDescent="0.2">
      <c r="A1310" s="289">
        <v>1342</v>
      </c>
      <c r="B1310" s="289" t="s">
        <v>9803</v>
      </c>
      <c r="C1310" s="289"/>
      <c r="D1310" s="9" t="s">
        <v>9777</v>
      </c>
      <c r="E1310" s="22" t="s">
        <v>9767</v>
      </c>
      <c r="F1310" s="9"/>
      <c r="G1310" s="285" t="s">
        <v>7981</v>
      </c>
      <c r="H1310" s="285" t="s">
        <v>5127</v>
      </c>
      <c r="I1310" s="289"/>
      <c r="J1310" s="285" t="s">
        <v>3136</v>
      </c>
      <c r="K1310" s="14">
        <v>44063</v>
      </c>
      <c r="L1310" s="285">
        <v>691</v>
      </c>
      <c r="M1310" s="15">
        <v>43998</v>
      </c>
      <c r="N1310" s="40">
        <f>5-1-2</f>
        <v>2</v>
      </c>
      <c r="O1310" s="63">
        <f>16596-3319.2-6638.4</f>
        <v>6638.4</v>
      </c>
      <c r="P1310" s="63">
        <v>6638.4</v>
      </c>
      <c r="Q1310" s="40">
        <f t="shared" si="35"/>
        <v>0</v>
      </c>
      <c r="R1310" s="285" t="s">
        <v>9768</v>
      </c>
      <c r="S1310" s="14">
        <v>43979</v>
      </c>
      <c r="T1310" s="285">
        <v>649</v>
      </c>
    </row>
    <row r="1311" spans="1:20" ht="39" customHeight="1" x14ac:dyDescent="0.2">
      <c r="A1311" s="289">
        <v>1343</v>
      </c>
      <c r="B1311" s="289" t="s">
        <v>9803</v>
      </c>
      <c r="C1311" s="289"/>
      <c r="D1311" s="9" t="s">
        <v>9777</v>
      </c>
      <c r="E1311" s="22" t="s">
        <v>9767</v>
      </c>
      <c r="F1311" s="9"/>
      <c r="G1311" s="285" t="s">
        <v>7917</v>
      </c>
      <c r="H1311" s="285" t="s">
        <v>5127</v>
      </c>
      <c r="I1311" s="289"/>
      <c r="J1311" s="285" t="s">
        <v>3136</v>
      </c>
      <c r="K1311" s="14">
        <v>44019</v>
      </c>
      <c r="L1311" s="285">
        <v>598</v>
      </c>
      <c r="M1311" s="15">
        <v>43998</v>
      </c>
      <c r="N1311" s="40">
        <v>1</v>
      </c>
      <c r="O1311" s="63">
        <v>3319.2</v>
      </c>
      <c r="P1311" s="63">
        <v>3319.2</v>
      </c>
      <c r="Q1311" s="40">
        <f t="shared" si="35"/>
        <v>0</v>
      </c>
      <c r="R1311" s="285" t="s">
        <v>9768</v>
      </c>
      <c r="S1311" s="14">
        <v>43979</v>
      </c>
      <c r="T1311" s="285">
        <v>649</v>
      </c>
    </row>
    <row r="1312" spans="1:20" ht="52.5" customHeight="1" x14ac:dyDescent="0.2">
      <c r="A1312" s="289">
        <v>1344</v>
      </c>
      <c r="B1312" s="289" t="s">
        <v>9803</v>
      </c>
      <c r="C1312" s="289"/>
      <c r="D1312" s="9" t="s">
        <v>9777</v>
      </c>
      <c r="E1312" s="22" t="s">
        <v>9767</v>
      </c>
      <c r="F1312" s="9"/>
      <c r="G1312" s="285" t="s">
        <v>7982</v>
      </c>
      <c r="H1312" s="285" t="s">
        <v>5127</v>
      </c>
      <c r="I1312" s="289"/>
      <c r="J1312" s="285" t="s">
        <v>3136</v>
      </c>
      <c r="K1312" s="14">
        <v>44040</v>
      </c>
      <c r="L1312" s="285">
        <v>655</v>
      </c>
      <c r="M1312" s="15">
        <v>43998</v>
      </c>
      <c r="N1312" s="40">
        <v>2</v>
      </c>
      <c r="O1312" s="63">
        <v>6638.4</v>
      </c>
      <c r="P1312" s="63">
        <v>6638.4</v>
      </c>
      <c r="Q1312" s="40">
        <f t="shared" si="35"/>
        <v>0</v>
      </c>
      <c r="R1312" s="285" t="s">
        <v>9768</v>
      </c>
      <c r="S1312" s="14">
        <v>43979</v>
      </c>
      <c r="T1312" s="285">
        <v>649</v>
      </c>
    </row>
    <row r="1313" spans="1:20" ht="53.25" customHeight="1" x14ac:dyDescent="0.2">
      <c r="A1313" s="289">
        <v>1345</v>
      </c>
      <c r="B1313" s="289" t="s">
        <v>9804</v>
      </c>
      <c r="C1313" s="289"/>
      <c r="D1313" s="9" t="s">
        <v>9778</v>
      </c>
      <c r="E1313" s="22" t="s">
        <v>9767</v>
      </c>
      <c r="F1313" s="9"/>
      <c r="G1313" s="285" t="s">
        <v>7981</v>
      </c>
      <c r="H1313" s="285" t="s">
        <v>5127</v>
      </c>
      <c r="I1313" s="289"/>
      <c r="J1313" s="285" t="s">
        <v>3136</v>
      </c>
      <c r="K1313" s="14">
        <v>44063</v>
      </c>
      <c r="L1313" s="285">
        <v>691</v>
      </c>
      <c r="M1313" s="15">
        <v>43998</v>
      </c>
      <c r="N1313" s="40">
        <f>6-2-2</f>
        <v>2</v>
      </c>
      <c r="O1313" s="63">
        <f>21414-7138-7138</f>
        <v>7138</v>
      </c>
      <c r="P1313" s="63">
        <v>7138</v>
      </c>
      <c r="Q1313" s="40">
        <f t="shared" si="35"/>
        <v>0</v>
      </c>
      <c r="R1313" s="285" t="s">
        <v>9768</v>
      </c>
      <c r="S1313" s="14">
        <v>43979</v>
      </c>
      <c r="T1313" s="285">
        <v>649</v>
      </c>
    </row>
    <row r="1314" spans="1:20" ht="30" customHeight="1" x14ac:dyDescent="0.2">
      <c r="A1314" s="289">
        <v>1346</v>
      </c>
      <c r="B1314" s="289" t="s">
        <v>9804</v>
      </c>
      <c r="C1314" s="289"/>
      <c r="D1314" s="9" t="s">
        <v>9778</v>
      </c>
      <c r="E1314" s="22" t="s">
        <v>9767</v>
      </c>
      <c r="F1314" s="9"/>
      <c r="G1314" s="285" t="s">
        <v>7917</v>
      </c>
      <c r="H1314" s="285" t="s">
        <v>5127</v>
      </c>
      <c r="I1314" s="289"/>
      <c r="J1314" s="285" t="s">
        <v>3136</v>
      </c>
      <c r="K1314" s="14">
        <v>44019</v>
      </c>
      <c r="L1314" s="285">
        <v>598</v>
      </c>
      <c r="M1314" s="15">
        <v>43998</v>
      </c>
      <c r="N1314" s="40">
        <v>2</v>
      </c>
      <c r="O1314" s="63">
        <v>7138</v>
      </c>
      <c r="P1314" s="63">
        <v>7138</v>
      </c>
      <c r="Q1314" s="40">
        <f t="shared" si="35"/>
        <v>0</v>
      </c>
      <c r="R1314" s="285" t="s">
        <v>9768</v>
      </c>
      <c r="S1314" s="14">
        <v>43979</v>
      </c>
      <c r="T1314" s="285">
        <v>649</v>
      </c>
    </row>
    <row r="1315" spans="1:20" ht="58.5" customHeight="1" x14ac:dyDescent="0.2">
      <c r="A1315" s="289">
        <v>1347</v>
      </c>
      <c r="B1315" s="289" t="s">
        <v>9804</v>
      </c>
      <c r="C1315" s="289"/>
      <c r="D1315" s="9" t="s">
        <v>9778</v>
      </c>
      <c r="E1315" s="22" t="s">
        <v>9767</v>
      </c>
      <c r="F1315" s="9"/>
      <c r="G1315" s="285" t="s">
        <v>7982</v>
      </c>
      <c r="H1315" s="285" t="s">
        <v>5127</v>
      </c>
      <c r="I1315" s="289"/>
      <c r="J1315" s="285" t="s">
        <v>3136</v>
      </c>
      <c r="K1315" s="14">
        <v>44040</v>
      </c>
      <c r="L1315" s="285">
        <v>655</v>
      </c>
      <c r="M1315" s="15">
        <v>43998</v>
      </c>
      <c r="N1315" s="40">
        <v>2</v>
      </c>
      <c r="O1315" s="63">
        <v>7138</v>
      </c>
      <c r="P1315" s="63">
        <v>7138</v>
      </c>
      <c r="Q1315" s="40">
        <f t="shared" si="35"/>
        <v>0</v>
      </c>
      <c r="R1315" s="285" t="s">
        <v>9768</v>
      </c>
      <c r="S1315" s="14">
        <v>43979</v>
      </c>
      <c r="T1315" s="285">
        <v>649</v>
      </c>
    </row>
    <row r="1316" spans="1:20" ht="80.25" customHeight="1" x14ac:dyDescent="0.2">
      <c r="A1316" s="289">
        <v>1348</v>
      </c>
      <c r="B1316" s="289" t="s">
        <v>9805</v>
      </c>
      <c r="C1316" s="289"/>
      <c r="D1316" s="9" t="s">
        <v>4893</v>
      </c>
      <c r="E1316" s="22" t="s">
        <v>9767</v>
      </c>
      <c r="F1316" s="9"/>
      <c r="G1316" s="285" t="s">
        <v>7981</v>
      </c>
      <c r="H1316" s="285" t="s">
        <v>5127</v>
      </c>
      <c r="I1316" s="289"/>
      <c r="J1316" s="285" t="s">
        <v>3136</v>
      </c>
      <c r="K1316" s="14">
        <v>44063</v>
      </c>
      <c r="L1316" s="285">
        <v>691</v>
      </c>
      <c r="M1316" s="15">
        <v>43998</v>
      </c>
      <c r="N1316" s="40">
        <f>7-2-2</f>
        <v>3</v>
      </c>
      <c r="O1316" s="63">
        <f>23240-6640-6640</f>
        <v>9960</v>
      </c>
      <c r="P1316" s="63">
        <v>9960</v>
      </c>
      <c r="Q1316" s="40">
        <f t="shared" si="35"/>
        <v>0</v>
      </c>
      <c r="R1316" s="285" t="s">
        <v>9768</v>
      </c>
      <c r="S1316" s="14">
        <v>43979</v>
      </c>
      <c r="T1316" s="285">
        <v>649</v>
      </c>
    </row>
    <row r="1317" spans="1:20" ht="35.25" customHeight="1" x14ac:dyDescent="0.2">
      <c r="A1317" s="289">
        <v>1349</v>
      </c>
      <c r="B1317" s="289" t="s">
        <v>9805</v>
      </c>
      <c r="C1317" s="289"/>
      <c r="D1317" s="9" t="s">
        <v>4893</v>
      </c>
      <c r="E1317" s="22" t="s">
        <v>9767</v>
      </c>
      <c r="F1317" s="9"/>
      <c r="G1317" s="285" t="s">
        <v>7917</v>
      </c>
      <c r="H1317" s="285" t="s">
        <v>5127</v>
      </c>
      <c r="I1317" s="289"/>
      <c r="J1317" s="285" t="s">
        <v>3136</v>
      </c>
      <c r="K1317" s="14">
        <v>44019</v>
      </c>
      <c r="L1317" s="285">
        <v>598</v>
      </c>
      <c r="M1317" s="15">
        <v>43998</v>
      </c>
      <c r="N1317" s="40">
        <v>2</v>
      </c>
      <c r="O1317" s="63">
        <v>6640</v>
      </c>
      <c r="P1317" s="63">
        <v>6640</v>
      </c>
      <c r="Q1317" s="40">
        <f t="shared" si="35"/>
        <v>0</v>
      </c>
      <c r="R1317" s="285" t="s">
        <v>9768</v>
      </c>
      <c r="S1317" s="14">
        <v>43979</v>
      </c>
      <c r="T1317" s="285">
        <v>649</v>
      </c>
    </row>
    <row r="1318" spans="1:20" ht="51.75" customHeight="1" x14ac:dyDescent="0.2">
      <c r="A1318" s="289">
        <v>1350</v>
      </c>
      <c r="B1318" s="289" t="s">
        <v>9805</v>
      </c>
      <c r="C1318" s="289"/>
      <c r="D1318" s="9" t="s">
        <v>4893</v>
      </c>
      <c r="E1318" s="22" t="s">
        <v>9767</v>
      </c>
      <c r="F1318" s="9"/>
      <c r="G1318" s="285" t="s">
        <v>7982</v>
      </c>
      <c r="H1318" s="285" t="s">
        <v>5127</v>
      </c>
      <c r="I1318" s="289"/>
      <c r="J1318" s="285" t="s">
        <v>3136</v>
      </c>
      <c r="K1318" s="14">
        <v>44040</v>
      </c>
      <c r="L1318" s="285">
        <v>655</v>
      </c>
      <c r="M1318" s="15">
        <v>43998</v>
      </c>
      <c r="N1318" s="40">
        <v>2</v>
      </c>
      <c r="O1318" s="63">
        <v>6640</v>
      </c>
      <c r="P1318" s="63">
        <v>6640</v>
      </c>
      <c r="Q1318" s="40">
        <f t="shared" ref="Q1318:Q1346" si="36">O1318-P1318</f>
        <v>0</v>
      </c>
      <c r="R1318" s="285" t="s">
        <v>9768</v>
      </c>
      <c r="S1318" s="14">
        <v>43979</v>
      </c>
      <c r="T1318" s="285">
        <v>649</v>
      </c>
    </row>
    <row r="1319" spans="1:20" ht="40.5" customHeight="1" x14ac:dyDescent="0.2">
      <c r="A1319" s="289">
        <v>1351</v>
      </c>
      <c r="B1319" s="289" t="s">
        <v>9808</v>
      </c>
      <c r="C1319" s="289"/>
      <c r="D1319" s="9" t="s">
        <v>9779</v>
      </c>
      <c r="E1319" s="22" t="s">
        <v>9767</v>
      </c>
      <c r="F1319" s="9"/>
      <c r="G1319" s="285" t="s">
        <v>7917</v>
      </c>
      <c r="H1319" s="285" t="s">
        <v>5127</v>
      </c>
      <c r="I1319" s="289"/>
      <c r="J1319" s="285" t="s">
        <v>3136</v>
      </c>
      <c r="K1319" s="14">
        <v>44019</v>
      </c>
      <c r="L1319" s="285">
        <v>598</v>
      </c>
      <c r="M1319" s="15">
        <v>43998</v>
      </c>
      <c r="N1319" s="40">
        <v>1</v>
      </c>
      <c r="O1319" s="63">
        <v>3987.32</v>
      </c>
      <c r="P1319" s="63">
        <v>3987.32</v>
      </c>
      <c r="Q1319" s="40">
        <f t="shared" si="36"/>
        <v>0</v>
      </c>
      <c r="R1319" s="285" t="s">
        <v>9768</v>
      </c>
      <c r="S1319" s="14">
        <v>43979</v>
      </c>
      <c r="T1319" s="285">
        <v>649</v>
      </c>
    </row>
    <row r="1320" spans="1:20" ht="80.25" customHeight="1" x14ac:dyDescent="0.2">
      <c r="A1320" s="289">
        <v>1352</v>
      </c>
      <c r="B1320" s="289" t="s">
        <v>9806</v>
      </c>
      <c r="C1320" s="289"/>
      <c r="D1320" s="9" t="s">
        <v>9210</v>
      </c>
      <c r="E1320" s="22" t="s">
        <v>9767</v>
      </c>
      <c r="F1320" s="9"/>
      <c r="G1320" s="285" t="s">
        <v>7981</v>
      </c>
      <c r="H1320" s="285" t="s">
        <v>5127</v>
      </c>
      <c r="I1320" s="289"/>
      <c r="J1320" s="285" t="s">
        <v>3136</v>
      </c>
      <c r="K1320" s="14">
        <v>44063</v>
      </c>
      <c r="L1320" s="285">
        <v>691</v>
      </c>
      <c r="M1320" s="15">
        <v>43998</v>
      </c>
      <c r="N1320" s="40">
        <f>16-5-6</f>
        <v>5</v>
      </c>
      <c r="O1320" s="63">
        <f>13333.12-4166.6-4999.92</f>
        <v>4166.6000000000004</v>
      </c>
      <c r="P1320" s="63">
        <v>4166.6000000000004</v>
      </c>
      <c r="Q1320" s="40">
        <f t="shared" si="36"/>
        <v>0</v>
      </c>
      <c r="R1320" s="285" t="s">
        <v>9768</v>
      </c>
      <c r="S1320" s="14">
        <v>43979</v>
      </c>
      <c r="T1320" s="285">
        <v>649</v>
      </c>
    </row>
    <row r="1321" spans="1:20" ht="36" customHeight="1" x14ac:dyDescent="0.2">
      <c r="A1321" s="289">
        <v>1353</v>
      </c>
      <c r="B1321" s="289" t="s">
        <v>9806</v>
      </c>
      <c r="C1321" s="289"/>
      <c r="D1321" s="9" t="s">
        <v>9210</v>
      </c>
      <c r="E1321" s="22" t="s">
        <v>9767</v>
      </c>
      <c r="F1321" s="9"/>
      <c r="G1321" s="285" t="s">
        <v>7917</v>
      </c>
      <c r="H1321" s="285" t="s">
        <v>5127</v>
      </c>
      <c r="I1321" s="289"/>
      <c r="J1321" s="285" t="s">
        <v>3136</v>
      </c>
      <c r="K1321" s="14">
        <v>44019</v>
      </c>
      <c r="L1321" s="285">
        <v>598</v>
      </c>
      <c r="M1321" s="15">
        <v>43998</v>
      </c>
      <c r="N1321" s="40">
        <v>5</v>
      </c>
      <c r="O1321" s="63">
        <v>4166.6000000000004</v>
      </c>
      <c r="P1321" s="63">
        <v>4166.6000000000004</v>
      </c>
      <c r="Q1321" s="40">
        <f t="shared" si="36"/>
        <v>0</v>
      </c>
      <c r="R1321" s="285" t="s">
        <v>9768</v>
      </c>
      <c r="S1321" s="14">
        <v>43979</v>
      </c>
      <c r="T1321" s="285">
        <v>649</v>
      </c>
    </row>
    <row r="1322" spans="1:20" ht="66" customHeight="1" x14ac:dyDescent="0.2">
      <c r="A1322" s="289">
        <v>1354</v>
      </c>
      <c r="B1322" s="289" t="s">
        <v>9806</v>
      </c>
      <c r="C1322" s="289"/>
      <c r="D1322" s="9" t="s">
        <v>9210</v>
      </c>
      <c r="E1322" s="22" t="s">
        <v>9767</v>
      </c>
      <c r="F1322" s="9"/>
      <c r="G1322" s="285" t="s">
        <v>7982</v>
      </c>
      <c r="H1322" s="285" t="s">
        <v>5127</v>
      </c>
      <c r="I1322" s="289"/>
      <c r="J1322" s="285" t="s">
        <v>3136</v>
      </c>
      <c r="K1322" s="14">
        <v>44040</v>
      </c>
      <c r="L1322" s="285">
        <v>655</v>
      </c>
      <c r="M1322" s="15">
        <v>43998</v>
      </c>
      <c r="N1322" s="40">
        <v>6</v>
      </c>
      <c r="O1322" s="63">
        <v>4999.92</v>
      </c>
      <c r="P1322" s="63">
        <v>4999.92</v>
      </c>
      <c r="Q1322" s="40">
        <f t="shared" si="36"/>
        <v>0</v>
      </c>
      <c r="R1322" s="285" t="s">
        <v>9768</v>
      </c>
      <c r="S1322" s="14">
        <v>43979</v>
      </c>
      <c r="T1322" s="285">
        <v>649</v>
      </c>
    </row>
    <row r="1323" spans="1:20" ht="63.75" customHeight="1" x14ac:dyDescent="0.2">
      <c r="A1323" s="289">
        <v>1355</v>
      </c>
      <c r="B1323" s="289" t="s">
        <v>9807</v>
      </c>
      <c r="C1323" s="289"/>
      <c r="D1323" s="9" t="s">
        <v>7633</v>
      </c>
      <c r="E1323" s="22" t="s">
        <v>9767</v>
      </c>
      <c r="F1323" s="9"/>
      <c r="G1323" s="285" t="s">
        <v>7981</v>
      </c>
      <c r="H1323" s="285" t="s">
        <v>5127</v>
      </c>
      <c r="I1323" s="289"/>
      <c r="J1323" s="285" t="s">
        <v>3136</v>
      </c>
      <c r="K1323" s="14">
        <v>44063</v>
      </c>
      <c r="L1323" s="285">
        <v>691</v>
      </c>
      <c r="M1323" s="15">
        <v>43998</v>
      </c>
      <c r="N1323" s="40">
        <f>20-7-6</f>
        <v>7</v>
      </c>
      <c r="O1323" s="63">
        <f>19388.8-6786.08-5816.64</f>
        <v>6786.079999999999</v>
      </c>
      <c r="P1323" s="63">
        <v>6786.08</v>
      </c>
      <c r="Q1323" s="40">
        <f t="shared" si="36"/>
        <v>0</v>
      </c>
      <c r="R1323" s="285" t="s">
        <v>9768</v>
      </c>
      <c r="S1323" s="14">
        <v>43979</v>
      </c>
      <c r="T1323" s="285">
        <v>649</v>
      </c>
    </row>
    <row r="1324" spans="1:20" ht="33" customHeight="1" x14ac:dyDescent="0.2">
      <c r="A1324" s="289">
        <v>1356</v>
      </c>
      <c r="B1324" s="289" t="s">
        <v>9807</v>
      </c>
      <c r="C1324" s="289"/>
      <c r="D1324" s="9" t="s">
        <v>7633</v>
      </c>
      <c r="E1324" s="22" t="s">
        <v>9767</v>
      </c>
      <c r="F1324" s="9"/>
      <c r="G1324" s="285" t="s">
        <v>7917</v>
      </c>
      <c r="H1324" s="285" t="s">
        <v>5127</v>
      </c>
      <c r="I1324" s="289"/>
      <c r="J1324" s="285" t="s">
        <v>3136</v>
      </c>
      <c r="K1324" s="14">
        <v>44019</v>
      </c>
      <c r="L1324" s="285">
        <v>598</v>
      </c>
      <c r="M1324" s="15">
        <v>43998</v>
      </c>
      <c r="N1324" s="40">
        <v>7</v>
      </c>
      <c r="O1324" s="63">
        <v>6786.08</v>
      </c>
      <c r="P1324" s="63">
        <v>6786.08</v>
      </c>
      <c r="Q1324" s="40">
        <f t="shared" si="36"/>
        <v>0</v>
      </c>
      <c r="R1324" s="285" t="s">
        <v>9768</v>
      </c>
      <c r="S1324" s="14">
        <v>43979</v>
      </c>
      <c r="T1324" s="285">
        <v>649</v>
      </c>
    </row>
    <row r="1325" spans="1:20" ht="80.25" customHeight="1" x14ac:dyDescent="0.2">
      <c r="A1325" s="289">
        <v>1357</v>
      </c>
      <c r="B1325" s="289" t="s">
        <v>9807</v>
      </c>
      <c r="C1325" s="289"/>
      <c r="D1325" s="9" t="s">
        <v>7633</v>
      </c>
      <c r="E1325" s="22" t="s">
        <v>9767</v>
      </c>
      <c r="F1325" s="9"/>
      <c r="G1325" s="285" t="s">
        <v>7982</v>
      </c>
      <c r="H1325" s="285" t="s">
        <v>5127</v>
      </c>
      <c r="I1325" s="289"/>
      <c r="J1325" s="285" t="s">
        <v>3136</v>
      </c>
      <c r="K1325" s="14">
        <v>44040</v>
      </c>
      <c r="L1325" s="285">
        <v>655</v>
      </c>
      <c r="M1325" s="15">
        <v>43998</v>
      </c>
      <c r="N1325" s="40">
        <v>6</v>
      </c>
      <c r="O1325" s="63">
        <v>5816.64</v>
      </c>
      <c r="P1325" s="63">
        <v>5816.64</v>
      </c>
      <c r="Q1325" s="40">
        <f t="shared" si="36"/>
        <v>0</v>
      </c>
      <c r="R1325" s="285" t="s">
        <v>9768</v>
      </c>
      <c r="S1325" s="14">
        <v>43979</v>
      </c>
      <c r="T1325" s="285">
        <v>649</v>
      </c>
    </row>
    <row r="1326" spans="1:20" ht="80.25" customHeight="1" x14ac:dyDescent="0.2">
      <c r="A1326" s="289">
        <v>1358</v>
      </c>
      <c r="B1326" s="289" t="s">
        <v>9851</v>
      </c>
      <c r="C1326" s="289"/>
      <c r="D1326" s="9" t="s">
        <v>9821</v>
      </c>
      <c r="E1326" s="22" t="s">
        <v>9767</v>
      </c>
      <c r="F1326" s="9"/>
      <c r="G1326" s="285" t="s">
        <v>7981</v>
      </c>
      <c r="H1326" s="285" t="s">
        <v>5127</v>
      </c>
      <c r="I1326" s="289"/>
      <c r="J1326" s="285" t="s">
        <v>3136</v>
      </c>
      <c r="K1326" s="14">
        <v>44063</v>
      </c>
      <c r="L1326" s="285">
        <v>691</v>
      </c>
      <c r="M1326" s="15">
        <v>43998</v>
      </c>
      <c r="N1326" s="40">
        <v>1</v>
      </c>
      <c r="O1326" s="63">
        <v>10408.200000000001</v>
      </c>
      <c r="P1326" s="63">
        <v>10408.200000000001</v>
      </c>
      <c r="Q1326" s="40">
        <f t="shared" si="36"/>
        <v>0</v>
      </c>
      <c r="R1326" s="285" t="s">
        <v>9768</v>
      </c>
      <c r="S1326" s="14">
        <v>43979</v>
      </c>
      <c r="T1326" s="285">
        <v>649</v>
      </c>
    </row>
    <row r="1327" spans="1:20" ht="80.25" customHeight="1" x14ac:dyDescent="0.2">
      <c r="A1327" s="289">
        <v>1359</v>
      </c>
      <c r="B1327" s="289" t="s">
        <v>9813</v>
      </c>
      <c r="C1327" s="289"/>
      <c r="D1327" s="9" t="s">
        <v>9814</v>
      </c>
      <c r="E1327" s="22" t="s">
        <v>9378</v>
      </c>
      <c r="F1327" s="9">
        <v>110136000031</v>
      </c>
      <c r="G1327" s="285" t="s">
        <v>7983</v>
      </c>
      <c r="H1327" s="285" t="s">
        <v>5127</v>
      </c>
      <c r="I1327" s="289"/>
      <c r="J1327" s="285" t="s">
        <v>3136</v>
      </c>
      <c r="K1327" s="14">
        <v>44040</v>
      </c>
      <c r="L1327" s="285">
        <v>656</v>
      </c>
      <c r="M1327" s="15">
        <v>43880</v>
      </c>
      <c r="N1327" s="40">
        <v>1</v>
      </c>
      <c r="O1327" s="63">
        <v>28200</v>
      </c>
      <c r="P1327" s="63">
        <v>28200</v>
      </c>
      <c r="Q1327" s="40">
        <f t="shared" si="36"/>
        <v>0</v>
      </c>
      <c r="R1327" s="285" t="s">
        <v>7155</v>
      </c>
      <c r="S1327" s="14">
        <v>43880</v>
      </c>
      <c r="T1327" s="285" t="s">
        <v>9815</v>
      </c>
    </row>
    <row r="1328" spans="1:20" ht="80.25" customHeight="1" x14ac:dyDescent="0.2">
      <c r="A1328" s="289">
        <v>1360</v>
      </c>
      <c r="B1328" s="289" t="s">
        <v>9833</v>
      </c>
      <c r="C1328" s="289"/>
      <c r="D1328" s="9" t="s">
        <v>9834</v>
      </c>
      <c r="E1328" s="22" t="s">
        <v>9378</v>
      </c>
      <c r="F1328" s="9"/>
      <c r="G1328" s="285" t="s">
        <v>7982</v>
      </c>
      <c r="H1328" s="285" t="s">
        <v>5127</v>
      </c>
      <c r="I1328" s="289"/>
      <c r="J1328" s="285" t="s">
        <v>3136</v>
      </c>
      <c r="K1328" s="14">
        <v>44063</v>
      </c>
      <c r="L1328" s="285">
        <v>698</v>
      </c>
      <c r="M1328" s="15">
        <v>44031</v>
      </c>
      <c r="N1328" s="40">
        <v>1</v>
      </c>
      <c r="O1328" s="63">
        <v>14299</v>
      </c>
      <c r="P1328" s="63">
        <v>14299</v>
      </c>
      <c r="Q1328" s="40">
        <f t="shared" si="36"/>
        <v>0</v>
      </c>
      <c r="R1328" s="285" t="s">
        <v>3418</v>
      </c>
      <c r="S1328" s="14">
        <v>44001</v>
      </c>
      <c r="T1328" s="285" t="s">
        <v>9835</v>
      </c>
    </row>
    <row r="1329" spans="1:20" ht="78.75" customHeight="1" x14ac:dyDescent="0.2">
      <c r="A1329" s="289">
        <v>1361</v>
      </c>
      <c r="B1329" s="289" t="s">
        <v>9913</v>
      </c>
      <c r="C1329" s="289"/>
      <c r="D1329" s="9" t="s">
        <v>9852</v>
      </c>
      <c r="E1329" s="22" t="s">
        <v>9378</v>
      </c>
      <c r="F1329" s="9"/>
      <c r="G1329" s="285" t="s">
        <v>8293</v>
      </c>
      <c r="H1329" s="285" t="s">
        <v>5127</v>
      </c>
      <c r="I1329" s="9"/>
      <c r="J1329" s="285" t="s">
        <v>3136</v>
      </c>
      <c r="K1329" s="14">
        <v>44103</v>
      </c>
      <c r="L1329" s="285">
        <v>821</v>
      </c>
      <c r="M1329" s="15">
        <v>44034</v>
      </c>
      <c r="N1329" s="40">
        <v>2</v>
      </c>
      <c r="O1329" s="63">
        <v>560.94000000000005</v>
      </c>
      <c r="P1329" s="63">
        <v>560.94000000000005</v>
      </c>
      <c r="Q1329" s="40">
        <f t="shared" si="36"/>
        <v>0</v>
      </c>
      <c r="R1329" s="285" t="s">
        <v>9768</v>
      </c>
      <c r="S1329" s="14">
        <v>43997</v>
      </c>
      <c r="T1329" s="285">
        <v>720</v>
      </c>
    </row>
    <row r="1330" spans="1:20" ht="63" customHeight="1" x14ac:dyDescent="0.2">
      <c r="A1330" s="289">
        <v>1362</v>
      </c>
      <c r="B1330" s="289" t="s">
        <v>9914</v>
      </c>
      <c r="C1330" s="289"/>
      <c r="D1330" s="9" t="s">
        <v>9853</v>
      </c>
      <c r="E1330" s="22" t="s">
        <v>9378</v>
      </c>
      <c r="F1330" s="9"/>
      <c r="G1330" s="285" t="s">
        <v>8293</v>
      </c>
      <c r="H1330" s="285" t="s">
        <v>5127</v>
      </c>
      <c r="I1330" s="9"/>
      <c r="J1330" s="285" t="s">
        <v>3136</v>
      </c>
      <c r="K1330" s="14">
        <v>44103</v>
      </c>
      <c r="L1330" s="285">
        <v>821</v>
      </c>
      <c r="M1330" s="15">
        <v>44034</v>
      </c>
      <c r="N1330" s="40">
        <v>3</v>
      </c>
      <c r="O1330" s="63">
        <v>917.88</v>
      </c>
      <c r="P1330" s="63">
        <v>917.88</v>
      </c>
      <c r="Q1330" s="40">
        <f t="shared" si="36"/>
        <v>0</v>
      </c>
      <c r="R1330" s="285" t="s">
        <v>9768</v>
      </c>
      <c r="S1330" s="14">
        <v>43997</v>
      </c>
      <c r="T1330" s="285">
        <v>720</v>
      </c>
    </row>
    <row r="1331" spans="1:20" ht="78.75" customHeight="1" x14ac:dyDescent="0.2">
      <c r="A1331" s="289">
        <v>1363</v>
      </c>
      <c r="B1331" s="289" t="s">
        <v>9915</v>
      </c>
      <c r="C1331" s="289"/>
      <c r="D1331" s="9" t="s">
        <v>9210</v>
      </c>
      <c r="E1331" s="22" t="s">
        <v>9378</v>
      </c>
      <c r="F1331" s="9"/>
      <c r="G1331" s="285" t="s">
        <v>8293</v>
      </c>
      <c r="H1331" s="285" t="s">
        <v>5127</v>
      </c>
      <c r="I1331" s="9"/>
      <c r="J1331" s="285" t="s">
        <v>3136</v>
      </c>
      <c r="K1331" s="14" t="s">
        <v>11755</v>
      </c>
      <c r="L1331" s="285" t="s">
        <v>11756</v>
      </c>
      <c r="M1331" s="15">
        <v>44034</v>
      </c>
      <c r="N1331" s="40">
        <f>20-6-4</f>
        <v>10</v>
      </c>
      <c r="O1331" s="63">
        <f>27196.8-8159.04-5439.36</f>
        <v>13598.399999999998</v>
      </c>
      <c r="P1331" s="63">
        <f>O1331</f>
        <v>13598.399999999998</v>
      </c>
      <c r="Q1331" s="40">
        <f t="shared" si="36"/>
        <v>0</v>
      </c>
      <c r="R1331" s="285" t="s">
        <v>11759</v>
      </c>
      <c r="S1331" s="14" t="s">
        <v>11757</v>
      </c>
      <c r="T1331" s="285" t="s">
        <v>11758</v>
      </c>
    </row>
    <row r="1332" spans="1:20" ht="78.75" customHeight="1" x14ac:dyDescent="0.2">
      <c r="A1332" s="289">
        <v>1366</v>
      </c>
      <c r="B1332" s="289" t="s">
        <v>9916</v>
      </c>
      <c r="C1332" s="289"/>
      <c r="D1332" s="9" t="s">
        <v>9213</v>
      </c>
      <c r="E1332" s="22" t="s">
        <v>9378</v>
      </c>
      <c r="F1332" s="9"/>
      <c r="G1332" s="285" t="s">
        <v>8293</v>
      </c>
      <c r="H1332" s="285" t="s">
        <v>5127</v>
      </c>
      <c r="I1332" s="9"/>
      <c r="J1332" s="285" t="s">
        <v>3136</v>
      </c>
      <c r="K1332" s="14">
        <v>44103</v>
      </c>
      <c r="L1332" s="285">
        <v>821</v>
      </c>
      <c r="M1332" s="15">
        <v>44034</v>
      </c>
      <c r="N1332" s="40">
        <v>1</v>
      </c>
      <c r="O1332" s="63">
        <v>4071.02</v>
      </c>
      <c r="P1332" s="63">
        <v>4071.02</v>
      </c>
      <c r="Q1332" s="40">
        <f t="shared" si="36"/>
        <v>0</v>
      </c>
      <c r="R1332" s="285" t="s">
        <v>9768</v>
      </c>
      <c r="S1332" s="14">
        <v>43997</v>
      </c>
      <c r="T1332" s="285">
        <v>720</v>
      </c>
    </row>
    <row r="1333" spans="1:20" ht="78.75" customHeight="1" x14ac:dyDescent="0.2">
      <c r="A1333" s="289">
        <v>1367</v>
      </c>
      <c r="B1333" s="289" t="s">
        <v>9917</v>
      </c>
      <c r="C1333" s="289"/>
      <c r="D1333" s="9" t="s">
        <v>7633</v>
      </c>
      <c r="E1333" s="22" t="s">
        <v>9378</v>
      </c>
      <c r="F1333" s="9"/>
      <c r="G1333" s="285" t="s">
        <v>8293</v>
      </c>
      <c r="H1333" s="285" t="s">
        <v>5127</v>
      </c>
      <c r="I1333" s="9"/>
      <c r="J1333" s="285" t="s">
        <v>3136</v>
      </c>
      <c r="K1333" s="14">
        <v>44103</v>
      </c>
      <c r="L1333" s="285">
        <v>821</v>
      </c>
      <c r="M1333" s="15">
        <v>44034</v>
      </c>
      <c r="N1333" s="40">
        <v>1</v>
      </c>
      <c r="O1333" s="63">
        <v>3484.59</v>
      </c>
      <c r="P1333" s="63">
        <v>3484.59</v>
      </c>
      <c r="Q1333" s="40">
        <f t="shared" si="36"/>
        <v>0</v>
      </c>
      <c r="R1333" s="285" t="s">
        <v>9768</v>
      </c>
      <c r="S1333" s="14">
        <v>43997</v>
      </c>
      <c r="T1333" s="285">
        <v>720</v>
      </c>
    </row>
    <row r="1334" spans="1:20" ht="78.75" customHeight="1" x14ac:dyDescent="0.2">
      <c r="A1334" s="289">
        <v>1369</v>
      </c>
      <c r="B1334" s="289" t="s">
        <v>9918</v>
      </c>
      <c r="C1334" s="289"/>
      <c r="D1334" s="9" t="s">
        <v>9834</v>
      </c>
      <c r="E1334" s="22" t="s">
        <v>9378</v>
      </c>
      <c r="F1334" s="9"/>
      <c r="G1334" s="285" t="s">
        <v>8293</v>
      </c>
      <c r="H1334" s="285" t="s">
        <v>5127</v>
      </c>
      <c r="I1334" s="9"/>
      <c r="J1334" s="285" t="s">
        <v>3136</v>
      </c>
      <c r="K1334" s="14">
        <v>44103</v>
      </c>
      <c r="L1334" s="285">
        <v>821</v>
      </c>
      <c r="M1334" s="15">
        <v>44034</v>
      </c>
      <c r="N1334" s="40">
        <v>2</v>
      </c>
      <c r="O1334" s="63">
        <v>24647.1</v>
      </c>
      <c r="P1334" s="63">
        <v>24647.1</v>
      </c>
      <c r="Q1334" s="40">
        <f t="shared" si="36"/>
        <v>0</v>
      </c>
      <c r="R1334" s="285" t="s">
        <v>9768</v>
      </c>
      <c r="S1334" s="14">
        <v>43997</v>
      </c>
      <c r="T1334" s="285">
        <v>720</v>
      </c>
    </row>
    <row r="1335" spans="1:20" ht="81" customHeight="1" x14ac:dyDescent="0.2">
      <c r="A1335" s="289">
        <v>1370</v>
      </c>
      <c r="B1335" s="289" t="s">
        <v>9919</v>
      </c>
      <c r="C1335" s="289"/>
      <c r="D1335" s="9" t="s">
        <v>9211</v>
      </c>
      <c r="E1335" s="22" t="s">
        <v>9378</v>
      </c>
      <c r="F1335" s="9"/>
      <c r="G1335" s="285" t="s">
        <v>8293</v>
      </c>
      <c r="H1335" s="285" t="s">
        <v>5127</v>
      </c>
      <c r="I1335" s="9"/>
      <c r="J1335" s="285" t="s">
        <v>3136</v>
      </c>
      <c r="K1335" s="14">
        <v>44103</v>
      </c>
      <c r="L1335" s="285">
        <v>821</v>
      </c>
      <c r="M1335" s="15">
        <v>44034</v>
      </c>
      <c r="N1335" s="40">
        <v>2</v>
      </c>
      <c r="O1335" s="63">
        <v>1427.84</v>
      </c>
      <c r="P1335" s="63">
        <v>1427.84</v>
      </c>
      <c r="Q1335" s="40">
        <f t="shared" si="36"/>
        <v>0</v>
      </c>
      <c r="R1335" s="285" t="s">
        <v>9768</v>
      </c>
      <c r="S1335" s="14">
        <v>43997</v>
      </c>
      <c r="T1335" s="285">
        <v>720</v>
      </c>
    </row>
    <row r="1336" spans="1:20" ht="70.5" customHeight="1" x14ac:dyDescent="0.2">
      <c r="A1336" s="289">
        <v>1371</v>
      </c>
      <c r="B1336" s="289" t="s">
        <v>9920</v>
      </c>
      <c r="C1336" s="289"/>
      <c r="D1336" s="9" t="s">
        <v>9855</v>
      </c>
      <c r="E1336" s="22" t="s">
        <v>9378</v>
      </c>
      <c r="F1336" s="9"/>
      <c r="G1336" s="285" t="s">
        <v>8293</v>
      </c>
      <c r="H1336" s="285" t="s">
        <v>5127</v>
      </c>
      <c r="I1336" s="9"/>
      <c r="J1336" s="285" t="s">
        <v>3136</v>
      </c>
      <c r="K1336" s="14">
        <v>44103</v>
      </c>
      <c r="L1336" s="285">
        <v>821</v>
      </c>
      <c r="M1336" s="15">
        <v>44034</v>
      </c>
      <c r="N1336" s="40">
        <v>1</v>
      </c>
      <c r="O1336" s="63">
        <v>2379.41</v>
      </c>
      <c r="P1336" s="63">
        <v>2379.41</v>
      </c>
      <c r="Q1336" s="40">
        <f t="shared" si="36"/>
        <v>0</v>
      </c>
      <c r="R1336" s="285" t="s">
        <v>9768</v>
      </c>
      <c r="S1336" s="14">
        <v>43997</v>
      </c>
      <c r="T1336" s="285">
        <v>720</v>
      </c>
    </row>
    <row r="1337" spans="1:20" ht="81" customHeight="1" x14ac:dyDescent="0.2">
      <c r="A1337" s="289">
        <v>1372</v>
      </c>
      <c r="B1337" s="289" t="s">
        <v>9921</v>
      </c>
      <c r="C1337" s="289"/>
      <c r="D1337" s="9" t="s">
        <v>9856</v>
      </c>
      <c r="E1337" s="22" t="s">
        <v>9378</v>
      </c>
      <c r="F1337" s="9"/>
      <c r="G1337" s="285" t="s">
        <v>8293</v>
      </c>
      <c r="H1337" s="285" t="s">
        <v>5127</v>
      </c>
      <c r="I1337" s="9"/>
      <c r="J1337" s="285" t="s">
        <v>3136</v>
      </c>
      <c r="K1337" s="14">
        <v>44103</v>
      </c>
      <c r="L1337" s="285">
        <v>821</v>
      </c>
      <c r="M1337" s="15">
        <v>44034</v>
      </c>
      <c r="N1337" s="40">
        <v>1</v>
      </c>
      <c r="O1337" s="63">
        <v>1954.77</v>
      </c>
      <c r="P1337" s="63">
        <v>1954.77</v>
      </c>
      <c r="Q1337" s="40">
        <f t="shared" si="36"/>
        <v>0</v>
      </c>
      <c r="R1337" s="285" t="s">
        <v>9768</v>
      </c>
      <c r="S1337" s="14">
        <v>43997</v>
      </c>
      <c r="T1337" s="285">
        <v>720</v>
      </c>
    </row>
    <row r="1338" spans="1:20" ht="81" customHeight="1" x14ac:dyDescent="0.2">
      <c r="A1338" s="289">
        <v>1373</v>
      </c>
      <c r="B1338" s="289" t="s">
        <v>9922</v>
      </c>
      <c r="C1338" s="289"/>
      <c r="D1338" s="9" t="s">
        <v>9857</v>
      </c>
      <c r="E1338" s="22" t="s">
        <v>9378</v>
      </c>
      <c r="F1338" s="9"/>
      <c r="G1338" s="285" t="s">
        <v>8293</v>
      </c>
      <c r="H1338" s="285" t="s">
        <v>5127</v>
      </c>
      <c r="I1338" s="9"/>
      <c r="J1338" s="285" t="s">
        <v>3136</v>
      </c>
      <c r="K1338" s="14">
        <v>44103</v>
      </c>
      <c r="L1338" s="285">
        <v>821</v>
      </c>
      <c r="M1338" s="15">
        <v>44034</v>
      </c>
      <c r="N1338" s="40">
        <v>20</v>
      </c>
      <c r="O1338" s="63">
        <v>10028.799999999999</v>
      </c>
      <c r="P1338" s="63">
        <v>10028.799999999999</v>
      </c>
      <c r="Q1338" s="40">
        <f t="shared" si="36"/>
        <v>0</v>
      </c>
      <c r="R1338" s="285" t="s">
        <v>9768</v>
      </c>
      <c r="S1338" s="14">
        <v>43997</v>
      </c>
      <c r="T1338" s="285">
        <v>720</v>
      </c>
    </row>
    <row r="1339" spans="1:20" ht="69" customHeight="1" x14ac:dyDescent="0.2">
      <c r="A1339" s="289">
        <v>1374</v>
      </c>
      <c r="B1339" s="289" t="s">
        <v>9923</v>
      </c>
      <c r="C1339" s="289"/>
      <c r="D1339" s="9" t="s">
        <v>9858</v>
      </c>
      <c r="E1339" s="22" t="s">
        <v>9378</v>
      </c>
      <c r="F1339" s="9"/>
      <c r="G1339" s="285" t="s">
        <v>8293</v>
      </c>
      <c r="H1339" s="285" t="s">
        <v>5127</v>
      </c>
      <c r="I1339" s="9"/>
      <c r="J1339" s="285" t="s">
        <v>3136</v>
      </c>
      <c r="K1339" s="14">
        <v>44103</v>
      </c>
      <c r="L1339" s="285">
        <v>821</v>
      </c>
      <c r="M1339" s="15">
        <v>44034</v>
      </c>
      <c r="N1339" s="40">
        <v>1</v>
      </c>
      <c r="O1339" s="63">
        <v>1656.1</v>
      </c>
      <c r="P1339" s="63">
        <v>1656.1</v>
      </c>
      <c r="Q1339" s="40">
        <f t="shared" si="36"/>
        <v>0</v>
      </c>
      <c r="R1339" s="285" t="s">
        <v>9768</v>
      </c>
      <c r="S1339" s="14">
        <v>43997</v>
      </c>
      <c r="T1339" s="285">
        <v>720</v>
      </c>
    </row>
    <row r="1340" spans="1:20" ht="81" customHeight="1" x14ac:dyDescent="0.2">
      <c r="A1340" s="289">
        <v>1375</v>
      </c>
      <c r="B1340" s="289" t="s">
        <v>9924</v>
      </c>
      <c r="C1340" s="289"/>
      <c r="D1340" s="9" t="s">
        <v>9859</v>
      </c>
      <c r="E1340" s="22" t="s">
        <v>9378</v>
      </c>
      <c r="F1340" s="9"/>
      <c r="G1340" s="285" t="s">
        <v>8293</v>
      </c>
      <c r="H1340" s="285" t="s">
        <v>5127</v>
      </c>
      <c r="I1340" s="9"/>
      <c r="J1340" s="285" t="s">
        <v>3136</v>
      </c>
      <c r="K1340" s="14">
        <v>44103</v>
      </c>
      <c r="L1340" s="285">
        <v>821</v>
      </c>
      <c r="M1340" s="15">
        <v>44034</v>
      </c>
      <c r="N1340" s="40">
        <v>2</v>
      </c>
      <c r="O1340" s="63">
        <v>878.6</v>
      </c>
      <c r="P1340" s="63">
        <v>878.6</v>
      </c>
      <c r="Q1340" s="40">
        <f t="shared" si="36"/>
        <v>0</v>
      </c>
      <c r="R1340" s="285" t="s">
        <v>9768</v>
      </c>
      <c r="S1340" s="14">
        <v>43997</v>
      </c>
      <c r="T1340" s="285">
        <v>720</v>
      </c>
    </row>
    <row r="1341" spans="1:20" ht="81" customHeight="1" x14ac:dyDescent="0.2">
      <c r="A1341" s="289">
        <v>1376</v>
      </c>
      <c r="B1341" s="289" t="s">
        <v>9925</v>
      </c>
      <c r="C1341" s="289"/>
      <c r="D1341" s="9" t="s">
        <v>9860</v>
      </c>
      <c r="E1341" s="22" t="s">
        <v>9378</v>
      </c>
      <c r="F1341" s="9"/>
      <c r="G1341" s="285" t="s">
        <v>8293</v>
      </c>
      <c r="H1341" s="285" t="s">
        <v>5127</v>
      </c>
      <c r="I1341" s="9"/>
      <c r="J1341" s="285" t="s">
        <v>3136</v>
      </c>
      <c r="K1341" s="14">
        <v>44103</v>
      </c>
      <c r="L1341" s="285">
        <v>821</v>
      </c>
      <c r="M1341" s="15">
        <v>44034</v>
      </c>
      <c r="N1341" s="40">
        <v>2</v>
      </c>
      <c r="O1341" s="63">
        <v>1144.48</v>
      </c>
      <c r="P1341" s="63">
        <v>1144.48</v>
      </c>
      <c r="Q1341" s="40">
        <f t="shared" si="36"/>
        <v>0</v>
      </c>
      <c r="R1341" s="285" t="s">
        <v>9768</v>
      </c>
      <c r="S1341" s="14">
        <v>43997</v>
      </c>
      <c r="T1341" s="285">
        <v>720</v>
      </c>
    </row>
    <row r="1342" spans="1:20" ht="68.25" customHeight="1" x14ac:dyDescent="0.2">
      <c r="A1342" s="289">
        <v>1377</v>
      </c>
      <c r="B1342" s="289" t="s">
        <v>9926</v>
      </c>
      <c r="C1342" s="289"/>
      <c r="D1342" s="9" t="s">
        <v>9861</v>
      </c>
      <c r="E1342" s="22" t="s">
        <v>9378</v>
      </c>
      <c r="F1342" s="9"/>
      <c r="G1342" s="285" t="s">
        <v>8293</v>
      </c>
      <c r="H1342" s="285" t="s">
        <v>5127</v>
      </c>
      <c r="I1342" s="9"/>
      <c r="J1342" s="285" t="s">
        <v>3136</v>
      </c>
      <c r="K1342" s="14">
        <v>44103</v>
      </c>
      <c r="L1342" s="285">
        <v>821</v>
      </c>
      <c r="M1342" s="15">
        <v>44034</v>
      </c>
      <c r="N1342" s="40">
        <v>1</v>
      </c>
      <c r="O1342" s="63">
        <v>725.8</v>
      </c>
      <c r="P1342" s="63">
        <v>725.8</v>
      </c>
      <c r="Q1342" s="40">
        <f t="shared" si="36"/>
        <v>0</v>
      </c>
      <c r="R1342" s="285" t="s">
        <v>9768</v>
      </c>
      <c r="S1342" s="14">
        <v>43997</v>
      </c>
      <c r="T1342" s="285">
        <v>720</v>
      </c>
    </row>
    <row r="1343" spans="1:20" ht="71.25" customHeight="1" x14ac:dyDescent="0.2">
      <c r="A1343" s="289">
        <v>1378</v>
      </c>
      <c r="B1343" s="289" t="s">
        <v>9927</v>
      </c>
      <c r="C1343" s="289"/>
      <c r="D1343" s="9" t="s">
        <v>8018</v>
      </c>
      <c r="E1343" s="22" t="s">
        <v>9378</v>
      </c>
      <c r="F1343" s="9"/>
      <c r="G1343" s="285" t="s">
        <v>8293</v>
      </c>
      <c r="H1343" s="285" t="s">
        <v>5127</v>
      </c>
      <c r="I1343" s="9"/>
      <c r="J1343" s="285" t="s">
        <v>3136</v>
      </c>
      <c r="K1343" s="14">
        <v>44103</v>
      </c>
      <c r="L1343" s="285">
        <v>821</v>
      </c>
      <c r="M1343" s="15">
        <v>44034</v>
      </c>
      <c r="N1343" s="40">
        <v>10</v>
      </c>
      <c r="O1343" s="63">
        <v>28554.5</v>
      </c>
      <c r="P1343" s="63">
        <v>28554.5</v>
      </c>
      <c r="Q1343" s="40">
        <f t="shared" si="36"/>
        <v>0</v>
      </c>
      <c r="R1343" s="285" t="s">
        <v>9768</v>
      </c>
      <c r="S1343" s="14">
        <v>43997</v>
      </c>
      <c r="T1343" s="285">
        <v>720</v>
      </c>
    </row>
    <row r="1344" spans="1:20" ht="72" customHeight="1" x14ac:dyDescent="0.2">
      <c r="A1344" s="289">
        <v>1379</v>
      </c>
      <c r="B1344" s="289" t="s">
        <v>9928</v>
      </c>
      <c r="C1344" s="289"/>
      <c r="D1344" s="9" t="s">
        <v>9862</v>
      </c>
      <c r="E1344" s="22" t="s">
        <v>9378</v>
      </c>
      <c r="F1344" s="9"/>
      <c r="G1344" s="285" t="s">
        <v>8293</v>
      </c>
      <c r="H1344" s="285" t="s">
        <v>5127</v>
      </c>
      <c r="I1344" s="9"/>
      <c r="J1344" s="285" t="s">
        <v>3136</v>
      </c>
      <c r="K1344" s="14">
        <v>44103</v>
      </c>
      <c r="L1344" s="285">
        <v>821</v>
      </c>
      <c r="M1344" s="15">
        <v>44034</v>
      </c>
      <c r="N1344" s="40">
        <v>2</v>
      </c>
      <c r="O1344" s="63">
        <v>31515</v>
      </c>
      <c r="P1344" s="63">
        <v>31515</v>
      </c>
      <c r="Q1344" s="40">
        <f t="shared" si="36"/>
        <v>0</v>
      </c>
      <c r="R1344" s="285" t="s">
        <v>9768</v>
      </c>
      <c r="S1344" s="14">
        <v>43997</v>
      </c>
      <c r="T1344" s="285">
        <v>720</v>
      </c>
    </row>
    <row r="1345" spans="1:20" ht="65.25" customHeight="1" x14ac:dyDescent="0.2">
      <c r="A1345" s="289">
        <v>1380</v>
      </c>
      <c r="B1345" s="289" t="s">
        <v>9929</v>
      </c>
      <c r="C1345" s="289"/>
      <c r="D1345" s="9" t="s">
        <v>9212</v>
      </c>
      <c r="E1345" s="22" t="s">
        <v>9378</v>
      </c>
      <c r="F1345" s="9"/>
      <c r="G1345" s="285" t="s">
        <v>8293</v>
      </c>
      <c r="H1345" s="285" t="s">
        <v>5127</v>
      </c>
      <c r="I1345" s="9"/>
      <c r="J1345" s="285" t="s">
        <v>3136</v>
      </c>
      <c r="K1345" s="14">
        <v>44103</v>
      </c>
      <c r="L1345" s="285">
        <v>821</v>
      </c>
      <c r="M1345" s="15">
        <v>44034</v>
      </c>
      <c r="N1345" s="40">
        <v>1</v>
      </c>
      <c r="O1345" s="63">
        <v>4249.75</v>
      </c>
      <c r="P1345" s="63">
        <v>4249.75</v>
      </c>
      <c r="Q1345" s="40">
        <f t="shared" si="36"/>
        <v>0</v>
      </c>
      <c r="R1345" s="285" t="s">
        <v>9768</v>
      </c>
      <c r="S1345" s="14">
        <v>43997</v>
      </c>
      <c r="T1345" s="285">
        <v>720</v>
      </c>
    </row>
    <row r="1346" spans="1:20" ht="72.75" customHeight="1" x14ac:dyDescent="0.2">
      <c r="A1346" s="289">
        <v>1381</v>
      </c>
      <c r="B1346" s="289" t="s">
        <v>9930</v>
      </c>
      <c r="C1346" s="289"/>
      <c r="D1346" s="9" t="s">
        <v>9863</v>
      </c>
      <c r="E1346" s="22" t="s">
        <v>9378</v>
      </c>
      <c r="F1346" s="9"/>
      <c r="G1346" s="285" t="s">
        <v>8293</v>
      </c>
      <c r="H1346" s="285" t="s">
        <v>5127</v>
      </c>
      <c r="I1346" s="9"/>
      <c r="J1346" s="285" t="s">
        <v>3136</v>
      </c>
      <c r="K1346" s="14">
        <v>44103</v>
      </c>
      <c r="L1346" s="285">
        <v>821</v>
      </c>
      <c r="M1346" s="15">
        <v>44034</v>
      </c>
      <c r="N1346" s="40">
        <v>5</v>
      </c>
      <c r="O1346" s="63">
        <v>15280</v>
      </c>
      <c r="P1346" s="63">
        <v>15280</v>
      </c>
      <c r="Q1346" s="40">
        <f t="shared" si="36"/>
        <v>0</v>
      </c>
      <c r="R1346" s="285" t="s">
        <v>9768</v>
      </c>
      <c r="S1346" s="14">
        <v>43997</v>
      </c>
      <c r="T1346" s="285">
        <v>720</v>
      </c>
    </row>
    <row r="1347" spans="1:20" ht="69.75" customHeight="1" x14ac:dyDescent="0.2">
      <c r="A1347" s="289">
        <v>1382</v>
      </c>
      <c r="B1347" s="289" t="s">
        <v>9931</v>
      </c>
      <c r="C1347" s="289"/>
      <c r="D1347" s="9" t="s">
        <v>9864</v>
      </c>
      <c r="E1347" s="22" t="s">
        <v>9378</v>
      </c>
      <c r="F1347" s="9"/>
      <c r="G1347" s="285" t="s">
        <v>8293</v>
      </c>
      <c r="H1347" s="285" t="s">
        <v>5127</v>
      </c>
      <c r="I1347" s="9"/>
      <c r="J1347" s="285" t="s">
        <v>3136</v>
      </c>
      <c r="K1347" s="14">
        <v>44103</v>
      </c>
      <c r="L1347" s="285">
        <v>821</v>
      </c>
      <c r="M1347" s="15">
        <v>44034</v>
      </c>
      <c r="N1347" s="40">
        <v>1</v>
      </c>
      <c r="O1347" s="63">
        <v>7162.5</v>
      </c>
      <c r="P1347" s="63">
        <v>7162.5</v>
      </c>
      <c r="Q1347" s="40">
        <f t="shared" ref="Q1347:Q1378" si="37">O1347-P1347</f>
        <v>0</v>
      </c>
      <c r="R1347" s="285" t="s">
        <v>9768</v>
      </c>
      <c r="S1347" s="14">
        <v>43997</v>
      </c>
      <c r="T1347" s="285">
        <v>720</v>
      </c>
    </row>
    <row r="1348" spans="1:20" ht="69.75" customHeight="1" x14ac:dyDescent="0.2">
      <c r="A1348" s="289">
        <v>1383</v>
      </c>
      <c r="B1348" s="289" t="s">
        <v>9932</v>
      </c>
      <c r="C1348" s="289"/>
      <c r="D1348" s="9" t="s">
        <v>9865</v>
      </c>
      <c r="E1348" s="22" t="s">
        <v>9378</v>
      </c>
      <c r="F1348" s="9"/>
      <c r="G1348" s="285" t="s">
        <v>8293</v>
      </c>
      <c r="H1348" s="285" t="s">
        <v>5127</v>
      </c>
      <c r="I1348" s="9"/>
      <c r="J1348" s="285" t="s">
        <v>3136</v>
      </c>
      <c r="K1348" s="14">
        <v>44103</v>
      </c>
      <c r="L1348" s="285">
        <v>821</v>
      </c>
      <c r="M1348" s="15">
        <v>44034</v>
      </c>
      <c r="N1348" s="40">
        <v>1</v>
      </c>
      <c r="O1348" s="63">
        <v>6685</v>
      </c>
      <c r="P1348" s="63">
        <v>6685</v>
      </c>
      <c r="Q1348" s="40">
        <f t="shared" si="37"/>
        <v>0</v>
      </c>
      <c r="R1348" s="285" t="s">
        <v>9768</v>
      </c>
      <c r="S1348" s="14">
        <v>43997</v>
      </c>
      <c r="T1348" s="285">
        <v>720</v>
      </c>
    </row>
    <row r="1349" spans="1:20" ht="69.75" customHeight="1" x14ac:dyDescent="0.2">
      <c r="A1349" s="289">
        <v>1384</v>
      </c>
      <c r="B1349" s="289" t="s">
        <v>9933</v>
      </c>
      <c r="C1349" s="289"/>
      <c r="D1349" s="9" t="s">
        <v>9866</v>
      </c>
      <c r="E1349" s="22" t="s">
        <v>9378</v>
      </c>
      <c r="F1349" s="9"/>
      <c r="G1349" s="285" t="s">
        <v>8293</v>
      </c>
      <c r="H1349" s="285" t="s">
        <v>5127</v>
      </c>
      <c r="I1349" s="9"/>
      <c r="J1349" s="285" t="s">
        <v>3136</v>
      </c>
      <c r="K1349" s="14" t="s">
        <v>11741</v>
      </c>
      <c r="L1349" s="285" t="s">
        <v>11742</v>
      </c>
      <c r="M1349" s="15">
        <v>44034</v>
      </c>
      <c r="N1349" s="40">
        <f>2-1</f>
        <v>1</v>
      </c>
      <c r="O1349" s="63">
        <f>6112-3056</f>
        <v>3056</v>
      </c>
      <c r="P1349" s="63">
        <f>O1349</f>
        <v>3056</v>
      </c>
      <c r="Q1349" s="40">
        <f t="shared" si="37"/>
        <v>0</v>
      </c>
      <c r="R1349" s="285" t="s">
        <v>9768</v>
      </c>
      <c r="S1349" s="14">
        <v>43997</v>
      </c>
      <c r="T1349" s="285">
        <v>720</v>
      </c>
    </row>
    <row r="1350" spans="1:20" ht="69.75" customHeight="1" x14ac:dyDescent="0.2">
      <c r="A1350" s="289">
        <v>1385</v>
      </c>
      <c r="B1350" s="289" t="s">
        <v>9934</v>
      </c>
      <c r="C1350" s="289"/>
      <c r="D1350" s="9" t="s">
        <v>9867</v>
      </c>
      <c r="E1350" s="22" t="s">
        <v>9378</v>
      </c>
      <c r="F1350" s="9"/>
      <c r="G1350" s="285" t="s">
        <v>8293</v>
      </c>
      <c r="H1350" s="285" t="s">
        <v>5127</v>
      </c>
      <c r="I1350" s="9"/>
      <c r="J1350" s="285" t="s">
        <v>3136</v>
      </c>
      <c r="K1350" s="14">
        <v>44103</v>
      </c>
      <c r="L1350" s="285">
        <v>821</v>
      </c>
      <c r="M1350" s="15">
        <v>44034</v>
      </c>
      <c r="N1350" s="40">
        <v>3</v>
      </c>
      <c r="O1350" s="63">
        <v>5730</v>
      </c>
      <c r="P1350" s="63">
        <v>5730</v>
      </c>
      <c r="Q1350" s="40">
        <f t="shared" si="37"/>
        <v>0</v>
      </c>
      <c r="R1350" s="285" t="s">
        <v>9768</v>
      </c>
      <c r="S1350" s="14">
        <v>43997</v>
      </c>
      <c r="T1350" s="285">
        <v>720</v>
      </c>
    </row>
    <row r="1351" spans="1:20" ht="69.75" customHeight="1" x14ac:dyDescent="0.2">
      <c r="A1351" s="289">
        <v>1386</v>
      </c>
      <c r="B1351" s="289" t="s">
        <v>9935</v>
      </c>
      <c r="C1351" s="289"/>
      <c r="D1351" s="9" t="s">
        <v>5019</v>
      </c>
      <c r="E1351" s="22" t="s">
        <v>9378</v>
      </c>
      <c r="F1351" s="9"/>
      <c r="G1351" s="285" t="s">
        <v>8293</v>
      </c>
      <c r="H1351" s="285" t="s">
        <v>5127</v>
      </c>
      <c r="I1351" s="9"/>
      <c r="J1351" s="285" t="s">
        <v>3136</v>
      </c>
      <c r="K1351" s="14">
        <v>44103</v>
      </c>
      <c r="L1351" s="285">
        <v>821</v>
      </c>
      <c r="M1351" s="15">
        <v>44034</v>
      </c>
      <c r="N1351" s="40">
        <v>1</v>
      </c>
      <c r="O1351" s="63">
        <v>40000</v>
      </c>
      <c r="P1351" s="63">
        <v>40000</v>
      </c>
      <c r="Q1351" s="40">
        <f t="shared" si="37"/>
        <v>0</v>
      </c>
      <c r="R1351" s="285" t="s">
        <v>9768</v>
      </c>
      <c r="S1351" s="14">
        <v>43997</v>
      </c>
      <c r="T1351" s="285">
        <v>720</v>
      </c>
    </row>
    <row r="1352" spans="1:20" ht="203.25" customHeight="1" x14ac:dyDescent="0.2">
      <c r="A1352" s="289">
        <v>1387</v>
      </c>
      <c r="B1352" s="289" t="s">
        <v>9872</v>
      </c>
      <c r="C1352" s="289"/>
      <c r="D1352" s="9" t="s">
        <v>9868</v>
      </c>
      <c r="E1352" s="22" t="s">
        <v>9378</v>
      </c>
      <c r="F1352" s="9"/>
      <c r="G1352" s="285" t="s">
        <v>7981</v>
      </c>
      <c r="H1352" s="285" t="s">
        <v>5127</v>
      </c>
      <c r="I1352" s="289"/>
      <c r="J1352" s="285" t="s">
        <v>3136</v>
      </c>
      <c r="K1352" s="14">
        <v>44075</v>
      </c>
      <c r="L1352" s="285">
        <v>727</v>
      </c>
      <c r="M1352" s="15">
        <v>43969</v>
      </c>
      <c r="N1352" s="40">
        <v>1</v>
      </c>
      <c r="O1352" s="63">
        <v>1365</v>
      </c>
      <c r="P1352" s="63">
        <v>1365</v>
      </c>
      <c r="Q1352" s="40">
        <f t="shared" si="37"/>
        <v>0</v>
      </c>
      <c r="R1352" s="285" t="s">
        <v>9768</v>
      </c>
      <c r="S1352" s="14">
        <v>43931</v>
      </c>
      <c r="T1352" s="285">
        <v>479</v>
      </c>
    </row>
    <row r="1353" spans="1:20" ht="231.75" customHeight="1" x14ac:dyDescent="0.2">
      <c r="A1353" s="289">
        <v>1388</v>
      </c>
      <c r="B1353" s="289" t="s">
        <v>9872</v>
      </c>
      <c r="C1353" s="289"/>
      <c r="D1353" s="9" t="s">
        <v>9868</v>
      </c>
      <c r="E1353" s="22" t="s">
        <v>9378</v>
      </c>
      <c r="F1353" s="9"/>
      <c r="G1353" s="285" t="s">
        <v>6266</v>
      </c>
      <c r="H1353" s="285" t="s">
        <v>5127</v>
      </c>
      <c r="I1353" s="289"/>
      <c r="J1353" s="285" t="s">
        <v>3136</v>
      </c>
      <c r="K1353" s="14">
        <v>44075</v>
      </c>
      <c r="L1353" s="285">
        <v>728</v>
      </c>
      <c r="M1353" s="15">
        <v>43969</v>
      </c>
      <c r="N1353" s="40">
        <v>1</v>
      </c>
      <c r="O1353" s="63">
        <v>1365</v>
      </c>
      <c r="P1353" s="63">
        <v>1365</v>
      </c>
      <c r="Q1353" s="40">
        <f t="shared" si="37"/>
        <v>0</v>
      </c>
      <c r="R1353" s="285" t="s">
        <v>9768</v>
      </c>
      <c r="S1353" s="14">
        <v>43931</v>
      </c>
      <c r="T1353" s="285">
        <v>479</v>
      </c>
    </row>
    <row r="1354" spans="1:20" ht="258" customHeight="1" x14ac:dyDescent="0.2">
      <c r="A1354" s="289">
        <v>1389</v>
      </c>
      <c r="B1354" s="289" t="s">
        <v>9873</v>
      </c>
      <c r="C1354" s="289"/>
      <c r="D1354" s="9" t="s">
        <v>9869</v>
      </c>
      <c r="E1354" s="22" t="s">
        <v>9378</v>
      </c>
      <c r="F1354" s="9"/>
      <c r="G1354" s="285" t="s">
        <v>7981</v>
      </c>
      <c r="H1354" s="285" t="s">
        <v>5127</v>
      </c>
      <c r="I1354" s="289"/>
      <c r="J1354" s="285" t="s">
        <v>3136</v>
      </c>
      <c r="K1354" s="14">
        <v>44075</v>
      </c>
      <c r="L1354" s="285">
        <v>727</v>
      </c>
      <c r="M1354" s="15">
        <v>43969</v>
      </c>
      <c r="N1354" s="40">
        <v>1</v>
      </c>
      <c r="O1354" s="63">
        <v>4300</v>
      </c>
      <c r="P1354" s="63">
        <v>4300</v>
      </c>
      <c r="Q1354" s="40">
        <f t="shared" si="37"/>
        <v>0</v>
      </c>
      <c r="R1354" s="285" t="s">
        <v>9768</v>
      </c>
      <c r="S1354" s="14">
        <v>43931</v>
      </c>
      <c r="T1354" s="285">
        <v>479</v>
      </c>
    </row>
    <row r="1355" spans="1:20" ht="130.5" customHeight="1" x14ac:dyDescent="0.2">
      <c r="A1355" s="289">
        <v>1390</v>
      </c>
      <c r="B1355" s="289" t="s">
        <v>9873</v>
      </c>
      <c r="C1355" s="289"/>
      <c r="D1355" s="9" t="s">
        <v>9869</v>
      </c>
      <c r="E1355" s="22" t="s">
        <v>9378</v>
      </c>
      <c r="F1355" s="9"/>
      <c r="G1355" s="285" t="s">
        <v>6266</v>
      </c>
      <c r="H1355" s="285" t="s">
        <v>5127</v>
      </c>
      <c r="I1355" s="289"/>
      <c r="J1355" s="285" t="s">
        <v>3136</v>
      </c>
      <c r="K1355" s="14">
        <v>44075</v>
      </c>
      <c r="L1355" s="285">
        <v>728</v>
      </c>
      <c r="M1355" s="15">
        <v>43969</v>
      </c>
      <c r="N1355" s="40">
        <v>1</v>
      </c>
      <c r="O1355" s="63">
        <v>4300</v>
      </c>
      <c r="P1355" s="63">
        <v>4300</v>
      </c>
      <c r="Q1355" s="40">
        <f t="shared" si="37"/>
        <v>0</v>
      </c>
      <c r="R1355" s="285" t="s">
        <v>9768</v>
      </c>
      <c r="S1355" s="14">
        <v>43931</v>
      </c>
      <c r="T1355" s="285">
        <v>479</v>
      </c>
    </row>
    <row r="1356" spans="1:20" ht="290.25" customHeight="1" x14ac:dyDescent="0.2">
      <c r="A1356" s="289">
        <v>1391</v>
      </c>
      <c r="B1356" s="289" t="s">
        <v>9874</v>
      </c>
      <c r="C1356" s="289"/>
      <c r="D1356" s="9" t="s">
        <v>9870</v>
      </c>
      <c r="E1356" s="22" t="s">
        <v>9378</v>
      </c>
      <c r="F1356" s="9"/>
      <c r="G1356" s="285" t="s">
        <v>7981</v>
      </c>
      <c r="H1356" s="285" t="s">
        <v>5127</v>
      </c>
      <c r="I1356" s="289"/>
      <c r="J1356" s="285" t="s">
        <v>3136</v>
      </c>
      <c r="K1356" s="14">
        <v>44075</v>
      </c>
      <c r="L1356" s="285">
        <v>727</v>
      </c>
      <c r="M1356" s="15">
        <v>43969</v>
      </c>
      <c r="N1356" s="40">
        <v>1</v>
      </c>
      <c r="O1356" s="63">
        <v>669</v>
      </c>
      <c r="P1356" s="63">
        <v>669</v>
      </c>
      <c r="Q1356" s="40">
        <f t="shared" si="37"/>
        <v>0</v>
      </c>
      <c r="R1356" s="285" t="s">
        <v>9768</v>
      </c>
      <c r="S1356" s="14">
        <v>43931</v>
      </c>
      <c r="T1356" s="285">
        <v>479</v>
      </c>
    </row>
    <row r="1357" spans="1:20" ht="130.5" customHeight="1" x14ac:dyDescent="0.2">
      <c r="A1357" s="289">
        <v>1392</v>
      </c>
      <c r="B1357" s="289" t="s">
        <v>9874</v>
      </c>
      <c r="C1357" s="289"/>
      <c r="D1357" s="9" t="s">
        <v>9870</v>
      </c>
      <c r="E1357" s="22" t="s">
        <v>9378</v>
      </c>
      <c r="F1357" s="9"/>
      <c r="G1357" s="285" t="s">
        <v>6266</v>
      </c>
      <c r="H1357" s="285" t="s">
        <v>5127</v>
      </c>
      <c r="I1357" s="289"/>
      <c r="J1357" s="285" t="s">
        <v>3136</v>
      </c>
      <c r="K1357" s="14">
        <v>44075</v>
      </c>
      <c r="L1357" s="285">
        <v>728</v>
      </c>
      <c r="M1357" s="15">
        <v>43969</v>
      </c>
      <c r="N1357" s="40">
        <v>1</v>
      </c>
      <c r="O1357" s="63">
        <v>669</v>
      </c>
      <c r="P1357" s="63">
        <v>669</v>
      </c>
      <c r="Q1357" s="40">
        <f t="shared" si="37"/>
        <v>0</v>
      </c>
      <c r="R1357" s="285" t="s">
        <v>9768</v>
      </c>
      <c r="S1357" s="14">
        <v>43931</v>
      </c>
      <c r="T1357" s="285">
        <v>479</v>
      </c>
    </row>
    <row r="1358" spans="1:20" ht="130.5" customHeight="1" x14ac:dyDescent="0.2">
      <c r="A1358" s="289">
        <v>1393</v>
      </c>
      <c r="B1358" s="289" t="s">
        <v>9875</v>
      </c>
      <c r="C1358" s="289"/>
      <c r="D1358" s="9" t="s">
        <v>9871</v>
      </c>
      <c r="E1358" s="22" t="s">
        <v>9378</v>
      </c>
      <c r="F1358" s="9"/>
      <c r="G1358" s="285" t="s">
        <v>7981</v>
      </c>
      <c r="H1358" s="285" t="s">
        <v>5127</v>
      </c>
      <c r="I1358" s="289"/>
      <c r="J1358" s="285" t="s">
        <v>3136</v>
      </c>
      <c r="K1358" s="14">
        <v>44075</v>
      </c>
      <c r="L1358" s="285">
        <v>727</v>
      </c>
      <c r="M1358" s="15">
        <v>43969</v>
      </c>
      <c r="N1358" s="40">
        <v>1</v>
      </c>
      <c r="O1358" s="63">
        <v>2400</v>
      </c>
      <c r="P1358" s="63">
        <v>2400</v>
      </c>
      <c r="Q1358" s="40">
        <f t="shared" si="37"/>
        <v>0</v>
      </c>
      <c r="R1358" s="285" t="s">
        <v>9768</v>
      </c>
      <c r="S1358" s="14">
        <v>43931</v>
      </c>
      <c r="T1358" s="285">
        <v>479</v>
      </c>
    </row>
    <row r="1359" spans="1:20" ht="326.25" customHeight="1" x14ac:dyDescent="0.2">
      <c r="A1359" s="289">
        <v>1394</v>
      </c>
      <c r="B1359" s="289" t="s">
        <v>9875</v>
      </c>
      <c r="C1359" s="289"/>
      <c r="D1359" s="79" t="s">
        <v>9871</v>
      </c>
      <c r="E1359" s="22" t="s">
        <v>9378</v>
      </c>
      <c r="F1359" s="9"/>
      <c r="G1359" s="285" t="s">
        <v>6266</v>
      </c>
      <c r="H1359" s="285" t="s">
        <v>5127</v>
      </c>
      <c r="I1359" s="289"/>
      <c r="J1359" s="285" t="s">
        <v>3136</v>
      </c>
      <c r="K1359" s="14">
        <v>44075</v>
      </c>
      <c r="L1359" s="285">
        <v>728</v>
      </c>
      <c r="M1359" s="15">
        <v>43969</v>
      </c>
      <c r="N1359" s="40">
        <v>1</v>
      </c>
      <c r="O1359" s="63">
        <v>2400</v>
      </c>
      <c r="P1359" s="63">
        <v>2400</v>
      </c>
      <c r="Q1359" s="40">
        <f t="shared" si="37"/>
        <v>0</v>
      </c>
      <c r="R1359" s="285" t="s">
        <v>9768</v>
      </c>
      <c r="S1359" s="14">
        <v>43931</v>
      </c>
      <c r="T1359" s="285">
        <v>479</v>
      </c>
    </row>
    <row r="1360" spans="1:20" ht="187.5" customHeight="1" x14ac:dyDescent="0.2">
      <c r="A1360" s="289">
        <v>1395</v>
      </c>
      <c r="B1360" s="289" t="s">
        <v>9884</v>
      </c>
      <c r="C1360" s="289"/>
      <c r="D1360" s="79" t="s">
        <v>9885</v>
      </c>
      <c r="E1360" s="22" t="s">
        <v>9378</v>
      </c>
      <c r="F1360" s="9"/>
      <c r="G1360" s="285" t="s">
        <v>7983</v>
      </c>
      <c r="H1360" s="285" t="s">
        <v>5127</v>
      </c>
      <c r="I1360" s="289"/>
      <c r="J1360" s="285" t="s">
        <v>3136</v>
      </c>
      <c r="K1360" s="14">
        <v>44092</v>
      </c>
      <c r="L1360" s="285">
        <v>790</v>
      </c>
      <c r="M1360" s="15">
        <v>44081</v>
      </c>
      <c r="N1360" s="40">
        <v>1</v>
      </c>
      <c r="O1360" s="63">
        <v>27999</v>
      </c>
      <c r="P1360" s="63">
        <v>27999</v>
      </c>
      <c r="Q1360" s="40">
        <f t="shared" si="37"/>
        <v>0</v>
      </c>
      <c r="R1360" s="285" t="s">
        <v>7155</v>
      </c>
      <c r="S1360" s="14">
        <v>44081</v>
      </c>
      <c r="T1360" s="285" t="s">
        <v>9886</v>
      </c>
    </row>
    <row r="1361" spans="1:20" ht="91.5" customHeight="1" x14ac:dyDescent="0.2">
      <c r="A1361" s="289">
        <v>1396</v>
      </c>
      <c r="B1361" s="289" t="s">
        <v>9909</v>
      </c>
      <c r="C1361" s="289"/>
      <c r="D1361" s="9" t="s">
        <v>9910</v>
      </c>
      <c r="E1361" s="22" t="s">
        <v>9378</v>
      </c>
      <c r="F1361" s="9" t="s">
        <v>9911</v>
      </c>
      <c r="G1361" s="285" t="s">
        <v>7983</v>
      </c>
      <c r="H1361" s="285" t="s">
        <v>5127</v>
      </c>
      <c r="I1361" s="289"/>
      <c r="J1361" s="285" t="s">
        <v>3136</v>
      </c>
      <c r="K1361" s="14">
        <v>44103</v>
      </c>
      <c r="L1361" s="285">
        <v>819</v>
      </c>
      <c r="M1361" s="15">
        <v>44096</v>
      </c>
      <c r="N1361" s="40">
        <v>1</v>
      </c>
      <c r="O1361" s="63">
        <v>11099</v>
      </c>
      <c r="P1361" s="63">
        <v>11099</v>
      </c>
      <c r="Q1361" s="40">
        <f t="shared" si="37"/>
        <v>0</v>
      </c>
      <c r="R1361" s="285" t="s">
        <v>7155</v>
      </c>
      <c r="S1361" s="14">
        <v>44096</v>
      </c>
      <c r="T1361" s="285" t="s">
        <v>9912</v>
      </c>
    </row>
    <row r="1362" spans="1:20" ht="96.75" customHeight="1" x14ac:dyDescent="0.2">
      <c r="A1362" s="289">
        <v>1397</v>
      </c>
      <c r="B1362" s="289" t="s">
        <v>10163</v>
      </c>
      <c r="C1362" s="289"/>
      <c r="D1362" s="9" t="s">
        <v>10164</v>
      </c>
      <c r="E1362" s="22" t="s">
        <v>9378</v>
      </c>
      <c r="F1362" s="9" t="s">
        <v>3338</v>
      </c>
      <c r="G1362" s="285" t="s">
        <v>7982</v>
      </c>
      <c r="H1362" s="285" t="s">
        <v>5127</v>
      </c>
      <c r="I1362" s="289"/>
      <c r="J1362" s="285" t="s">
        <v>3136</v>
      </c>
      <c r="K1362" s="14">
        <v>44144</v>
      </c>
      <c r="L1362" s="285">
        <v>927</v>
      </c>
      <c r="M1362" s="15">
        <v>44111</v>
      </c>
      <c r="N1362" s="40">
        <v>3</v>
      </c>
      <c r="O1362" s="63">
        <v>31950</v>
      </c>
      <c r="P1362" s="63">
        <v>31950</v>
      </c>
      <c r="Q1362" s="40">
        <f t="shared" si="37"/>
        <v>0</v>
      </c>
      <c r="R1362" s="285" t="s">
        <v>10165</v>
      </c>
      <c r="S1362" s="14">
        <v>44110</v>
      </c>
      <c r="T1362" s="285" t="s">
        <v>1029</v>
      </c>
    </row>
    <row r="1363" spans="1:20" ht="89.25" customHeight="1" x14ac:dyDescent="0.2">
      <c r="A1363" s="289">
        <v>1398</v>
      </c>
      <c r="B1363" s="289" t="s">
        <v>10295</v>
      </c>
      <c r="C1363" s="289"/>
      <c r="D1363" s="9" t="s">
        <v>5278</v>
      </c>
      <c r="E1363" s="22" t="s">
        <v>9378</v>
      </c>
      <c r="F1363" s="9" t="s">
        <v>10296</v>
      </c>
      <c r="G1363" s="285" t="s">
        <v>7983</v>
      </c>
      <c r="H1363" s="285" t="s">
        <v>5127</v>
      </c>
      <c r="I1363" s="289"/>
      <c r="J1363" s="285" t="s">
        <v>3136</v>
      </c>
      <c r="K1363" s="14">
        <v>44151</v>
      </c>
      <c r="L1363" s="285">
        <v>949</v>
      </c>
      <c r="M1363" s="15">
        <v>44106</v>
      </c>
      <c r="N1363" s="40">
        <v>1</v>
      </c>
      <c r="O1363" s="63">
        <v>14200</v>
      </c>
      <c r="P1363" s="63">
        <v>14200</v>
      </c>
      <c r="Q1363" s="40">
        <f t="shared" si="37"/>
        <v>0</v>
      </c>
      <c r="R1363" s="285" t="s">
        <v>7155</v>
      </c>
      <c r="S1363" s="14">
        <v>44102</v>
      </c>
      <c r="T1363" s="285" t="s">
        <v>10297</v>
      </c>
    </row>
    <row r="1364" spans="1:20" ht="103.5" customHeight="1" x14ac:dyDescent="0.2">
      <c r="A1364" s="289">
        <v>1399</v>
      </c>
      <c r="B1364" s="289" t="s">
        <v>10310</v>
      </c>
      <c r="C1364" s="289"/>
      <c r="D1364" s="9" t="s">
        <v>10314</v>
      </c>
      <c r="E1364" s="22" t="s">
        <v>10311</v>
      </c>
      <c r="F1364" s="9" t="s">
        <v>10312</v>
      </c>
      <c r="G1364" s="285" t="s">
        <v>10465</v>
      </c>
      <c r="H1364" s="289" t="s">
        <v>2207</v>
      </c>
      <c r="I1364" s="289"/>
      <c r="J1364" s="285" t="s">
        <v>3136</v>
      </c>
      <c r="K1364" s="14">
        <v>44134</v>
      </c>
      <c r="L1364" s="285">
        <v>905</v>
      </c>
      <c r="M1364" s="15">
        <v>44124</v>
      </c>
      <c r="N1364" s="40">
        <v>12</v>
      </c>
      <c r="O1364" s="63">
        <v>64800</v>
      </c>
      <c r="P1364" s="63">
        <v>0</v>
      </c>
      <c r="Q1364" s="40">
        <f t="shared" si="37"/>
        <v>64800</v>
      </c>
      <c r="R1364" s="285" t="s">
        <v>9304</v>
      </c>
      <c r="S1364" s="15">
        <v>43942</v>
      </c>
      <c r="T1364" s="22" t="s">
        <v>10313</v>
      </c>
    </row>
    <row r="1365" spans="1:20" ht="162.75" customHeight="1" x14ac:dyDescent="0.2">
      <c r="A1365" s="289">
        <v>1400</v>
      </c>
      <c r="B1365" s="289" t="s">
        <v>10327</v>
      </c>
      <c r="C1365" s="289"/>
      <c r="D1365" s="9" t="s">
        <v>10328</v>
      </c>
      <c r="E1365" s="22" t="s">
        <v>10311</v>
      </c>
      <c r="F1365" s="9" t="s">
        <v>10329</v>
      </c>
      <c r="G1365" s="285" t="s">
        <v>10465</v>
      </c>
      <c r="H1365" s="289" t="s">
        <v>2207</v>
      </c>
      <c r="I1365" s="289"/>
      <c r="J1365" s="285" t="s">
        <v>3136</v>
      </c>
      <c r="K1365" s="14">
        <v>44155</v>
      </c>
      <c r="L1365" s="285">
        <v>965</v>
      </c>
      <c r="M1365" s="15">
        <v>44124</v>
      </c>
      <c r="N1365" s="40">
        <v>12</v>
      </c>
      <c r="O1365" s="63">
        <v>160346</v>
      </c>
      <c r="P1365" s="63">
        <v>160346</v>
      </c>
      <c r="Q1365" s="40">
        <f t="shared" si="37"/>
        <v>0</v>
      </c>
      <c r="R1365" s="285" t="s">
        <v>9304</v>
      </c>
      <c r="S1365" s="15">
        <v>43942</v>
      </c>
      <c r="T1365" s="22" t="s">
        <v>10313</v>
      </c>
    </row>
    <row r="1366" spans="1:20" ht="43.5" customHeight="1" x14ac:dyDescent="0.2">
      <c r="A1366" s="289">
        <v>1403</v>
      </c>
      <c r="B1366" s="289" t="s">
        <v>10356</v>
      </c>
      <c r="C1366" s="289"/>
      <c r="D1366" s="9" t="s">
        <v>10357</v>
      </c>
      <c r="E1366" s="22" t="s">
        <v>9378</v>
      </c>
      <c r="F1366" s="9" t="s">
        <v>10358</v>
      </c>
      <c r="G1366" s="285" t="s">
        <v>7917</v>
      </c>
      <c r="H1366" s="285" t="s">
        <v>5127</v>
      </c>
      <c r="I1366" s="289"/>
      <c r="J1366" s="285" t="s">
        <v>3136</v>
      </c>
      <c r="K1366" s="15">
        <v>44173</v>
      </c>
      <c r="L1366" s="12" t="s">
        <v>10451</v>
      </c>
      <c r="M1366" s="15">
        <v>44162</v>
      </c>
      <c r="N1366" s="40">
        <v>1</v>
      </c>
      <c r="O1366" s="63">
        <v>14250</v>
      </c>
      <c r="P1366" s="63">
        <v>14250</v>
      </c>
      <c r="Q1366" s="40">
        <f t="shared" si="37"/>
        <v>0</v>
      </c>
      <c r="R1366" s="285" t="s">
        <v>10362</v>
      </c>
      <c r="S1366" s="14">
        <v>44090</v>
      </c>
      <c r="T1366" s="22" t="s">
        <v>10359</v>
      </c>
    </row>
    <row r="1367" spans="1:20" ht="42.75" customHeight="1" x14ac:dyDescent="0.2">
      <c r="A1367" s="289">
        <v>1404</v>
      </c>
      <c r="B1367" s="289" t="s">
        <v>10360</v>
      </c>
      <c r="C1367" s="289"/>
      <c r="D1367" s="9" t="s">
        <v>10361</v>
      </c>
      <c r="E1367" s="22" t="s">
        <v>9378</v>
      </c>
      <c r="F1367" s="9"/>
      <c r="G1367" s="285" t="s">
        <v>7917</v>
      </c>
      <c r="H1367" s="285" t="s">
        <v>5127</v>
      </c>
      <c r="I1367" s="289"/>
      <c r="J1367" s="285" t="s">
        <v>3136</v>
      </c>
      <c r="K1367" s="15">
        <v>44173</v>
      </c>
      <c r="L1367" s="12" t="s">
        <v>10451</v>
      </c>
      <c r="M1367" s="15">
        <v>44162</v>
      </c>
      <c r="N1367" s="40">
        <v>2</v>
      </c>
      <c r="O1367" s="63">
        <v>28758.74</v>
      </c>
      <c r="P1367" s="63">
        <v>28758.74</v>
      </c>
      <c r="Q1367" s="40">
        <f t="shared" si="37"/>
        <v>0</v>
      </c>
      <c r="R1367" s="285" t="s">
        <v>10362</v>
      </c>
      <c r="S1367" s="14">
        <v>44090</v>
      </c>
      <c r="T1367" s="22" t="s">
        <v>10359</v>
      </c>
    </row>
    <row r="1368" spans="1:20" ht="41.25" customHeight="1" x14ac:dyDescent="0.2">
      <c r="A1368" s="289">
        <v>1405</v>
      </c>
      <c r="B1368" s="289" t="s">
        <v>10363</v>
      </c>
      <c r="C1368" s="289"/>
      <c r="D1368" s="9" t="s">
        <v>10361</v>
      </c>
      <c r="E1368" s="22" t="s">
        <v>9378</v>
      </c>
      <c r="F1368" s="9"/>
      <c r="G1368" s="285" t="s">
        <v>7917</v>
      </c>
      <c r="H1368" s="285" t="s">
        <v>5127</v>
      </c>
      <c r="I1368" s="289"/>
      <c r="J1368" s="285" t="s">
        <v>3136</v>
      </c>
      <c r="K1368" s="15">
        <v>44173</v>
      </c>
      <c r="L1368" s="12" t="s">
        <v>10451</v>
      </c>
      <c r="M1368" s="15">
        <v>44162</v>
      </c>
      <c r="N1368" s="40">
        <v>1</v>
      </c>
      <c r="O1368" s="63">
        <v>14374.84</v>
      </c>
      <c r="P1368" s="63">
        <v>14374.84</v>
      </c>
      <c r="Q1368" s="40">
        <f t="shared" si="37"/>
        <v>0</v>
      </c>
      <c r="R1368" s="285" t="s">
        <v>10362</v>
      </c>
      <c r="S1368" s="14">
        <v>44090</v>
      </c>
      <c r="T1368" s="22" t="s">
        <v>10359</v>
      </c>
    </row>
    <row r="1369" spans="1:20" ht="27" customHeight="1" x14ac:dyDescent="0.2">
      <c r="A1369" s="289">
        <v>1406</v>
      </c>
      <c r="B1369" s="289" t="s">
        <v>10364</v>
      </c>
      <c r="C1369" s="289"/>
      <c r="D1369" s="9" t="s">
        <v>10365</v>
      </c>
      <c r="E1369" s="22" t="s">
        <v>9378</v>
      </c>
      <c r="F1369" s="9"/>
      <c r="G1369" s="285" t="s">
        <v>7917</v>
      </c>
      <c r="H1369" s="285" t="s">
        <v>5127</v>
      </c>
      <c r="I1369" s="289"/>
      <c r="J1369" s="285" t="s">
        <v>3136</v>
      </c>
      <c r="K1369" s="15">
        <v>44173</v>
      </c>
      <c r="L1369" s="12" t="s">
        <v>10451</v>
      </c>
      <c r="M1369" s="15">
        <v>44162</v>
      </c>
      <c r="N1369" s="40">
        <v>3</v>
      </c>
      <c r="O1369" s="63">
        <v>4200</v>
      </c>
      <c r="P1369" s="63">
        <v>4200</v>
      </c>
      <c r="Q1369" s="40">
        <f t="shared" si="37"/>
        <v>0</v>
      </c>
      <c r="R1369" s="285" t="s">
        <v>10362</v>
      </c>
      <c r="S1369" s="14">
        <v>44090</v>
      </c>
      <c r="T1369" s="22" t="s">
        <v>10359</v>
      </c>
    </row>
    <row r="1370" spans="1:20" ht="27" customHeight="1" x14ac:dyDescent="0.2">
      <c r="A1370" s="289">
        <v>1407</v>
      </c>
      <c r="B1370" s="289" t="s">
        <v>10366</v>
      </c>
      <c r="C1370" s="289"/>
      <c r="D1370" s="9" t="s">
        <v>10367</v>
      </c>
      <c r="E1370" s="22" t="s">
        <v>9378</v>
      </c>
      <c r="F1370" s="9"/>
      <c r="G1370" s="285" t="s">
        <v>7917</v>
      </c>
      <c r="H1370" s="285" t="s">
        <v>5127</v>
      </c>
      <c r="I1370" s="289"/>
      <c r="J1370" s="285" t="s">
        <v>3136</v>
      </c>
      <c r="K1370" s="15">
        <v>44173</v>
      </c>
      <c r="L1370" s="12" t="s">
        <v>10451</v>
      </c>
      <c r="M1370" s="15">
        <v>44162</v>
      </c>
      <c r="N1370" s="40">
        <v>1</v>
      </c>
      <c r="O1370" s="63">
        <v>18873.73</v>
      </c>
      <c r="P1370" s="63">
        <v>18873.73</v>
      </c>
      <c r="Q1370" s="40">
        <f t="shared" si="37"/>
        <v>0</v>
      </c>
      <c r="R1370" s="285" t="s">
        <v>10362</v>
      </c>
      <c r="S1370" s="14">
        <v>44090</v>
      </c>
      <c r="T1370" s="22" t="s">
        <v>10359</v>
      </c>
    </row>
    <row r="1371" spans="1:20" ht="40.5" customHeight="1" x14ac:dyDescent="0.2">
      <c r="A1371" s="289">
        <v>1408</v>
      </c>
      <c r="B1371" s="289" t="s">
        <v>10374</v>
      </c>
      <c r="C1371" s="289"/>
      <c r="D1371" s="9" t="s">
        <v>10375</v>
      </c>
      <c r="E1371" s="22" t="s">
        <v>9378</v>
      </c>
      <c r="F1371" s="9" t="s">
        <v>10376</v>
      </c>
      <c r="G1371" s="285" t="s">
        <v>7917</v>
      </c>
      <c r="H1371" s="285" t="s">
        <v>5127</v>
      </c>
      <c r="I1371" s="289"/>
      <c r="J1371" s="285" t="s">
        <v>3136</v>
      </c>
      <c r="K1371" s="15">
        <v>44173</v>
      </c>
      <c r="L1371" s="12" t="s">
        <v>10451</v>
      </c>
      <c r="M1371" s="15">
        <v>44162</v>
      </c>
      <c r="N1371" s="40">
        <v>1</v>
      </c>
      <c r="O1371" s="63">
        <v>12000</v>
      </c>
      <c r="P1371" s="63">
        <v>12000</v>
      </c>
      <c r="Q1371" s="40">
        <f t="shared" si="37"/>
        <v>0</v>
      </c>
      <c r="R1371" s="285" t="s">
        <v>10362</v>
      </c>
      <c r="S1371" s="14">
        <v>44090</v>
      </c>
      <c r="T1371" s="22" t="s">
        <v>10359</v>
      </c>
    </row>
    <row r="1372" spans="1:20" ht="41.25" customHeight="1" x14ac:dyDescent="0.2">
      <c r="A1372" s="289">
        <v>1409</v>
      </c>
      <c r="B1372" s="289" t="s">
        <v>10377</v>
      </c>
      <c r="C1372" s="289"/>
      <c r="D1372" s="9" t="s">
        <v>10378</v>
      </c>
      <c r="E1372" s="22" t="s">
        <v>9378</v>
      </c>
      <c r="F1372" s="9" t="s">
        <v>10379</v>
      </c>
      <c r="G1372" s="285" t="s">
        <v>7917</v>
      </c>
      <c r="H1372" s="285" t="s">
        <v>5127</v>
      </c>
      <c r="I1372" s="289"/>
      <c r="J1372" s="285" t="s">
        <v>3136</v>
      </c>
      <c r="K1372" s="15">
        <v>44173</v>
      </c>
      <c r="L1372" s="12" t="s">
        <v>10451</v>
      </c>
      <c r="M1372" s="15">
        <v>44162</v>
      </c>
      <c r="N1372" s="40">
        <v>3</v>
      </c>
      <c r="O1372" s="63">
        <v>10500</v>
      </c>
      <c r="P1372" s="63">
        <v>10500</v>
      </c>
      <c r="Q1372" s="40">
        <f t="shared" si="37"/>
        <v>0</v>
      </c>
      <c r="R1372" s="285" t="s">
        <v>10362</v>
      </c>
      <c r="S1372" s="14">
        <v>44090</v>
      </c>
      <c r="T1372" s="22" t="s">
        <v>10359</v>
      </c>
    </row>
    <row r="1373" spans="1:20" ht="41.25" customHeight="1" x14ac:dyDescent="0.2">
      <c r="A1373" s="289">
        <v>1410</v>
      </c>
      <c r="B1373" s="289" t="s">
        <v>10381</v>
      </c>
      <c r="C1373" s="289"/>
      <c r="D1373" s="9" t="s">
        <v>10380</v>
      </c>
      <c r="E1373" s="22" t="s">
        <v>9378</v>
      </c>
      <c r="F1373" s="9" t="s">
        <v>10382</v>
      </c>
      <c r="G1373" s="285" t="s">
        <v>7917</v>
      </c>
      <c r="H1373" s="285" t="s">
        <v>5127</v>
      </c>
      <c r="I1373" s="289"/>
      <c r="J1373" s="285" t="s">
        <v>3136</v>
      </c>
      <c r="K1373" s="15">
        <v>44173</v>
      </c>
      <c r="L1373" s="12" t="s">
        <v>10451</v>
      </c>
      <c r="M1373" s="15">
        <v>44162</v>
      </c>
      <c r="N1373" s="40">
        <v>6</v>
      </c>
      <c r="O1373" s="63">
        <v>12600</v>
      </c>
      <c r="P1373" s="63">
        <v>12600</v>
      </c>
      <c r="Q1373" s="40">
        <f t="shared" si="37"/>
        <v>0</v>
      </c>
      <c r="R1373" s="285" t="s">
        <v>10362</v>
      </c>
      <c r="S1373" s="14">
        <v>44090</v>
      </c>
      <c r="T1373" s="22" t="s">
        <v>10359</v>
      </c>
    </row>
    <row r="1374" spans="1:20" ht="41.25" customHeight="1" x14ac:dyDescent="0.2">
      <c r="A1374" s="289">
        <v>1411</v>
      </c>
      <c r="B1374" s="289" t="s">
        <v>10383</v>
      </c>
      <c r="C1374" s="289"/>
      <c r="D1374" s="9" t="s">
        <v>10384</v>
      </c>
      <c r="E1374" s="22" t="s">
        <v>9378</v>
      </c>
      <c r="F1374" s="9" t="s">
        <v>10385</v>
      </c>
      <c r="G1374" s="285" t="s">
        <v>7917</v>
      </c>
      <c r="H1374" s="285" t="s">
        <v>5127</v>
      </c>
      <c r="I1374" s="289"/>
      <c r="J1374" s="285" t="s">
        <v>3136</v>
      </c>
      <c r="K1374" s="15">
        <v>44173</v>
      </c>
      <c r="L1374" s="12" t="s">
        <v>10451</v>
      </c>
      <c r="M1374" s="15">
        <v>44162</v>
      </c>
      <c r="N1374" s="40">
        <v>1</v>
      </c>
      <c r="O1374" s="63">
        <v>3500</v>
      </c>
      <c r="P1374" s="63">
        <v>3500</v>
      </c>
      <c r="Q1374" s="40">
        <f t="shared" si="37"/>
        <v>0</v>
      </c>
      <c r="R1374" s="285" t="s">
        <v>10362</v>
      </c>
      <c r="S1374" s="14">
        <v>44090</v>
      </c>
      <c r="T1374" s="22" t="s">
        <v>10359</v>
      </c>
    </row>
    <row r="1375" spans="1:20" ht="61.5" customHeight="1" x14ac:dyDescent="0.2">
      <c r="A1375" s="289">
        <v>1412</v>
      </c>
      <c r="B1375" s="289" t="s">
        <v>10387</v>
      </c>
      <c r="C1375" s="289"/>
      <c r="D1375" s="9" t="s">
        <v>10386</v>
      </c>
      <c r="E1375" s="22" t="s">
        <v>9378</v>
      </c>
      <c r="F1375" s="9" t="s">
        <v>10388</v>
      </c>
      <c r="G1375" s="285" t="s">
        <v>7917</v>
      </c>
      <c r="H1375" s="285" t="s">
        <v>5127</v>
      </c>
      <c r="I1375" s="289"/>
      <c r="J1375" s="285" t="s">
        <v>3136</v>
      </c>
      <c r="K1375" s="15">
        <v>44173</v>
      </c>
      <c r="L1375" s="12" t="s">
        <v>10451</v>
      </c>
      <c r="M1375" s="15">
        <v>44162</v>
      </c>
      <c r="N1375" s="40">
        <v>6</v>
      </c>
      <c r="O1375" s="63">
        <v>5700</v>
      </c>
      <c r="P1375" s="63">
        <v>5700</v>
      </c>
      <c r="Q1375" s="40">
        <f t="shared" si="37"/>
        <v>0</v>
      </c>
      <c r="R1375" s="285" t="s">
        <v>10362</v>
      </c>
      <c r="S1375" s="14">
        <v>44090</v>
      </c>
      <c r="T1375" s="22" t="s">
        <v>10359</v>
      </c>
    </row>
    <row r="1376" spans="1:20" ht="45" customHeight="1" x14ac:dyDescent="0.2">
      <c r="A1376" s="289">
        <v>1413</v>
      </c>
      <c r="B1376" s="289" t="s">
        <v>10389</v>
      </c>
      <c r="C1376" s="289"/>
      <c r="D1376" s="9" t="s">
        <v>10390</v>
      </c>
      <c r="E1376" s="22" t="s">
        <v>9378</v>
      </c>
      <c r="F1376" s="9" t="s">
        <v>10391</v>
      </c>
      <c r="G1376" s="285" t="s">
        <v>7917</v>
      </c>
      <c r="H1376" s="285" t="s">
        <v>5127</v>
      </c>
      <c r="I1376" s="289"/>
      <c r="J1376" s="285" t="s">
        <v>3136</v>
      </c>
      <c r="K1376" s="15">
        <v>44173</v>
      </c>
      <c r="L1376" s="12" t="s">
        <v>10451</v>
      </c>
      <c r="M1376" s="15">
        <v>44162</v>
      </c>
      <c r="N1376" s="40">
        <v>7</v>
      </c>
      <c r="O1376" s="63">
        <v>14000</v>
      </c>
      <c r="P1376" s="63">
        <v>14000</v>
      </c>
      <c r="Q1376" s="40">
        <f t="shared" si="37"/>
        <v>0</v>
      </c>
      <c r="R1376" s="285" t="s">
        <v>10362</v>
      </c>
      <c r="S1376" s="14">
        <v>44090</v>
      </c>
      <c r="T1376" s="22" t="s">
        <v>10359</v>
      </c>
    </row>
    <row r="1377" spans="1:20" ht="114" customHeight="1" x14ac:dyDescent="0.2">
      <c r="A1377" s="289">
        <v>1414</v>
      </c>
      <c r="B1377" s="289" t="s">
        <v>10392</v>
      </c>
      <c r="C1377" s="289"/>
      <c r="D1377" s="9" t="s">
        <v>10393</v>
      </c>
      <c r="E1377" s="22" t="s">
        <v>9378</v>
      </c>
      <c r="F1377" s="9"/>
      <c r="G1377" s="285" t="s">
        <v>7917</v>
      </c>
      <c r="H1377" s="285" t="s">
        <v>5127</v>
      </c>
      <c r="I1377" s="289"/>
      <c r="J1377" s="285" t="s">
        <v>3136</v>
      </c>
      <c r="K1377" s="15">
        <v>44173</v>
      </c>
      <c r="L1377" s="12" t="s">
        <v>10451</v>
      </c>
      <c r="M1377" s="15">
        <v>44162</v>
      </c>
      <c r="N1377" s="40">
        <v>1</v>
      </c>
      <c r="O1377" s="63">
        <v>14042.92</v>
      </c>
      <c r="P1377" s="63">
        <v>14042.92</v>
      </c>
      <c r="Q1377" s="40">
        <f t="shared" si="37"/>
        <v>0</v>
      </c>
      <c r="R1377" s="285" t="s">
        <v>10362</v>
      </c>
      <c r="S1377" s="14">
        <v>44090</v>
      </c>
      <c r="T1377" s="22" t="s">
        <v>10359</v>
      </c>
    </row>
    <row r="1378" spans="1:20" ht="31.5" customHeight="1" x14ac:dyDescent="0.2">
      <c r="A1378" s="289">
        <v>1415</v>
      </c>
      <c r="B1378" s="289" t="s">
        <v>10394</v>
      </c>
      <c r="C1378" s="289"/>
      <c r="D1378" s="9" t="s">
        <v>10395</v>
      </c>
      <c r="E1378" s="22" t="s">
        <v>9378</v>
      </c>
      <c r="F1378" s="9" t="s">
        <v>10396</v>
      </c>
      <c r="G1378" s="285" t="s">
        <v>7917</v>
      </c>
      <c r="H1378" s="285" t="s">
        <v>5127</v>
      </c>
      <c r="I1378" s="289"/>
      <c r="J1378" s="285" t="s">
        <v>3136</v>
      </c>
      <c r="K1378" s="15">
        <v>44173</v>
      </c>
      <c r="L1378" s="12" t="s">
        <v>10451</v>
      </c>
      <c r="M1378" s="15">
        <v>44162</v>
      </c>
      <c r="N1378" s="40">
        <v>1</v>
      </c>
      <c r="O1378" s="63">
        <v>3750</v>
      </c>
      <c r="P1378" s="63">
        <v>3750</v>
      </c>
      <c r="Q1378" s="40">
        <f t="shared" si="37"/>
        <v>0</v>
      </c>
      <c r="R1378" s="285" t="s">
        <v>10362</v>
      </c>
      <c r="S1378" s="14">
        <v>44090</v>
      </c>
      <c r="T1378" s="22" t="s">
        <v>10359</v>
      </c>
    </row>
    <row r="1379" spans="1:20" ht="42" customHeight="1" x14ac:dyDescent="0.2">
      <c r="A1379" s="289">
        <v>1416</v>
      </c>
      <c r="B1379" s="289" t="s">
        <v>10397</v>
      </c>
      <c r="C1379" s="289"/>
      <c r="D1379" s="9" t="s">
        <v>10400</v>
      </c>
      <c r="E1379" s="22" t="s">
        <v>9378</v>
      </c>
      <c r="F1379" s="9"/>
      <c r="G1379" s="285" t="s">
        <v>7917</v>
      </c>
      <c r="H1379" s="285" t="s">
        <v>5127</v>
      </c>
      <c r="I1379" s="289"/>
      <c r="J1379" s="285" t="s">
        <v>3136</v>
      </c>
      <c r="K1379" s="15">
        <v>44173</v>
      </c>
      <c r="L1379" s="12" t="s">
        <v>10451</v>
      </c>
      <c r="M1379" s="15">
        <v>44162</v>
      </c>
      <c r="N1379" s="40">
        <v>3</v>
      </c>
      <c r="O1379" s="63">
        <v>5607</v>
      </c>
      <c r="P1379" s="63">
        <v>5607</v>
      </c>
      <c r="Q1379" s="40">
        <f t="shared" ref="Q1379:Q1393" si="38">O1379-P1379</f>
        <v>0</v>
      </c>
      <c r="R1379" s="285" t="s">
        <v>10362</v>
      </c>
      <c r="S1379" s="14">
        <v>44090</v>
      </c>
      <c r="T1379" s="22" t="s">
        <v>10359</v>
      </c>
    </row>
    <row r="1380" spans="1:20" ht="42" customHeight="1" x14ac:dyDescent="0.2">
      <c r="A1380" s="289">
        <v>1417</v>
      </c>
      <c r="B1380" s="289" t="s">
        <v>10403</v>
      </c>
      <c r="C1380" s="289"/>
      <c r="D1380" s="9" t="s">
        <v>10404</v>
      </c>
      <c r="E1380" s="22" t="s">
        <v>9378</v>
      </c>
      <c r="F1380" s="9"/>
      <c r="G1380" s="285" t="s">
        <v>7917</v>
      </c>
      <c r="H1380" s="285" t="s">
        <v>5127</v>
      </c>
      <c r="I1380" s="289"/>
      <c r="J1380" s="285" t="s">
        <v>3136</v>
      </c>
      <c r="K1380" s="15">
        <v>44173</v>
      </c>
      <c r="L1380" s="12" t="s">
        <v>10451</v>
      </c>
      <c r="M1380" s="15">
        <v>44162</v>
      </c>
      <c r="N1380" s="40">
        <v>5</v>
      </c>
      <c r="O1380" s="63">
        <v>750</v>
      </c>
      <c r="P1380" s="63">
        <v>750</v>
      </c>
      <c r="Q1380" s="40">
        <f t="shared" si="38"/>
        <v>0</v>
      </c>
      <c r="R1380" s="285" t="s">
        <v>10362</v>
      </c>
      <c r="S1380" s="14">
        <v>44090</v>
      </c>
      <c r="T1380" s="22" t="s">
        <v>10359</v>
      </c>
    </row>
    <row r="1381" spans="1:20" ht="29.25" customHeight="1" x14ac:dyDescent="0.2">
      <c r="A1381" s="289">
        <v>1418</v>
      </c>
      <c r="B1381" s="289" t="s">
        <v>10405</v>
      </c>
      <c r="C1381" s="289"/>
      <c r="D1381" s="9" t="s">
        <v>10406</v>
      </c>
      <c r="E1381" s="22" t="s">
        <v>9378</v>
      </c>
      <c r="F1381" s="9"/>
      <c r="G1381" s="285" t="s">
        <v>7917</v>
      </c>
      <c r="H1381" s="285" t="s">
        <v>5127</v>
      </c>
      <c r="I1381" s="289"/>
      <c r="J1381" s="285" t="s">
        <v>3136</v>
      </c>
      <c r="K1381" s="15">
        <v>44173</v>
      </c>
      <c r="L1381" s="12" t="s">
        <v>10451</v>
      </c>
      <c r="M1381" s="15">
        <v>44162</v>
      </c>
      <c r="N1381" s="40">
        <v>2</v>
      </c>
      <c r="O1381" s="63">
        <v>1451.48</v>
      </c>
      <c r="P1381" s="63">
        <v>1451.48</v>
      </c>
      <c r="Q1381" s="40">
        <f t="shared" si="38"/>
        <v>0</v>
      </c>
      <c r="R1381" s="285" t="s">
        <v>10362</v>
      </c>
      <c r="S1381" s="14">
        <v>44090</v>
      </c>
      <c r="T1381" s="22" t="s">
        <v>10359</v>
      </c>
    </row>
    <row r="1382" spans="1:20" ht="29.25" customHeight="1" x14ac:dyDescent="0.2">
      <c r="A1382" s="289">
        <v>1419</v>
      </c>
      <c r="B1382" s="289" t="s">
        <v>10407</v>
      </c>
      <c r="C1382" s="289"/>
      <c r="D1382" s="9" t="s">
        <v>10408</v>
      </c>
      <c r="E1382" s="22" t="s">
        <v>9378</v>
      </c>
      <c r="F1382" s="9"/>
      <c r="G1382" s="285" t="s">
        <v>7917</v>
      </c>
      <c r="H1382" s="285" t="s">
        <v>5127</v>
      </c>
      <c r="I1382" s="289"/>
      <c r="J1382" s="285" t="s">
        <v>3136</v>
      </c>
      <c r="K1382" s="15">
        <v>44173</v>
      </c>
      <c r="L1382" s="12" t="s">
        <v>10451</v>
      </c>
      <c r="M1382" s="15">
        <v>44162</v>
      </c>
      <c r="N1382" s="40">
        <v>3</v>
      </c>
      <c r="O1382" s="63">
        <v>6234.99</v>
      </c>
      <c r="P1382" s="63">
        <v>6234.99</v>
      </c>
      <c r="Q1382" s="40">
        <f t="shared" si="38"/>
        <v>0</v>
      </c>
      <c r="R1382" s="285" t="s">
        <v>10362</v>
      </c>
      <c r="S1382" s="14">
        <v>44090</v>
      </c>
      <c r="T1382" s="22" t="s">
        <v>10359</v>
      </c>
    </row>
    <row r="1383" spans="1:20" ht="39.75" customHeight="1" x14ac:dyDescent="0.2">
      <c r="A1383" s="289">
        <v>1420</v>
      </c>
      <c r="B1383" s="289" t="s">
        <v>10409</v>
      </c>
      <c r="C1383" s="289"/>
      <c r="D1383" s="9" t="s">
        <v>10412</v>
      </c>
      <c r="E1383" s="22" t="s">
        <v>9378</v>
      </c>
      <c r="F1383" s="9"/>
      <c r="G1383" s="285" t="s">
        <v>7917</v>
      </c>
      <c r="H1383" s="285" t="s">
        <v>5127</v>
      </c>
      <c r="I1383" s="289"/>
      <c r="J1383" s="285" t="s">
        <v>3136</v>
      </c>
      <c r="K1383" s="15">
        <v>44173</v>
      </c>
      <c r="L1383" s="12" t="s">
        <v>10451</v>
      </c>
      <c r="M1383" s="15">
        <v>44162</v>
      </c>
      <c r="N1383" s="40">
        <v>1</v>
      </c>
      <c r="O1383" s="63">
        <v>916.64</v>
      </c>
      <c r="P1383" s="63">
        <v>916.64</v>
      </c>
      <c r="Q1383" s="40">
        <f t="shared" si="38"/>
        <v>0</v>
      </c>
      <c r="R1383" s="285" t="s">
        <v>10362</v>
      </c>
      <c r="S1383" s="14">
        <v>44090</v>
      </c>
      <c r="T1383" s="22" t="s">
        <v>10359</v>
      </c>
    </row>
    <row r="1384" spans="1:20" ht="34.5" customHeight="1" x14ac:dyDescent="0.2">
      <c r="A1384" s="289">
        <v>1421</v>
      </c>
      <c r="B1384" s="289" t="s">
        <v>10413</v>
      </c>
      <c r="C1384" s="289"/>
      <c r="D1384" s="9" t="s">
        <v>10414</v>
      </c>
      <c r="E1384" s="22" t="s">
        <v>9378</v>
      </c>
      <c r="F1384" s="9"/>
      <c r="G1384" s="285" t="s">
        <v>7917</v>
      </c>
      <c r="H1384" s="285" t="s">
        <v>5127</v>
      </c>
      <c r="I1384" s="289"/>
      <c r="J1384" s="285" t="s">
        <v>3136</v>
      </c>
      <c r="K1384" s="15">
        <v>44173</v>
      </c>
      <c r="L1384" s="12" t="s">
        <v>10451</v>
      </c>
      <c r="M1384" s="15">
        <v>44162</v>
      </c>
      <c r="N1384" s="40">
        <v>1</v>
      </c>
      <c r="O1384" s="63">
        <v>1330</v>
      </c>
      <c r="P1384" s="63">
        <v>1330</v>
      </c>
      <c r="Q1384" s="40">
        <f t="shared" si="38"/>
        <v>0</v>
      </c>
      <c r="R1384" s="285" t="s">
        <v>10362</v>
      </c>
      <c r="S1384" s="14">
        <v>44090</v>
      </c>
      <c r="T1384" s="22" t="s">
        <v>10359</v>
      </c>
    </row>
    <row r="1385" spans="1:20" ht="53.25" customHeight="1" x14ac:dyDescent="0.2">
      <c r="A1385" s="289">
        <v>1422</v>
      </c>
      <c r="B1385" s="289" t="s">
        <v>10415</v>
      </c>
      <c r="C1385" s="289"/>
      <c r="D1385" s="9" t="s">
        <v>10416</v>
      </c>
      <c r="E1385" s="22" t="s">
        <v>9378</v>
      </c>
      <c r="F1385" s="9"/>
      <c r="G1385" s="285" t="s">
        <v>7917</v>
      </c>
      <c r="H1385" s="285" t="s">
        <v>5127</v>
      </c>
      <c r="I1385" s="289"/>
      <c r="J1385" s="285" t="s">
        <v>3136</v>
      </c>
      <c r="K1385" s="15">
        <v>44173</v>
      </c>
      <c r="L1385" s="12" t="s">
        <v>10451</v>
      </c>
      <c r="M1385" s="15">
        <v>44162</v>
      </c>
      <c r="N1385" s="40">
        <v>1</v>
      </c>
      <c r="O1385" s="63">
        <v>6743.49</v>
      </c>
      <c r="P1385" s="63">
        <v>6743.49</v>
      </c>
      <c r="Q1385" s="40">
        <f t="shared" si="38"/>
        <v>0</v>
      </c>
      <c r="R1385" s="285" t="s">
        <v>10362</v>
      </c>
      <c r="S1385" s="14">
        <v>44090</v>
      </c>
      <c r="T1385" s="22" t="s">
        <v>10359</v>
      </c>
    </row>
    <row r="1386" spans="1:20" ht="53.25" customHeight="1" x14ac:dyDescent="0.2">
      <c r="A1386" s="289">
        <v>1423</v>
      </c>
      <c r="B1386" s="289" t="s">
        <v>10417</v>
      </c>
      <c r="C1386" s="289"/>
      <c r="D1386" s="9" t="s">
        <v>10418</v>
      </c>
      <c r="E1386" s="22" t="s">
        <v>9378</v>
      </c>
      <c r="F1386" s="9"/>
      <c r="G1386" s="285" t="s">
        <v>7917</v>
      </c>
      <c r="H1386" s="285" t="s">
        <v>5127</v>
      </c>
      <c r="I1386" s="289"/>
      <c r="J1386" s="285" t="s">
        <v>3136</v>
      </c>
      <c r="K1386" s="15">
        <v>44173</v>
      </c>
      <c r="L1386" s="12" t="s">
        <v>10451</v>
      </c>
      <c r="M1386" s="15">
        <v>44162</v>
      </c>
      <c r="N1386" s="40">
        <v>1</v>
      </c>
      <c r="O1386" s="63">
        <v>1209</v>
      </c>
      <c r="P1386" s="63">
        <v>1209</v>
      </c>
      <c r="Q1386" s="40">
        <f t="shared" si="38"/>
        <v>0</v>
      </c>
      <c r="R1386" s="285" t="s">
        <v>10362</v>
      </c>
      <c r="S1386" s="14">
        <v>44090</v>
      </c>
      <c r="T1386" s="22" t="s">
        <v>10359</v>
      </c>
    </row>
    <row r="1387" spans="1:20" ht="63" customHeight="1" x14ac:dyDescent="0.2">
      <c r="A1387" s="289">
        <v>1424</v>
      </c>
      <c r="B1387" s="289" t="s">
        <v>10419</v>
      </c>
      <c r="C1387" s="289"/>
      <c r="D1387" s="9" t="s">
        <v>10420</v>
      </c>
      <c r="E1387" s="22" t="s">
        <v>9378</v>
      </c>
      <c r="F1387" s="9"/>
      <c r="G1387" s="285" t="s">
        <v>7917</v>
      </c>
      <c r="H1387" s="285" t="s">
        <v>5127</v>
      </c>
      <c r="I1387" s="289"/>
      <c r="J1387" s="285" t="s">
        <v>3136</v>
      </c>
      <c r="K1387" s="15">
        <v>44173</v>
      </c>
      <c r="L1387" s="12" t="s">
        <v>10451</v>
      </c>
      <c r="M1387" s="15">
        <v>44162</v>
      </c>
      <c r="N1387" s="40">
        <v>1</v>
      </c>
      <c r="O1387" s="63">
        <v>280.14999999999998</v>
      </c>
      <c r="P1387" s="63">
        <v>280.14999999999998</v>
      </c>
      <c r="Q1387" s="40">
        <f t="shared" si="38"/>
        <v>0</v>
      </c>
      <c r="R1387" s="285" t="s">
        <v>10362</v>
      </c>
      <c r="S1387" s="14">
        <v>44090</v>
      </c>
      <c r="T1387" s="22" t="s">
        <v>10359</v>
      </c>
    </row>
    <row r="1388" spans="1:20" ht="43.5" customHeight="1" x14ac:dyDescent="0.2">
      <c r="A1388" s="289">
        <v>1425</v>
      </c>
      <c r="B1388" s="289" t="s">
        <v>10422</v>
      </c>
      <c r="C1388" s="289"/>
      <c r="D1388" s="9" t="s">
        <v>10421</v>
      </c>
      <c r="E1388" s="22" t="s">
        <v>9378</v>
      </c>
      <c r="F1388" s="9"/>
      <c r="G1388" s="285" t="s">
        <v>7917</v>
      </c>
      <c r="H1388" s="285" t="s">
        <v>5127</v>
      </c>
      <c r="I1388" s="289"/>
      <c r="J1388" s="285" t="s">
        <v>3136</v>
      </c>
      <c r="K1388" s="15">
        <v>44173</v>
      </c>
      <c r="L1388" s="12" t="s">
        <v>10451</v>
      </c>
      <c r="M1388" s="15">
        <v>44162</v>
      </c>
      <c r="N1388" s="40">
        <v>1</v>
      </c>
      <c r="O1388" s="63">
        <v>1718.01</v>
      </c>
      <c r="P1388" s="63">
        <v>1718.01</v>
      </c>
      <c r="Q1388" s="40">
        <f t="shared" si="38"/>
        <v>0</v>
      </c>
      <c r="R1388" s="285" t="s">
        <v>10362</v>
      </c>
      <c r="S1388" s="14">
        <v>44090</v>
      </c>
      <c r="T1388" s="22" t="s">
        <v>10359</v>
      </c>
    </row>
    <row r="1389" spans="1:20" ht="66" customHeight="1" x14ac:dyDescent="0.2">
      <c r="A1389" s="289">
        <v>1426</v>
      </c>
      <c r="B1389" s="289" t="s">
        <v>10423</v>
      </c>
      <c r="C1389" s="289"/>
      <c r="D1389" s="9" t="s">
        <v>10428</v>
      </c>
      <c r="E1389" s="22" t="s">
        <v>9378</v>
      </c>
      <c r="F1389" s="9"/>
      <c r="G1389" s="285" t="s">
        <v>7917</v>
      </c>
      <c r="H1389" s="285" t="s">
        <v>5127</v>
      </c>
      <c r="I1389" s="289"/>
      <c r="J1389" s="285" t="s">
        <v>3136</v>
      </c>
      <c r="K1389" s="15">
        <v>44173</v>
      </c>
      <c r="L1389" s="12" t="s">
        <v>10451</v>
      </c>
      <c r="M1389" s="15">
        <v>44162</v>
      </c>
      <c r="N1389" s="40">
        <v>1</v>
      </c>
      <c r="O1389" s="63">
        <v>328.93</v>
      </c>
      <c r="P1389" s="63">
        <v>328.93</v>
      </c>
      <c r="Q1389" s="40">
        <f t="shared" si="38"/>
        <v>0</v>
      </c>
      <c r="R1389" s="285" t="s">
        <v>10362</v>
      </c>
      <c r="S1389" s="14">
        <v>44090</v>
      </c>
      <c r="T1389" s="22" t="s">
        <v>10359</v>
      </c>
    </row>
    <row r="1390" spans="1:20" ht="38.25" customHeight="1" x14ac:dyDescent="0.2">
      <c r="A1390" s="289">
        <v>1427</v>
      </c>
      <c r="B1390" s="30" t="s">
        <v>10429</v>
      </c>
      <c r="C1390" s="289"/>
      <c r="D1390" s="46" t="s">
        <v>10430</v>
      </c>
      <c r="E1390" s="119" t="s">
        <v>9378</v>
      </c>
      <c r="F1390" s="46"/>
      <c r="G1390" s="285" t="s">
        <v>7917</v>
      </c>
      <c r="H1390" s="285" t="s">
        <v>5127</v>
      </c>
      <c r="I1390" s="289"/>
      <c r="J1390" s="285" t="s">
        <v>3136</v>
      </c>
      <c r="K1390" s="15">
        <v>44173</v>
      </c>
      <c r="L1390" s="12" t="s">
        <v>10451</v>
      </c>
      <c r="M1390" s="15">
        <v>44162</v>
      </c>
      <c r="N1390" s="40">
        <v>4</v>
      </c>
      <c r="O1390" s="63">
        <v>302.39999999999998</v>
      </c>
      <c r="P1390" s="63">
        <v>302.39999999999998</v>
      </c>
      <c r="Q1390" s="40">
        <f t="shared" si="38"/>
        <v>0</v>
      </c>
      <c r="R1390" s="285" t="s">
        <v>10362</v>
      </c>
      <c r="S1390" s="14">
        <v>44090</v>
      </c>
      <c r="T1390" s="22" t="s">
        <v>10359</v>
      </c>
    </row>
    <row r="1391" spans="1:20" ht="41.25" customHeight="1" x14ac:dyDescent="0.2">
      <c r="A1391" s="289">
        <v>1428</v>
      </c>
      <c r="B1391" s="289" t="s">
        <v>10431</v>
      </c>
      <c r="C1391" s="289"/>
      <c r="D1391" s="9" t="s">
        <v>10432</v>
      </c>
      <c r="E1391" s="22" t="s">
        <v>9378</v>
      </c>
      <c r="F1391" s="9"/>
      <c r="G1391" s="285" t="s">
        <v>7917</v>
      </c>
      <c r="H1391" s="285" t="s">
        <v>5127</v>
      </c>
      <c r="I1391" s="289"/>
      <c r="J1391" s="285" t="s">
        <v>3136</v>
      </c>
      <c r="K1391" s="15">
        <v>44173</v>
      </c>
      <c r="L1391" s="12" t="s">
        <v>10451</v>
      </c>
      <c r="M1391" s="15">
        <v>44162</v>
      </c>
      <c r="N1391" s="40">
        <v>1</v>
      </c>
      <c r="O1391" s="63">
        <v>55.69</v>
      </c>
      <c r="P1391" s="63">
        <v>55.69</v>
      </c>
      <c r="Q1391" s="40">
        <f t="shared" si="38"/>
        <v>0</v>
      </c>
      <c r="R1391" s="285" t="s">
        <v>10362</v>
      </c>
      <c r="S1391" s="14">
        <v>44090</v>
      </c>
      <c r="T1391" s="22" t="s">
        <v>10359</v>
      </c>
    </row>
    <row r="1392" spans="1:20" ht="27" customHeight="1" x14ac:dyDescent="0.2">
      <c r="A1392" s="289">
        <v>1429</v>
      </c>
      <c r="B1392" s="289" t="s">
        <v>10433</v>
      </c>
      <c r="C1392" s="289"/>
      <c r="D1392" s="9" t="s">
        <v>10434</v>
      </c>
      <c r="E1392" s="22" t="s">
        <v>9378</v>
      </c>
      <c r="F1392" s="9"/>
      <c r="G1392" s="285" t="s">
        <v>7917</v>
      </c>
      <c r="H1392" s="285" t="s">
        <v>5127</v>
      </c>
      <c r="I1392" s="289"/>
      <c r="J1392" s="285" t="s">
        <v>3136</v>
      </c>
      <c r="K1392" s="15">
        <v>44173</v>
      </c>
      <c r="L1392" s="12" t="s">
        <v>10451</v>
      </c>
      <c r="M1392" s="15">
        <v>44162</v>
      </c>
      <c r="N1392" s="40">
        <v>1</v>
      </c>
      <c r="O1392" s="63">
        <v>1263.51</v>
      </c>
      <c r="P1392" s="63">
        <v>1263.51</v>
      </c>
      <c r="Q1392" s="40">
        <f t="shared" si="38"/>
        <v>0</v>
      </c>
      <c r="R1392" s="285" t="s">
        <v>10362</v>
      </c>
      <c r="S1392" s="14">
        <v>44090</v>
      </c>
      <c r="T1392" s="22" t="s">
        <v>10359</v>
      </c>
    </row>
    <row r="1393" spans="1:20" ht="74.25" customHeight="1" x14ac:dyDescent="0.2">
      <c r="A1393" s="289">
        <v>1430</v>
      </c>
      <c r="B1393" s="289" t="s">
        <v>10437</v>
      </c>
      <c r="C1393" s="289"/>
      <c r="D1393" s="9" t="s">
        <v>10438</v>
      </c>
      <c r="E1393" s="22" t="s">
        <v>9378</v>
      </c>
      <c r="F1393" s="9"/>
      <c r="G1393" s="285" t="s">
        <v>7983</v>
      </c>
      <c r="H1393" s="285" t="s">
        <v>5127</v>
      </c>
      <c r="I1393" s="289"/>
      <c r="J1393" s="285" t="s">
        <v>3136</v>
      </c>
      <c r="K1393" s="15">
        <v>44173</v>
      </c>
      <c r="L1393" s="12" t="s">
        <v>10455</v>
      </c>
      <c r="M1393" s="15">
        <v>44169</v>
      </c>
      <c r="N1393" s="40">
        <v>1</v>
      </c>
      <c r="O1393" s="63">
        <v>17300</v>
      </c>
      <c r="P1393" s="63">
        <v>17300</v>
      </c>
      <c r="Q1393" s="40">
        <f t="shared" si="38"/>
        <v>0</v>
      </c>
      <c r="R1393" s="285" t="s">
        <v>10456</v>
      </c>
      <c r="S1393" s="14">
        <v>44169</v>
      </c>
      <c r="T1393" s="14" t="s">
        <v>10457</v>
      </c>
    </row>
    <row r="1394" spans="1:20" ht="60" customHeight="1" x14ac:dyDescent="0.2">
      <c r="A1394" s="289">
        <v>1431</v>
      </c>
      <c r="B1394" s="289" t="s">
        <v>10458</v>
      </c>
      <c r="C1394" s="289"/>
      <c r="D1394" s="9" t="s">
        <v>10459</v>
      </c>
      <c r="E1394" s="22" t="s">
        <v>9378</v>
      </c>
      <c r="F1394" s="9" t="s">
        <v>10460</v>
      </c>
      <c r="G1394" s="285" t="s">
        <v>7934</v>
      </c>
      <c r="H1394" s="285" t="s">
        <v>5127</v>
      </c>
      <c r="I1394" s="289"/>
      <c r="J1394" s="285" t="s">
        <v>10461</v>
      </c>
      <c r="K1394" s="15">
        <v>44175</v>
      </c>
      <c r="L1394" s="12" t="s">
        <v>10462</v>
      </c>
      <c r="M1394" s="15">
        <v>44159</v>
      </c>
      <c r="N1394" s="40">
        <v>1</v>
      </c>
      <c r="O1394" s="63">
        <v>20000</v>
      </c>
      <c r="P1394" s="63">
        <v>20000</v>
      </c>
      <c r="Q1394" s="40">
        <v>0</v>
      </c>
      <c r="R1394" s="285" t="s">
        <v>10463</v>
      </c>
      <c r="S1394" s="14">
        <v>44159</v>
      </c>
      <c r="T1394" s="285">
        <v>2920200102</v>
      </c>
    </row>
    <row r="1395" spans="1:20" ht="127.5" customHeight="1" x14ac:dyDescent="0.2">
      <c r="A1395" s="289">
        <v>1432</v>
      </c>
      <c r="B1395" s="289" t="s">
        <v>10468</v>
      </c>
      <c r="C1395" s="289"/>
      <c r="D1395" s="9" t="s">
        <v>10469</v>
      </c>
      <c r="E1395" s="22" t="s">
        <v>9378</v>
      </c>
      <c r="F1395" s="9" t="s">
        <v>10470</v>
      </c>
      <c r="G1395" s="285" t="s">
        <v>7983</v>
      </c>
      <c r="H1395" s="285" t="s">
        <v>5127</v>
      </c>
      <c r="I1395" s="289"/>
      <c r="J1395" s="285" t="s">
        <v>10461</v>
      </c>
      <c r="K1395" s="15">
        <v>44187</v>
      </c>
      <c r="L1395" s="12" t="s">
        <v>10497</v>
      </c>
      <c r="M1395" s="15">
        <v>44176</v>
      </c>
      <c r="N1395" s="40">
        <v>1</v>
      </c>
      <c r="O1395" s="63">
        <v>21000</v>
      </c>
      <c r="P1395" s="61">
        <v>21000</v>
      </c>
      <c r="Q1395" s="62">
        <f t="shared" ref="Q1395:Q1410" si="39">O1395-P1395</f>
        <v>0</v>
      </c>
      <c r="R1395" s="49" t="s">
        <v>10456</v>
      </c>
      <c r="S1395" s="14">
        <v>44176</v>
      </c>
      <c r="T1395" s="14" t="s">
        <v>10471</v>
      </c>
    </row>
    <row r="1396" spans="1:20" ht="70.5" customHeight="1" x14ac:dyDescent="0.2">
      <c r="A1396" s="289">
        <v>1433</v>
      </c>
      <c r="B1396" s="289" t="s">
        <v>10472</v>
      </c>
      <c r="C1396" s="289"/>
      <c r="D1396" s="9" t="s">
        <v>10473</v>
      </c>
      <c r="E1396" s="22" t="s">
        <v>9378</v>
      </c>
      <c r="F1396" s="9" t="s">
        <v>10473</v>
      </c>
      <c r="G1396" s="285" t="s">
        <v>7983</v>
      </c>
      <c r="H1396" s="285" t="s">
        <v>5127</v>
      </c>
      <c r="I1396" s="289"/>
      <c r="J1396" s="285" t="s">
        <v>10461</v>
      </c>
      <c r="K1396" s="15">
        <v>44187</v>
      </c>
      <c r="L1396" s="12" t="s">
        <v>10497</v>
      </c>
      <c r="M1396" s="15">
        <v>44176</v>
      </c>
      <c r="N1396" s="62">
        <v>1</v>
      </c>
      <c r="O1396" s="61">
        <v>13800</v>
      </c>
      <c r="P1396" s="61">
        <v>13800</v>
      </c>
      <c r="Q1396" s="62">
        <f t="shared" si="39"/>
        <v>0</v>
      </c>
      <c r="R1396" s="285" t="s">
        <v>10456</v>
      </c>
      <c r="S1396" s="14">
        <v>44176</v>
      </c>
      <c r="T1396" s="14" t="s">
        <v>10471</v>
      </c>
    </row>
    <row r="1397" spans="1:20" ht="39.75" customHeight="1" x14ac:dyDescent="0.2">
      <c r="A1397" s="289">
        <v>1434</v>
      </c>
      <c r="B1397" s="289" t="s">
        <v>10512</v>
      </c>
      <c r="C1397" s="289"/>
      <c r="D1397" s="9" t="s">
        <v>10513</v>
      </c>
      <c r="E1397" s="22" t="s">
        <v>10514</v>
      </c>
      <c r="F1397" s="9" t="s">
        <v>10552</v>
      </c>
      <c r="G1397" s="285" t="s">
        <v>7917</v>
      </c>
      <c r="H1397" s="285" t="s">
        <v>5127</v>
      </c>
      <c r="I1397" s="289"/>
      <c r="J1397" s="285" t="s">
        <v>10461</v>
      </c>
      <c r="K1397" s="15">
        <v>44193</v>
      </c>
      <c r="L1397" s="12" t="s">
        <v>10551</v>
      </c>
      <c r="M1397" s="15">
        <v>44176</v>
      </c>
      <c r="N1397" s="62">
        <v>1</v>
      </c>
      <c r="O1397" s="61">
        <v>27600</v>
      </c>
      <c r="P1397" s="61">
        <v>27600</v>
      </c>
      <c r="Q1397" s="62">
        <f t="shared" si="39"/>
        <v>0</v>
      </c>
      <c r="R1397" s="285" t="s">
        <v>10463</v>
      </c>
      <c r="S1397" s="14">
        <v>44174</v>
      </c>
      <c r="T1397" s="285">
        <v>16</v>
      </c>
    </row>
    <row r="1398" spans="1:20" ht="95.25" customHeight="1" x14ac:dyDescent="0.2">
      <c r="A1398" s="289">
        <v>1435</v>
      </c>
      <c r="B1398" s="289" t="s">
        <v>10526</v>
      </c>
      <c r="C1398" s="289"/>
      <c r="D1398" s="9" t="s">
        <v>10574</v>
      </c>
      <c r="E1398" s="22" t="s">
        <v>9378</v>
      </c>
      <c r="F1398" s="9" t="s">
        <v>10573</v>
      </c>
      <c r="G1398" s="285" t="s">
        <v>7977</v>
      </c>
      <c r="H1398" s="285" t="s">
        <v>5127</v>
      </c>
      <c r="I1398" s="289"/>
      <c r="J1398" s="285" t="s">
        <v>10461</v>
      </c>
      <c r="K1398" s="15">
        <v>44193</v>
      </c>
      <c r="L1398" s="12" t="s">
        <v>10575</v>
      </c>
      <c r="M1398" s="15">
        <v>44160</v>
      </c>
      <c r="N1398" s="62">
        <v>1</v>
      </c>
      <c r="O1398" s="61">
        <v>18655</v>
      </c>
      <c r="P1398" s="61">
        <v>18655</v>
      </c>
      <c r="Q1398" s="62">
        <f t="shared" si="39"/>
        <v>0</v>
      </c>
      <c r="R1398" s="285" t="s">
        <v>10577</v>
      </c>
      <c r="S1398" s="14">
        <v>44160</v>
      </c>
      <c r="T1398" s="14" t="s">
        <v>10576</v>
      </c>
    </row>
    <row r="1399" spans="1:20" ht="93" customHeight="1" x14ac:dyDescent="0.2">
      <c r="A1399" s="289">
        <v>1436</v>
      </c>
      <c r="B1399" s="289" t="s">
        <v>10529</v>
      </c>
      <c r="C1399" s="289"/>
      <c r="D1399" s="9" t="s">
        <v>4443</v>
      </c>
      <c r="E1399" s="22" t="s">
        <v>9378</v>
      </c>
      <c r="F1399" s="9" t="s">
        <v>10533</v>
      </c>
      <c r="G1399" s="285" t="s">
        <v>7983</v>
      </c>
      <c r="H1399" s="285" t="s">
        <v>5127</v>
      </c>
      <c r="I1399" s="289"/>
      <c r="J1399" s="285" t="s">
        <v>10461</v>
      </c>
      <c r="K1399" s="15">
        <v>44194</v>
      </c>
      <c r="L1399" s="12" t="s">
        <v>10548</v>
      </c>
      <c r="M1399" s="15">
        <v>44190</v>
      </c>
      <c r="N1399" s="62">
        <v>4</v>
      </c>
      <c r="O1399" s="61">
        <v>47960</v>
      </c>
      <c r="P1399" s="61">
        <v>47960</v>
      </c>
      <c r="Q1399" s="62">
        <f t="shared" si="39"/>
        <v>0</v>
      </c>
      <c r="R1399" s="285" t="s">
        <v>10456</v>
      </c>
      <c r="S1399" s="14">
        <v>44188</v>
      </c>
      <c r="T1399" s="14" t="s">
        <v>10549</v>
      </c>
    </row>
    <row r="1400" spans="1:20" ht="66" customHeight="1" x14ac:dyDescent="0.2">
      <c r="A1400" s="289">
        <v>1437</v>
      </c>
      <c r="B1400" s="289" t="s">
        <v>10530</v>
      </c>
      <c r="C1400" s="289"/>
      <c r="D1400" s="9" t="s">
        <v>10534</v>
      </c>
      <c r="E1400" s="22" t="s">
        <v>9378</v>
      </c>
      <c r="F1400" s="9" t="s">
        <v>10535</v>
      </c>
      <c r="G1400" s="285" t="s">
        <v>7983</v>
      </c>
      <c r="H1400" s="285" t="s">
        <v>5127</v>
      </c>
      <c r="I1400" s="289"/>
      <c r="J1400" s="285" t="s">
        <v>10461</v>
      </c>
      <c r="K1400" s="15">
        <v>44194</v>
      </c>
      <c r="L1400" s="12" t="s">
        <v>10548</v>
      </c>
      <c r="M1400" s="15">
        <v>44190</v>
      </c>
      <c r="N1400" s="62">
        <v>2</v>
      </c>
      <c r="O1400" s="61">
        <v>25480</v>
      </c>
      <c r="P1400" s="61">
        <v>25480</v>
      </c>
      <c r="Q1400" s="62">
        <f t="shared" si="39"/>
        <v>0</v>
      </c>
      <c r="R1400" s="285" t="s">
        <v>10456</v>
      </c>
      <c r="S1400" s="14">
        <v>44188</v>
      </c>
      <c r="T1400" s="14" t="s">
        <v>10549</v>
      </c>
    </row>
    <row r="1401" spans="1:20" ht="63.75" customHeight="1" x14ac:dyDescent="0.2">
      <c r="A1401" s="289">
        <v>1438</v>
      </c>
      <c r="B1401" s="289" t="s">
        <v>10531</v>
      </c>
      <c r="C1401" s="289"/>
      <c r="D1401" s="9" t="s">
        <v>10536</v>
      </c>
      <c r="E1401" s="22" t="s">
        <v>9378</v>
      </c>
      <c r="F1401" s="27" t="s">
        <v>10537</v>
      </c>
      <c r="G1401" s="285" t="s">
        <v>7983</v>
      </c>
      <c r="H1401" s="285" t="s">
        <v>5127</v>
      </c>
      <c r="I1401" s="289"/>
      <c r="J1401" s="285" t="s">
        <v>10461</v>
      </c>
      <c r="K1401" s="15">
        <v>44194</v>
      </c>
      <c r="L1401" s="12" t="s">
        <v>10548</v>
      </c>
      <c r="M1401" s="15">
        <v>44190</v>
      </c>
      <c r="N1401" s="62">
        <v>1</v>
      </c>
      <c r="O1401" s="61">
        <v>13000</v>
      </c>
      <c r="P1401" s="61">
        <v>13000</v>
      </c>
      <c r="Q1401" s="62">
        <f t="shared" si="39"/>
        <v>0</v>
      </c>
      <c r="R1401" s="285" t="s">
        <v>10456</v>
      </c>
      <c r="S1401" s="14">
        <v>44188</v>
      </c>
      <c r="T1401" s="14" t="s">
        <v>10549</v>
      </c>
    </row>
    <row r="1402" spans="1:20" ht="67.5" customHeight="1" x14ac:dyDescent="0.2">
      <c r="A1402" s="289">
        <v>1439</v>
      </c>
      <c r="B1402" s="289" t="s">
        <v>10532</v>
      </c>
      <c r="C1402" s="289"/>
      <c r="D1402" s="9" t="s">
        <v>10538</v>
      </c>
      <c r="E1402" s="22" t="s">
        <v>9378</v>
      </c>
      <c r="F1402" s="27" t="s">
        <v>10539</v>
      </c>
      <c r="G1402" s="285" t="s">
        <v>7983</v>
      </c>
      <c r="H1402" s="285" t="s">
        <v>5127</v>
      </c>
      <c r="I1402" s="289"/>
      <c r="J1402" s="285" t="s">
        <v>10461</v>
      </c>
      <c r="K1402" s="15">
        <v>44194</v>
      </c>
      <c r="L1402" s="12" t="s">
        <v>10548</v>
      </c>
      <c r="M1402" s="15">
        <v>44190</v>
      </c>
      <c r="N1402" s="62">
        <v>1</v>
      </c>
      <c r="O1402" s="61">
        <v>11650</v>
      </c>
      <c r="P1402" s="61">
        <v>11650</v>
      </c>
      <c r="Q1402" s="62">
        <f t="shared" si="39"/>
        <v>0</v>
      </c>
      <c r="R1402" s="285" t="s">
        <v>10456</v>
      </c>
      <c r="S1402" s="14">
        <v>44188</v>
      </c>
      <c r="T1402" s="14" t="s">
        <v>10549</v>
      </c>
    </row>
    <row r="1403" spans="1:20" ht="67.5" customHeight="1" x14ac:dyDescent="0.2">
      <c r="A1403" s="289">
        <v>1440</v>
      </c>
      <c r="B1403" s="289" t="s">
        <v>10626</v>
      </c>
      <c r="C1403" s="18"/>
      <c r="D1403" s="9" t="s">
        <v>10627</v>
      </c>
      <c r="E1403" s="22" t="s">
        <v>9378</v>
      </c>
      <c r="F1403" s="27" t="s">
        <v>10632</v>
      </c>
      <c r="G1403" s="285" t="s">
        <v>7979</v>
      </c>
      <c r="H1403" s="285" t="s">
        <v>5127</v>
      </c>
      <c r="I1403" s="289"/>
      <c r="J1403" s="285" t="s">
        <v>10461</v>
      </c>
      <c r="K1403" s="14">
        <v>44224</v>
      </c>
      <c r="L1403" s="289">
        <v>46</v>
      </c>
      <c r="M1403" s="15">
        <v>44187</v>
      </c>
      <c r="N1403" s="40">
        <v>1</v>
      </c>
      <c r="O1403" s="63">
        <v>18200</v>
      </c>
      <c r="P1403" s="63">
        <v>18200</v>
      </c>
      <c r="Q1403" s="40">
        <f t="shared" si="39"/>
        <v>0</v>
      </c>
      <c r="R1403" s="285" t="s">
        <v>10456</v>
      </c>
      <c r="S1403" s="14">
        <v>44187</v>
      </c>
      <c r="T1403" s="14" t="s">
        <v>10628</v>
      </c>
    </row>
    <row r="1404" spans="1:20" ht="67.5" customHeight="1" x14ac:dyDescent="0.2">
      <c r="A1404" s="289">
        <v>1441</v>
      </c>
      <c r="B1404" s="289" t="s">
        <v>10633</v>
      </c>
      <c r="C1404" s="18"/>
      <c r="D1404" s="9" t="s">
        <v>10634</v>
      </c>
      <c r="E1404" s="22" t="s">
        <v>9378</v>
      </c>
      <c r="F1404" s="27" t="s">
        <v>10635</v>
      </c>
      <c r="G1404" s="285" t="s">
        <v>7979</v>
      </c>
      <c r="H1404" s="285" t="s">
        <v>5127</v>
      </c>
      <c r="I1404" s="289"/>
      <c r="J1404" s="285" t="s">
        <v>10461</v>
      </c>
      <c r="K1404" s="14">
        <v>44224</v>
      </c>
      <c r="L1404" s="289">
        <v>46</v>
      </c>
      <c r="M1404" s="15">
        <v>44187</v>
      </c>
      <c r="N1404" s="40">
        <v>1</v>
      </c>
      <c r="O1404" s="63">
        <v>34400</v>
      </c>
      <c r="P1404" s="63">
        <v>34400</v>
      </c>
      <c r="Q1404" s="40">
        <f t="shared" si="39"/>
        <v>0</v>
      </c>
      <c r="R1404" s="285" t="s">
        <v>10456</v>
      </c>
      <c r="S1404" s="14">
        <v>44187</v>
      </c>
      <c r="T1404" s="14" t="s">
        <v>10628</v>
      </c>
    </row>
    <row r="1405" spans="1:20" ht="67.5" customHeight="1" x14ac:dyDescent="0.2">
      <c r="A1405" s="289">
        <v>1442</v>
      </c>
      <c r="B1405" s="289" t="s">
        <v>10636</v>
      </c>
      <c r="C1405" s="18"/>
      <c r="D1405" s="9" t="s">
        <v>10637</v>
      </c>
      <c r="E1405" s="22" t="s">
        <v>9378</v>
      </c>
      <c r="F1405" s="27" t="s">
        <v>10640</v>
      </c>
      <c r="G1405" s="285" t="s">
        <v>7979</v>
      </c>
      <c r="H1405" s="285" t="s">
        <v>5127</v>
      </c>
      <c r="I1405" s="289"/>
      <c r="J1405" s="285" t="s">
        <v>10461</v>
      </c>
      <c r="K1405" s="14">
        <v>44224</v>
      </c>
      <c r="L1405" s="289">
        <v>46</v>
      </c>
      <c r="M1405" s="15">
        <v>44187</v>
      </c>
      <c r="N1405" s="62">
        <v>1</v>
      </c>
      <c r="O1405" s="61">
        <v>25000</v>
      </c>
      <c r="P1405" s="61">
        <v>25000</v>
      </c>
      <c r="Q1405" s="62">
        <f t="shared" si="39"/>
        <v>0</v>
      </c>
      <c r="R1405" s="285" t="s">
        <v>10456</v>
      </c>
      <c r="S1405" s="14">
        <v>44187</v>
      </c>
      <c r="T1405" s="14" t="s">
        <v>10628</v>
      </c>
    </row>
    <row r="1406" spans="1:20" ht="67.5" customHeight="1" x14ac:dyDescent="0.2">
      <c r="A1406" s="289">
        <v>1443</v>
      </c>
      <c r="B1406" s="289" t="s">
        <v>10638</v>
      </c>
      <c r="C1406" s="18"/>
      <c r="D1406" s="9" t="s">
        <v>10639</v>
      </c>
      <c r="E1406" s="22" t="s">
        <v>9378</v>
      </c>
      <c r="F1406" s="27" t="s">
        <v>10641</v>
      </c>
      <c r="G1406" s="285" t="s">
        <v>7979</v>
      </c>
      <c r="H1406" s="285" t="s">
        <v>5127</v>
      </c>
      <c r="I1406" s="289"/>
      <c r="J1406" s="285" t="s">
        <v>10461</v>
      </c>
      <c r="K1406" s="14">
        <v>44224</v>
      </c>
      <c r="L1406" s="289">
        <v>46</v>
      </c>
      <c r="M1406" s="15">
        <v>44187</v>
      </c>
      <c r="N1406" s="62">
        <v>1</v>
      </c>
      <c r="O1406" s="61">
        <v>20900</v>
      </c>
      <c r="P1406" s="61">
        <v>20900</v>
      </c>
      <c r="Q1406" s="62">
        <f t="shared" si="39"/>
        <v>0</v>
      </c>
      <c r="R1406" s="285" t="s">
        <v>10456</v>
      </c>
      <c r="S1406" s="14">
        <v>44187</v>
      </c>
      <c r="T1406" s="14" t="s">
        <v>10628</v>
      </c>
    </row>
    <row r="1407" spans="1:20" ht="67.5" customHeight="1" x14ac:dyDescent="0.2">
      <c r="A1407" s="289">
        <v>1444</v>
      </c>
      <c r="B1407" s="289" t="s">
        <v>10642</v>
      </c>
      <c r="C1407" s="18"/>
      <c r="D1407" s="9" t="s">
        <v>10643</v>
      </c>
      <c r="E1407" s="22" t="s">
        <v>9378</v>
      </c>
      <c r="F1407" s="27" t="s">
        <v>10644</v>
      </c>
      <c r="G1407" s="285" t="s">
        <v>7979</v>
      </c>
      <c r="H1407" s="285" t="s">
        <v>5127</v>
      </c>
      <c r="I1407" s="289"/>
      <c r="J1407" s="285" t="s">
        <v>10461</v>
      </c>
      <c r="K1407" s="14">
        <v>44224</v>
      </c>
      <c r="L1407" s="289">
        <v>46</v>
      </c>
      <c r="M1407" s="15">
        <v>44187</v>
      </c>
      <c r="N1407" s="40">
        <v>1</v>
      </c>
      <c r="O1407" s="63">
        <v>20800</v>
      </c>
      <c r="P1407" s="63">
        <v>20800</v>
      </c>
      <c r="Q1407" s="40">
        <f t="shared" si="39"/>
        <v>0</v>
      </c>
      <c r="R1407" s="285" t="s">
        <v>10456</v>
      </c>
      <c r="S1407" s="14">
        <v>44187</v>
      </c>
      <c r="T1407" s="14" t="s">
        <v>10628</v>
      </c>
    </row>
    <row r="1408" spans="1:20" ht="67.5" customHeight="1" x14ac:dyDescent="0.2">
      <c r="A1408" s="289">
        <v>1445</v>
      </c>
      <c r="B1408" s="289" t="s">
        <v>10645</v>
      </c>
      <c r="C1408" s="18"/>
      <c r="D1408" s="9" t="s">
        <v>10646</v>
      </c>
      <c r="E1408" s="22" t="s">
        <v>9378</v>
      </c>
      <c r="F1408" s="27" t="s">
        <v>10647</v>
      </c>
      <c r="G1408" s="285" t="s">
        <v>7979</v>
      </c>
      <c r="H1408" s="285" t="s">
        <v>5127</v>
      </c>
      <c r="I1408" s="289"/>
      <c r="J1408" s="285" t="s">
        <v>10461</v>
      </c>
      <c r="K1408" s="14">
        <v>44224</v>
      </c>
      <c r="L1408" s="289">
        <v>46</v>
      </c>
      <c r="M1408" s="15">
        <v>44187</v>
      </c>
      <c r="N1408" s="40">
        <v>1</v>
      </c>
      <c r="O1408" s="63">
        <v>26900</v>
      </c>
      <c r="P1408" s="63">
        <v>26900</v>
      </c>
      <c r="Q1408" s="40">
        <f t="shared" si="39"/>
        <v>0</v>
      </c>
      <c r="R1408" s="285" t="s">
        <v>10456</v>
      </c>
      <c r="S1408" s="14">
        <v>44187</v>
      </c>
      <c r="T1408" s="14" t="s">
        <v>10628</v>
      </c>
    </row>
    <row r="1409" spans="1:20" ht="148.5" customHeight="1" x14ac:dyDescent="0.2">
      <c r="A1409" s="289">
        <v>1446</v>
      </c>
      <c r="B1409" s="289" t="s">
        <v>10648</v>
      </c>
      <c r="C1409" s="18"/>
      <c r="D1409" s="9" t="s">
        <v>10649</v>
      </c>
      <c r="E1409" s="22" t="s">
        <v>9378</v>
      </c>
      <c r="F1409" s="27" t="s">
        <v>10650</v>
      </c>
      <c r="G1409" s="285" t="s">
        <v>8293</v>
      </c>
      <c r="H1409" s="285" t="s">
        <v>5127</v>
      </c>
      <c r="I1409" s="289"/>
      <c r="J1409" s="285" t="s">
        <v>10461</v>
      </c>
      <c r="K1409" s="14">
        <v>44228</v>
      </c>
      <c r="L1409" s="289" t="s">
        <v>10673</v>
      </c>
      <c r="M1409" s="15">
        <v>44172</v>
      </c>
      <c r="N1409" s="40">
        <v>1</v>
      </c>
      <c r="O1409" s="63">
        <v>37000</v>
      </c>
      <c r="P1409" s="63">
        <v>37000</v>
      </c>
      <c r="Q1409" s="40">
        <f t="shared" si="39"/>
        <v>0</v>
      </c>
      <c r="R1409" s="285" t="s">
        <v>10480</v>
      </c>
      <c r="S1409" s="14">
        <v>44170</v>
      </c>
      <c r="T1409" s="14" t="s">
        <v>10651</v>
      </c>
    </row>
    <row r="1410" spans="1:20" ht="72" customHeight="1" x14ac:dyDescent="0.2">
      <c r="A1410" s="289">
        <v>1447</v>
      </c>
      <c r="B1410" s="289" t="s">
        <v>10667</v>
      </c>
      <c r="C1410" s="18"/>
      <c r="D1410" s="9" t="s">
        <v>10668</v>
      </c>
      <c r="E1410" s="22" t="s">
        <v>9378</v>
      </c>
      <c r="F1410" s="27" t="s">
        <v>10669</v>
      </c>
      <c r="G1410" s="285" t="s">
        <v>792</v>
      </c>
      <c r="H1410" s="285" t="s">
        <v>5127</v>
      </c>
      <c r="I1410" s="289"/>
      <c r="J1410" s="285" t="s">
        <v>10461</v>
      </c>
      <c r="K1410" s="14">
        <v>44228</v>
      </c>
      <c r="L1410" s="289" t="s">
        <v>2987</v>
      </c>
      <c r="M1410" s="15">
        <v>44207</v>
      </c>
      <c r="N1410" s="40">
        <v>2</v>
      </c>
      <c r="O1410" s="63">
        <v>26600</v>
      </c>
      <c r="P1410" s="63">
        <v>26600</v>
      </c>
      <c r="Q1410" s="40">
        <f t="shared" si="39"/>
        <v>0</v>
      </c>
      <c r="R1410" s="285" t="s">
        <v>10654</v>
      </c>
      <c r="S1410" s="14">
        <v>44187</v>
      </c>
      <c r="T1410" s="285">
        <v>131904</v>
      </c>
    </row>
    <row r="1411" spans="1:20" ht="72" customHeight="1" x14ac:dyDescent="0.2">
      <c r="A1411" s="289">
        <v>1449</v>
      </c>
      <c r="B1411" s="289" t="s">
        <v>11261</v>
      </c>
      <c r="C1411" s="18"/>
      <c r="D1411" s="9" t="s">
        <v>10688</v>
      </c>
      <c r="E1411" s="22" t="s">
        <v>10757</v>
      </c>
      <c r="F1411" s="27" t="s">
        <v>10686</v>
      </c>
      <c r="G1411" s="285" t="s">
        <v>4877</v>
      </c>
      <c r="H1411" s="285" t="s">
        <v>3793</v>
      </c>
      <c r="I1411" s="289"/>
      <c r="J1411" s="285" t="s">
        <v>10461</v>
      </c>
      <c r="K1411" s="14" t="s">
        <v>11262</v>
      </c>
      <c r="L1411" s="289" t="s">
        <v>11263</v>
      </c>
      <c r="M1411" s="15">
        <v>44242</v>
      </c>
      <c r="N1411" s="40">
        <v>8</v>
      </c>
      <c r="O1411" s="63">
        <v>8</v>
      </c>
      <c r="P1411" s="63">
        <v>8</v>
      </c>
      <c r="Q1411" s="40">
        <f>O1411-P1411</f>
        <v>0</v>
      </c>
      <c r="R1411" s="285" t="s">
        <v>10687</v>
      </c>
      <c r="S1411" s="14">
        <v>44545</v>
      </c>
      <c r="T1411" s="285" t="s">
        <v>1029</v>
      </c>
    </row>
    <row r="1412" spans="1:20" ht="49.5" customHeight="1" x14ac:dyDescent="0.2">
      <c r="A1412" s="289">
        <v>1450</v>
      </c>
      <c r="B1412" s="289" t="s">
        <v>10741</v>
      </c>
      <c r="C1412" s="18"/>
      <c r="D1412" s="9" t="s">
        <v>10721</v>
      </c>
      <c r="E1412" s="22" t="s">
        <v>10757</v>
      </c>
      <c r="F1412" s="27" t="s">
        <v>10720</v>
      </c>
      <c r="G1412" s="285" t="s">
        <v>7917</v>
      </c>
      <c r="H1412" s="285" t="s">
        <v>5127</v>
      </c>
      <c r="I1412" s="289"/>
      <c r="J1412" s="285" t="s">
        <v>10461</v>
      </c>
      <c r="K1412" s="14" t="s">
        <v>10740</v>
      </c>
      <c r="L1412" s="289" t="s">
        <v>10739</v>
      </c>
      <c r="M1412" s="14">
        <v>44245</v>
      </c>
      <c r="N1412" s="40">
        <v>3</v>
      </c>
      <c r="O1412" s="63">
        <v>909</v>
      </c>
      <c r="P1412" s="63">
        <v>909</v>
      </c>
      <c r="Q1412" s="40">
        <f>P1412-O1412</f>
        <v>0</v>
      </c>
      <c r="R1412" s="285" t="s">
        <v>10362</v>
      </c>
      <c r="S1412" s="14">
        <v>44174</v>
      </c>
      <c r="T1412" s="285">
        <v>1676</v>
      </c>
    </row>
    <row r="1413" spans="1:20" ht="62.25" customHeight="1" x14ac:dyDescent="0.2">
      <c r="A1413" s="289">
        <v>1451</v>
      </c>
      <c r="B1413" s="289" t="s">
        <v>10759</v>
      </c>
      <c r="C1413" s="18"/>
      <c r="D1413" s="9" t="s">
        <v>10723</v>
      </c>
      <c r="E1413" s="22" t="s">
        <v>10757</v>
      </c>
      <c r="F1413" s="27" t="s">
        <v>10722</v>
      </c>
      <c r="G1413" s="285" t="s">
        <v>7917</v>
      </c>
      <c r="H1413" s="285" t="s">
        <v>5127</v>
      </c>
      <c r="I1413" s="289"/>
      <c r="J1413" s="285" t="s">
        <v>10461</v>
      </c>
      <c r="K1413" s="14" t="s">
        <v>10740</v>
      </c>
      <c r="L1413" s="289" t="s">
        <v>10739</v>
      </c>
      <c r="M1413" s="14">
        <v>44245</v>
      </c>
      <c r="N1413" s="40">
        <v>2</v>
      </c>
      <c r="O1413" s="63">
        <v>944</v>
      </c>
      <c r="P1413" s="63">
        <v>944</v>
      </c>
      <c r="Q1413" s="63">
        <f>P1413-O1413</f>
        <v>0</v>
      </c>
      <c r="R1413" s="285" t="s">
        <v>10362</v>
      </c>
      <c r="S1413" s="14">
        <v>44174</v>
      </c>
      <c r="T1413" s="285">
        <v>1676</v>
      </c>
    </row>
    <row r="1414" spans="1:20" ht="28.5" customHeight="1" x14ac:dyDescent="0.2">
      <c r="A1414" s="289">
        <v>1452</v>
      </c>
      <c r="B1414" s="289" t="s">
        <v>10760</v>
      </c>
      <c r="C1414" s="18"/>
      <c r="D1414" s="9" t="s">
        <v>10724</v>
      </c>
      <c r="E1414" s="22" t="s">
        <v>10757</v>
      </c>
      <c r="F1414" s="27" t="s">
        <v>10725</v>
      </c>
      <c r="G1414" s="285" t="s">
        <v>7917</v>
      </c>
      <c r="H1414" s="285" t="s">
        <v>5127</v>
      </c>
      <c r="I1414" s="289"/>
      <c r="J1414" s="285" t="s">
        <v>10461</v>
      </c>
      <c r="K1414" s="14" t="s">
        <v>10740</v>
      </c>
      <c r="L1414" s="289" t="s">
        <v>10739</v>
      </c>
      <c r="M1414" s="14">
        <v>44245</v>
      </c>
      <c r="N1414" s="40">
        <v>5</v>
      </c>
      <c r="O1414" s="63">
        <v>2120</v>
      </c>
      <c r="P1414" s="63">
        <v>2120</v>
      </c>
      <c r="Q1414" s="63">
        <f>O1414-P1414</f>
        <v>0</v>
      </c>
      <c r="R1414" s="285" t="s">
        <v>10362</v>
      </c>
      <c r="S1414" s="14">
        <v>44174</v>
      </c>
      <c r="T1414" s="285">
        <v>1676</v>
      </c>
    </row>
    <row r="1415" spans="1:20" ht="51.75" customHeight="1" x14ac:dyDescent="0.2">
      <c r="A1415" s="289">
        <v>1453</v>
      </c>
      <c r="B1415" s="289" t="s">
        <v>10761</v>
      </c>
      <c r="C1415" s="18"/>
      <c r="D1415" s="9" t="s">
        <v>10756</v>
      </c>
      <c r="E1415" s="22" t="s">
        <v>10757</v>
      </c>
      <c r="F1415" s="27" t="s">
        <v>10758</v>
      </c>
      <c r="G1415" s="285" t="s">
        <v>515</v>
      </c>
      <c r="H1415" s="285" t="s">
        <v>5127</v>
      </c>
      <c r="I1415" s="289"/>
      <c r="J1415" s="285" t="s">
        <v>10461</v>
      </c>
      <c r="K1415" s="14">
        <v>44314</v>
      </c>
      <c r="L1415" s="289">
        <v>330</v>
      </c>
      <c r="M1415" s="14">
        <v>44265</v>
      </c>
      <c r="N1415" s="40">
        <v>1</v>
      </c>
      <c r="O1415" s="63">
        <v>484834</v>
      </c>
      <c r="P1415" s="63">
        <v>177772.54</v>
      </c>
      <c r="Q1415" s="63">
        <f>O1415-P1415</f>
        <v>307061.45999999996</v>
      </c>
      <c r="R1415" s="285" t="s">
        <v>10362</v>
      </c>
      <c r="S1415" s="14">
        <v>44265</v>
      </c>
      <c r="T1415" s="285">
        <v>305</v>
      </c>
    </row>
    <row r="1416" spans="1:20" ht="87.75" customHeight="1" x14ac:dyDescent="0.2">
      <c r="A1416" s="289">
        <v>1454</v>
      </c>
      <c r="B1416" s="289" t="s">
        <v>10786</v>
      </c>
      <c r="C1416" s="18"/>
      <c r="D1416" s="9" t="s">
        <v>10782</v>
      </c>
      <c r="E1416" s="22" t="s">
        <v>10757</v>
      </c>
      <c r="F1416" s="27" t="s">
        <v>10783</v>
      </c>
      <c r="G1416" s="285" t="s">
        <v>10465</v>
      </c>
      <c r="H1416" s="285" t="s">
        <v>10784</v>
      </c>
      <c r="I1416" s="289"/>
      <c r="J1416" s="285" t="s">
        <v>10461</v>
      </c>
      <c r="K1416" s="14">
        <v>44350</v>
      </c>
      <c r="L1416" s="289">
        <v>420</v>
      </c>
      <c r="M1416" s="14">
        <v>44340</v>
      </c>
      <c r="N1416" s="40">
        <v>2</v>
      </c>
      <c r="O1416" s="40">
        <v>9600</v>
      </c>
      <c r="P1416" s="40">
        <v>0</v>
      </c>
      <c r="Q1416" s="17">
        <v>9600</v>
      </c>
      <c r="R1416" s="285" t="s">
        <v>7630</v>
      </c>
      <c r="S1416" s="14">
        <v>44333</v>
      </c>
      <c r="T1416" s="70" t="s">
        <v>10785</v>
      </c>
    </row>
    <row r="1417" spans="1:20" ht="71.25" customHeight="1" x14ac:dyDescent="0.2">
      <c r="A1417" s="289">
        <v>1455</v>
      </c>
      <c r="B1417" s="289" t="s">
        <v>10790</v>
      </c>
      <c r="C1417" s="18"/>
      <c r="D1417" s="9" t="s">
        <v>10795</v>
      </c>
      <c r="E1417" s="22" t="s">
        <v>10791</v>
      </c>
      <c r="F1417" s="27" t="s">
        <v>10793</v>
      </c>
      <c r="G1417" s="285" t="s">
        <v>10465</v>
      </c>
      <c r="H1417" s="285" t="s">
        <v>10784</v>
      </c>
      <c r="I1417" s="289"/>
      <c r="J1417" s="285" t="s">
        <v>10461</v>
      </c>
      <c r="K1417" s="14" t="s">
        <v>11245</v>
      </c>
      <c r="L1417" s="289" t="s">
        <v>11246</v>
      </c>
      <c r="M1417" s="14">
        <v>44344</v>
      </c>
      <c r="N1417" s="40">
        <v>1</v>
      </c>
      <c r="O1417" s="40">
        <v>31752.87</v>
      </c>
      <c r="P1417" s="40">
        <v>0</v>
      </c>
      <c r="Q1417" s="17">
        <f t="shared" ref="Q1417:Q1464" si="40">O1417-P1417</f>
        <v>31752.87</v>
      </c>
      <c r="R1417" s="285" t="s">
        <v>7630</v>
      </c>
      <c r="S1417" s="14">
        <v>44278</v>
      </c>
      <c r="T1417" s="70" t="s">
        <v>10792</v>
      </c>
    </row>
    <row r="1418" spans="1:20" ht="71.25" customHeight="1" x14ac:dyDescent="0.2">
      <c r="A1418" s="289">
        <v>1456</v>
      </c>
      <c r="B1418" s="289" t="s">
        <v>10794</v>
      </c>
      <c r="C1418" s="18"/>
      <c r="D1418" s="9" t="s">
        <v>10795</v>
      </c>
      <c r="E1418" s="22" t="s">
        <v>10791</v>
      </c>
      <c r="F1418" s="27" t="s">
        <v>10796</v>
      </c>
      <c r="G1418" s="285" t="s">
        <v>10465</v>
      </c>
      <c r="H1418" s="285" t="s">
        <v>10784</v>
      </c>
      <c r="I1418" s="289"/>
      <c r="J1418" s="285" t="s">
        <v>10461</v>
      </c>
      <c r="K1418" s="14" t="s">
        <v>11245</v>
      </c>
      <c r="L1418" s="289" t="s">
        <v>11246</v>
      </c>
      <c r="M1418" s="14">
        <v>44344</v>
      </c>
      <c r="N1418" s="40">
        <v>1</v>
      </c>
      <c r="O1418" s="40">
        <v>31752.87</v>
      </c>
      <c r="P1418" s="40">
        <v>0</v>
      </c>
      <c r="Q1418" s="17">
        <f t="shared" si="40"/>
        <v>31752.87</v>
      </c>
      <c r="R1418" s="285" t="s">
        <v>7630</v>
      </c>
      <c r="S1418" s="14">
        <v>44278</v>
      </c>
      <c r="T1418" s="70" t="s">
        <v>10792</v>
      </c>
    </row>
    <row r="1419" spans="1:20" ht="71.25" customHeight="1" x14ac:dyDescent="0.2">
      <c r="A1419" s="289">
        <v>1457</v>
      </c>
      <c r="B1419" s="289" t="s">
        <v>10797</v>
      </c>
      <c r="C1419" s="18"/>
      <c r="D1419" s="9" t="s">
        <v>10795</v>
      </c>
      <c r="E1419" s="22" t="s">
        <v>10791</v>
      </c>
      <c r="F1419" s="27" t="s">
        <v>10798</v>
      </c>
      <c r="G1419" s="285" t="s">
        <v>10465</v>
      </c>
      <c r="H1419" s="285" t="s">
        <v>10784</v>
      </c>
      <c r="I1419" s="289"/>
      <c r="J1419" s="285" t="s">
        <v>10461</v>
      </c>
      <c r="K1419" s="14" t="s">
        <v>11245</v>
      </c>
      <c r="L1419" s="289" t="s">
        <v>11246</v>
      </c>
      <c r="M1419" s="14">
        <v>44344</v>
      </c>
      <c r="N1419" s="40">
        <v>1</v>
      </c>
      <c r="O1419" s="40">
        <v>31752.87</v>
      </c>
      <c r="P1419" s="40">
        <v>0</v>
      </c>
      <c r="Q1419" s="17">
        <f t="shared" si="40"/>
        <v>31752.87</v>
      </c>
      <c r="R1419" s="285" t="s">
        <v>7630</v>
      </c>
      <c r="S1419" s="14">
        <v>44278</v>
      </c>
      <c r="T1419" s="70" t="s">
        <v>10792</v>
      </c>
    </row>
    <row r="1420" spans="1:20" ht="71.25" customHeight="1" x14ac:dyDescent="0.2">
      <c r="A1420" s="289">
        <v>1458</v>
      </c>
      <c r="B1420" s="289" t="s">
        <v>10800</v>
      </c>
      <c r="C1420" s="18"/>
      <c r="D1420" s="9" t="s">
        <v>10795</v>
      </c>
      <c r="E1420" s="22" t="s">
        <v>10791</v>
      </c>
      <c r="F1420" s="27" t="s">
        <v>10799</v>
      </c>
      <c r="G1420" s="285" t="s">
        <v>10465</v>
      </c>
      <c r="H1420" s="285" t="s">
        <v>10784</v>
      </c>
      <c r="I1420" s="289"/>
      <c r="J1420" s="285" t="s">
        <v>10461</v>
      </c>
      <c r="K1420" s="14" t="s">
        <v>11245</v>
      </c>
      <c r="L1420" s="289" t="s">
        <v>11246</v>
      </c>
      <c r="M1420" s="14">
        <v>44344</v>
      </c>
      <c r="N1420" s="40">
        <v>1</v>
      </c>
      <c r="O1420" s="40">
        <v>31752.87</v>
      </c>
      <c r="P1420" s="40">
        <v>0</v>
      </c>
      <c r="Q1420" s="17">
        <f t="shared" si="40"/>
        <v>31752.87</v>
      </c>
      <c r="R1420" s="285" t="s">
        <v>7630</v>
      </c>
      <c r="S1420" s="14">
        <v>44278</v>
      </c>
      <c r="T1420" s="70" t="s">
        <v>10792</v>
      </c>
    </row>
    <row r="1421" spans="1:20" ht="71.25" customHeight="1" x14ac:dyDescent="0.2">
      <c r="A1421" s="289">
        <v>1459</v>
      </c>
      <c r="B1421" s="289" t="s">
        <v>10801</v>
      </c>
      <c r="C1421" s="18"/>
      <c r="D1421" s="9" t="s">
        <v>10795</v>
      </c>
      <c r="E1421" s="22" t="s">
        <v>10791</v>
      </c>
      <c r="F1421" s="27" t="s">
        <v>10802</v>
      </c>
      <c r="G1421" s="285" t="s">
        <v>10465</v>
      </c>
      <c r="H1421" s="285" t="s">
        <v>10784</v>
      </c>
      <c r="I1421" s="289"/>
      <c r="J1421" s="285" t="s">
        <v>10461</v>
      </c>
      <c r="K1421" s="14" t="s">
        <v>11245</v>
      </c>
      <c r="L1421" s="289" t="s">
        <v>11246</v>
      </c>
      <c r="M1421" s="14">
        <v>44344</v>
      </c>
      <c r="N1421" s="40">
        <v>1</v>
      </c>
      <c r="O1421" s="40">
        <v>31752.87</v>
      </c>
      <c r="P1421" s="40">
        <v>0</v>
      </c>
      <c r="Q1421" s="17">
        <f t="shared" si="40"/>
        <v>31752.87</v>
      </c>
      <c r="R1421" s="285" t="s">
        <v>7630</v>
      </c>
      <c r="S1421" s="14">
        <v>44278</v>
      </c>
      <c r="T1421" s="70" t="s">
        <v>10792</v>
      </c>
    </row>
    <row r="1422" spans="1:20" ht="71.25" customHeight="1" x14ac:dyDescent="0.2">
      <c r="A1422" s="289">
        <v>1460</v>
      </c>
      <c r="B1422" s="289" t="s">
        <v>10803</v>
      </c>
      <c r="C1422" s="18"/>
      <c r="D1422" s="9" t="s">
        <v>10795</v>
      </c>
      <c r="E1422" s="22" t="s">
        <v>10791</v>
      </c>
      <c r="F1422" s="27" t="s">
        <v>10804</v>
      </c>
      <c r="G1422" s="285" t="s">
        <v>10465</v>
      </c>
      <c r="H1422" s="285" t="s">
        <v>10784</v>
      </c>
      <c r="I1422" s="289"/>
      <c r="J1422" s="285" t="s">
        <v>10461</v>
      </c>
      <c r="K1422" s="14" t="s">
        <v>11245</v>
      </c>
      <c r="L1422" s="289" t="s">
        <v>11246</v>
      </c>
      <c r="M1422" s="14">
        <v>44344</v>
      </c>
      <c r="N1422" s="40">
        <v>1</v>
      </c>
      <c r="O1422" s="40">
        <v>31752.87</v>
      </c>
      <c r="P1422" s="40">
        <v>0</v>
      </c>
      <c r="Q1422" s="17">
        <f t="shared" si="40"/>
        <v>31752.87</v>
      </c>
      <c r="R1422" s="285" t="s">
        <v>7630</v>
      </c>
      <c r="S1422" s="14">
        <v>44278</v>
      </c>
      <c r="T1422" s="70" t="s">
        <v>10792</v>
      </c>
    </row>
    <row r="1423" spans="1:20" ht="71.25" customHeight="1" x14ac:dyDescent="0.2">
      <c r="A1423" s="289">
        <v>1461</v>
      </c>
      <c r="B1423" s="289" t="s">
        <v>10805</v>
      </c>
      <c r="C1423" s="18"/>
      <c r="D1423" s="9" t="s">
        <v>10795</v>
      </c>
      <c r="E1423" s="22" t="s">
        <v>10791</v>
      </c>
      <c r="F1423" s="27" t="s">
        <v>10807</v>
      </c>
      <c r="G1423" s="285" t="s">
        <v>10465</v>
      </c>
      <c r="H1423" s="285" t="s">
        <v>10784</v>
      </c>
      <c r="I1423" s="289"/>
      <c r="J1423" s="285" t="s">
        <v>10461</v>
      </c>
      <c r="K1423" s="14" t="s">
        <v>11245</v>
      </c>
      <c r="L1423" s="289" t="s">
        <v>11246</v>
      </c>
      <c r="M1423" s="14">
        <v>44344</v>
      </c>
      <c r="N1423" s="40">
        <v>1</v>
      </c>
      <c r="O1423" s="40">
        <v>31752.87</v>
      </c>
      <c r="P1423" s="40">
        <v>0</v>
      </c>
      <c r="Q1423" s="17">
        <f t="shared" si="40"/>
        <v>31752.87</v>
      </c>
      <c r="R1423" s="285" t="s">
        <v>7630</v>
      </c>
      <c r="S1423" s="14">
        <v>44278</v>
      </c>
      <c r="T1423" s="70" t="s">
        <v>10792</v>
      </c>
    </row>
    <row r="1424" spans="1:20" ht="71.25" customHeight="1" x14ac:dyDescent="0.2">
      <c r="A1424" s="289">
        <v>1462</v>
      </c>
      <c r="B1424" s="289" t="s">
        <v>10806</v>
      </c>
      <c r="C1424" s="18"/>
      <c r="D1424" s="9" t="s">
        <v>10795</v>
      </c>
      <c r="E1424" s="22" t="s">
        <v>10791</v>
      </c>
      <c r="F1424" s="27" t="s">
        <v>10808</v>
      </c>
      <c r="G1424" s="285" t="s">
        <v>10465</v>
      </c>
      <c r="H1424" s="285" t="s">
        <v>10784</v>
      </c>
      <c r="I1424" s="289"/>
      <c r="J1424" s="285" t="s">
        <v>10461</v>
      </c>
      <c r="K1424" s="14" t="s">
        <v>11245</v>
      </c>
      <c r="L1424" s="289" t="s">
        <v>11246</v>
      </c>
      <c r="M1424" s="14">
        <v>44344</v>
      </c>
      <c r="N1424" s="40">
        <v>1</v>
      </c>
      <c r="O1424" s="40">
        <v>31752.87</v>
      </c>
      <c r="P1424" s="40">
        <v>0</v>
      </c>
      <c r="Q1424" s="17">
        <f t="shared" si="40"/>
        <v>31752.87</v>
      </c>
      <c r="R1424" s="285" t="s">
        <v>7630</v>
      </c>
      <c r="S1424" s="14">
        <v>44278</v>
      </c>
      <c r="T1424" s="70" t="s">
        <v>10792</v>
      </c>
    </row>
    <row r="1425" spans="1:20" ht="71.25" customHeight="1" x14ac:dyDescent="0.2">
      <c r="A1425" s="289">
        <v>1463</v>
      </c>
      <c r="B1425" s="289" t="s">
        <v>10809</v>
      </c>
      <c r="C1425" s="18"/>
      <c r="D1425" s="9" t="s">
        <v>10795</v>
      </c>
      <c r="E1425" s="22" t="s">
        <v>10791</v>
      </c>
      <c r="F1425" s="27" t="s">
        <v>10810</v>
      </c>
      <c r="G1425" s="285" t="s">
        <v>10465</v>
      </c>
      <c r="H1425" s="285" t="s">
        <v>10784</v>
      </c>
      <c r="I1425" s="289"/>
      <c r="J1425" s="285" t="s">
        <v>10461</v>
      </c>
      <c r="K1425" s="14" t="s">
        <v>11245</v>
      </c>
      <c r="L1425" s="289" t="s">
        <v>11246</v>
      </c>
      <c r="M1425" s="14">
        <v>44344</v>
      </c>
      <c r="N1425" s="40">
        <v>1</v>
      </c>
      <c r="O1425" s="40">
        <v>31752.880000000001</v>
      </c>
      <c r="P1425" s="40">
        <v>0</v>
      </c>
      <c r="Q1425" s="17">
        <f t="shared" si="40"/>
        <v>31752.880000000001</v>
      </c>
      <c r="R1425" s="285" t="s">
        <v>7630</v>
      </c>
      <c r="S1425" s="14">
        <v>44278</v>
      </c>
      <c r="T1425" s="70" t="s">
        <v>10792</v>
      </c>
    </row>
    <row r="1426" spans="1:20" ht="71.25" customHeight="1" x14ac:dyDescent="0.2">
      <c r="A1426" s="289">
        <v>1464</v>
      </c>
      <c r="B1426" s="289" t="s">
        <v>10811</v>
      </c>
      <c r="C1426" s="18"/>
      <c r="D1426" s="9" t="s">
        <v>10795</v>
      </c>
      <c r="E1426" s="22" t="s">
        <v>10791</v>
      </c>
      <c r="F1426" s="27" t="s">
        <v>10812</v>
      </c>
      <c r="G1426" s="285" t="s">
        <v>10465</v>
      </c>
      <c r="H1426" s="285" t="s">
        <v>10784</v>
      </c>
      <c r="I1426" s="289"/>
      <c r="J1426" s="285" t="s">
        <v>10461</v>
      </c>
      <c r="K1426" s="14" t="s">
        <v>11245</v>
      </c>
      <c r="L1426" s="289" t="s">
        <v>11246</v>
      </c>
      <c r="M1426" s="14">
        <v>44344</v>
      </c>
      <c r="N1426" s="40">
        <v>1</v>
      </c>
      <c r="O1426" s="40">
        <v>31752.880000000001</v>
      </c>
      <c r="P1426" s="40">
        <v>0</v>
      </c>
      <c r="Q1426" s="17">
        <f t="shared" si="40"/>
        <v>31752.880000000001</v>
      </c>
      <c r="R1426" s="285" t="s">
        <v>7630</v>
      </c>
      <c r="S1426" s="14">
        <v>44278</v>
      </c>
      <c r="T1426" s="70" t="s">
        <v>10792</v>
      </c>
    </row>
    <row r="1427" spans="1:20" ht="71.25" customHeight="1" x14ac:dyDescent="0.2">
      <c r="A1427" s="289">
        <v>1465</v>
      </c>
      <c r="B1427" s="289" t="s">
        <v>10813</v>
      </c>
      <c r="C1427" s="18"/>
      <c r="D1427" s="9" t="s">
        <v>10795</v>
      </c>
      <c r="E1427" s="22" t="s">
        <v>10791</v>
      </c>
      <c r="F1427" s="27" t="s">
        <v>10814</v>
      </c>
      <c r="G1427" s="285" t="s">
        <v>10465</v>
      </c>
      <c r="H1427" s="285" t="s">
        <v>10784</v>
      </c>
      <c r="I1427" s="289"/>
      <c r="J1427" s="285" t="s">
        <v>10461</v>
      </c>
      <c r="K1427" s="14" t="s">
        <v>11245</v>
      </c>
      <c r="L1427" s="289" t="s">
        <v>11246</v>
      </c>
      <c r="M1427" s="14">
        <v>44344</v>
      </c>
      <c r="N1427" s="40">
        <v>1</v>
      </c>
      <c r="O1427" s="40">
        <v>31752.880000000001</v>
      </c>
      <c r="P1427" s="40">
        <v>0</v>
      </c>
      <c r="Q1427" s="17">
        <f t="shared" si="40"/>
        <v>31752.880000000001</v>
      </c>
      <c r="R1427" s="285" t="s">
        <v>7630</v>
      </c>
      <c r="S1427" s="14">
        <v>44278</v>
      </c>
      <c r="T1427" s="70" t="s">
        <v>10792</v>
      </c>
    </row>
    <row r="1428" spans="1:20" ht="71.25" customHeight="1" x14ac:dyDescent="0.2">
      <c r="A1428" s="289">
        <v>1466</v>
      </c>
      <c r="B1428" s="289" t="s">
        <v>10815</v>
      </c>
      <c r="C1428" s="18"/>
      <c r="D1428" s="9" t="s">
        <v>10795</v>
      </c>
      <c r="E1428" s="22" t="s">
        <v>10791</v>
      </c>
      <c r="F1428" s="27" t="s">
        <v>10816</v>
      </c>
      <c r="G1428" s="285" t="s">
        <v>10465</v>
      </c>
      <c r="H1428" s="285" t="s">
        <v>10784</v>
      </c>
      <c r="I1428" s="289"/>
      <c r="J1428" s="285" t="s">
        <v>10461</v>
      </c>
      <c r="K1428" s="14" t="s">
        <v>11245</v>
      </c>
      <c r="L1428" s="289" t="s">
        <v>11246</v>
      </c>
      <c r="M1428" s="14">
        <v>44344</v>
      </c>
      <c r="N1428" s="40">
        <v>1</v>
      </c>
      <c r="O1428" s="40">
        <v>31752.880000000001</v>
      </c>
      <c r="P1428" s="40">
        <v>0</v>
      </c>
      <c r="Q1428" s="17">
        <f t="shared" si="40"/>
        <v>31752.880000000001</v>
      </c>
      <c r="R1428" s="285" t="s">
        <v>7630</v>
      </c>
      <c r="S1428" s="14">
        <v>44278</v>
      </c>
      <c r="T1428" s="70" t="s">
        <v>10792</v>
      </c>
    </row>
    <row r="1429" spans="1:20" ht="71.25" customHeight="1" x14ac:dyDescent="0.2">
      <c r="A1429" s="289">
        <v>1467</v>
      </c>
      <c r="B1429" s="289" t="s">
        <v>10817</v>
      </c>
      <c r="C1429" s="18"/>
      <c r="D1429" s="9" t="s">
        <v>10795</v>
      </c>
      <c r="E1429" s="22" t="s">
        <v>10791</v>
      </c>
      <c r="F1429" s="27" t="s">
        <v>10818</v>
      </c>
      <c r="G1429" s="285" t="s">
        <v>10465</v>
      </c>
      <c r="H1429" s="285" t="s">
        <v>10784</v>
      </c>
      <c r="I1429" s="289"/>
      <c r="J1429" s="285" t="s">
        <v>10461</v>
      </c>
      <c r="K1429" s="14" t="s">
        <v>11245</v>
      </c>
      <c r="L1429" s="289" t="s">
        <v>11246</v>
      </c>
      <c r="M1429" s="14">
        <v>44344</v>
      </c>
      <c r="N1429" s="40">
        <v>1</v>
      </c>
      <c r="O1429" s="40">
        <v>31752.880000000001</v>
      </c>
      <c r="P1429" s="40">
        <v>0</v>
      </c>
      <c r="Q1429" s="17">
        <f t="shared" si="40"/>
        <v>31752.880000000001</v>
      </c>
      <c r="R1429" s="285" t="s">
        <v>7630</v>
      </c>
      <c r="S1429" s="14">
        <v>44278</v>
      </c>
      <c r="T1429" s="70" t="s">
        <v>10792</v>
      </c>
    </row>
    <row r="1430" spans="1:20" ht="71.25" customHeight="1" x14ac:dyDescent="0.2">
      <c r="A1430" s="289">
        <v>1468</v>
      </c>
      <c r="B1430" s="289" t="s">
        <v>10819</v>
      </c>
      <c r="C1430" s="18"/>
      <c r="D1430" s="9" t="s">
        <v>10795</v>
      </c>
      <c r="E1430" s="22" t="s">
        <v>10791</v>
      </c>
      <c r="F1430" s="27" t="s">
        <v>10820</v>
      </c>
      <c r="G1430" s="285" t="s">
        <v>10465</v>
      </c>
      <c r="H1430" s="285" t="s">
        <v>10784</v>
      </c>
      <c r="I1430" s="289"/>
      <c r="J1430" s="285" t="s">
        <v>10461</v>
      </c>
      <c r="K1430" s="14" t="s">
        <v>11245</v>
      </c>
      <c r="L1430" s="289" t="s">
        <v>11246</v>
      </c>
      <c r="M1430" s="14">
        <v>44344</v>
      </c>
      <c r="N1430" s="40">
        <v>1</v>
      </c>
      <c r="O1430" s="40">
        <v>31752.880000000001</v>
      </c>
      <c r="P1430" s="40">
        <v>0</v>
      </c>
      <c r="Q1430" s="17">
        <f t="shared" si="40"/>
        <v>31752.880000000001</v>
      </c>
      <c r="R1430" s="285" t="s">
        <v>7630</v>
      </c>
      <c r="S1430" s="14">
        <v>44278</v>
      </c>
      <c r="T1430" s="70" t="s">
        <v>10792</v>
      </c>
    </row>
    <row r="1431" spans="1:20" ht="71.25" customHeight="1" x14ac:dyDescent="0.2">
      <c r="A1431" s="289">
        <v>1469</v>
      </c>
      <c r="B1431" s="289" t="s">
        <v>10821</v>
      </c>
      <c r="C1431" s="18"/>
      <c r="D1431" s="9" t="s">
        <v>10795</v>
      </c>
      <c r="E1431" s="22" t="s">
        <v>10791</v>
      </c>
      <c r="F1431" s="27" t="s">
        <v>10822</v>
      </c>
      <c r="G1431" s="285" t="s">
        <v>10465</v>
      </c>
      <c r="H1431" s="285" t="s">
        <v>10784</v>
      </c>
      <c r="I1431" s="289"/>
      <c r="J1431" s="285" t="s">
        <v>10461</v>
      </c>
      <c r="K1431" s="14" t="s">
        <v>11245</v>
      </c>
      <c r="L1431" s="289" t="s">
        <v>11246</v>
      </c>
      <c r="M1431" s="14">
        <v>44344</v>
      </c>
      <c r="N1431" s="40">
        <v>1</v>
      </c>
      <c r="O1431" s="40">
        <v>31752.880000000001</v>
      </c>
      <c r="P1431" s="40">
        <v>0</v>
      </c>
      <c r="Q1431" s="17">
        <f t="shared" si="40"/>
        <v>31752.880000000001</v>
      </c>
      <c r="R1431" s="285" t="s">
        <v>7630</v>
      </c>
      <c r="S1431" s="14">
        <v>44278</v>
      </c>
      <c r="T1431" s="70" t="s">
        <v>10792</v>
      </c>
    </row>
    <row r="1432" spans="1:20" ht="71.25" customHeight="1" x14ac:dyDescent="0.2">
      <c r="A1432" s="289">
        <v>1469</v>
      </c>
      <c r="B1432" s="289" t="s">
        <v>10823</v>
      </c>
      <c r="C1432" s="18"/>
      <c r="D1432" s="9" t="s">
        <v>10795</v>
      </c>
      <c r="E1432" s="22" t="s">
        <v>10791</v>
      </c>
      <c r="F1432" s="27" t="s">
        <v>10824</v>
      </c>
      <c r="G1432" s="285" t="s">
        <v>10465</v>
      </c>
      <c r="H1432" s="285" t="s">
        <v>10784</v>
      </c>
      <c r="I1432" s="289"/>
      <c r="J1432" s="285" t="s">
        <v>10461</v>
      </c>
      <c r="K1432" s="14" t="s">
        <v>11245</v>
      </c>
      <c r="L1432" s="289" t="s">
        <v>11246</v>
      </c>
      <c r="M1432" s="14">
        <v>44344</v>
      </c>
      <c r="N1432" s="40">
        <v>1</v>
      </c>
      <c r="O1432" s="40">
        <v>31752.880000000001</v>
      </c>
      <c r="P1432" s="40">
        <v>0</v>
      </c>
      <c r="Q1432" s="17">
        <f t="shared" si="40"/>
        <v>31752.880000000001</v>
      </c>
      <c r="R1432" s="285" t="s">
        <v>7630</v>
      </c>
      <c r="S1432" s="14">
        <v>44278</v>
      </c>
      <c r="T1432" s="70" t="s">
        <v>10792</v>
      </c>
    </row>
    <row r="1433" spans="1:20" ht="64.5" customHeight="1" x14ac:dyDescent="0.2">
      <c r="A1433" s="289">
        <v>1470</v>
      </c>
      <c r="B1433" s="289" t="s">
        <v>11100</v>
      </c>
      <c r="C1433" s="18"/>
      <c r="D1433" s="9" t="s">
        <v>10842</v>
      </c>
      <c r="E1433" s="22" t="s">
        <v>10757</v>
      </c>
      <c r="F1433" s="27" t="s">
        <v>10843</v>
      </c>
      <c r="G1433" s="285" t="s">
        <v>7982</v>
      </c>
      <c r="H1433" s="285" t="s">
        <v>5127</v>
      </c>
      <c r="I1433" s="289"/>
      <c r="J1433" s="285" t="s">
        <v>10461</v>
      </c>
      <c r="K1433" s="14" t="s">
        <v>11101</v>
      </c>
      <c r="L1433" s="289" t="s">
        <v>11102</v>
      </c>
      <c r="M1433" s="14">
        <v>44365</v>
      </c>
      <c r="N1433" s="40">
        <v>1</v>
      </c>
      <c r="O1433" s="40">
        <v>3332.45</v>
      </c>
      <c r="P1433" s="40">
        <v>3332.45</v>
      </c>
      <c r="Q1433" s="17">
        <f t="shared" si="40"/>
        <v>0</v>
      </c>
      <c r="R1433" s="285" t="s">
        <v>10874</v>
      </c>
      <c r="S1433" s="14" t="s">
        <v>10875</v>
      </c>
      <c r="T1433" s="70" t="s">
        <v>10876</v>
      </c>
    </row>
    <row r="1434" spans="1:20" ht="39.75" customHeight="1" x14ac:dyDescent="0.2">
      <c r="A1434" s="289">
        <v>1472</v>
      </c>
      <c r="B1434" s="289" t="s">
        <v>10928</v>
      </c>
      <c r="C1434" s="18"/>
      <c r="D1434" s="9" t="s">
        <v>10845</v>
      </c>
      <c r="E1434" s="22" t="s">
        <v>10757</v>
      </c>
      <c r="F1434" s="27"/>
      <c r="G1434" s="285" t="s">
        <v>7917</v>
      </c>
      <c r="H1434" s="285" t="s">
        <v>5127</v>
      </c>
      <c r="I1434" s="289"/>
      <c r="J1434" s="285" t="s">
        <v>10461</v>
      </c>
      <c r="K1434" s="14" t="s">
        <v>10926</v>
      </c>
      <c r="L1434" s="289" t="s">
        <v>10927</v>
      </c>
      <c r="M1434" s="14">
        <v>44365</v>
      </c>
      <c r="N1434" s="40">
        <v>3</v>
      </c>
      <c r="O1434" s="40">
        <v>6771</v>
      </c>
      <c r="P1434" s="40">
        <v>6771</v>
      </c>
      <c r="Q1434" s="17">
        <f t="shared" si="40"/>
        <v>0</v>
      </c>
      <c r="R1434" s="285" t="s">
        <v>10874</v>
      </c>
      <c r="S1434" s="14" t="s">
        <v>10875</v>
      </c>
      <c r="T1434" s="70" t="s">
        <v>10876</v>
      </c>
    </row>
    <row r="1435" spans="1:20" ht="34.5" customHeight="1" x14ac:dyDescent="0.2">
      <c r="A1435" s="289">
        <v>1473</v>
      </c>
      <c r="B1435" s="289" t="s">
        <v>10929</v>
      </c>
      <c r="C1435" s="18"/>
      <c r="D1435" s="9" t="s">
        <v>10846</v>
      </c>
      <c r="E1435" s="22" t="s">
        <v>10757</v>
      </c>
      <c r="F1435" s="27"/>
      <c r="G1435" s="285" t="s">
        <v>7917</v>
      </c>
      <c r="H1435" s="285" t="s">
        <v>5127</v>
      </c>
      <c r="I1435" s="289"/>
      <c r="J1435" s="285" t="s">
        <v>10461</v>
      </c>
      <c r="K1435" s="14" t="s">
        <v>10926</v>
      </c>
      <c r="L1435" s="289" t="s">
        <v>10927</v>
      </c>
      <c r="M1435" s="14">
        <v>44365</v>
      </c>
      <c r="N1435" s="40">
        <v>10</v>
      </c>
      <c r="O1435" s="40">
        <v>13127.5</v>
      </c>
      <c r="P1435" s="40">
        <v>13127.5</v>
      </c>
      <c r="Q1435" s="17">
        <f t="shared" si="40"/>
        <v>0</v>
      </c>
      <c r="R1435" s="285" t="s">
        <v>10874</v>
      </c>
      <c r="S1435" s="14" t="s">
        <v>10875</v>
      </c>
      <c r="T1435" s="70" t="s">
        <v>10876</v>
      </c>
    </row>
    <row r="1436" spans="1:20" ht="64.5" customHeight="1" x14ac:dyDescent="0.2">
      <c r="A1436" s="289">
        <v>1474</v>
      </c>
      <c r="B1436" s="289" t="s">
        <v>10988</v>
      </c>
      <c r="C1436" s="18"/>
      <c r="D1436" s="9" t="s">
        <v>10985</v>
      </c>
      <c r="E1436" s="22" t="s">
        <v>10757</v>
      </c>
      <c r="F1436" s="27" t="s">
        <v>10984</v>
      </c>
      <c r="G1436" s="285" t="s">
        <v>4296</v>
      </c>
      <c r="H1436" s="285" t="s">
        <v>3793</v>
      </c>
      <c r="I1436" s="289"/>
      <c r="J1436" s="285" t="s">
        <v>10461</v>
      </c>
      <c r="K1436" s="14">
        <v>44407</v>
      </c>
      <c r="L1436" s="289">
        <v>577</v>
      </c>
      <c r="M1436" s="14">
        <v>44403</v>
      </c>
      <c r="N1436" s="40">
        <v>1</v>
      </c>
      <c r="O1436" s="40">
        <v>305000</v>
      </c>
      <c r="P1436" s="40">
        <v>43208.39</v>
      </c>
      <c r="Q1436" s="17">
        <f t="shared" si="40"/>
        <v>261791.61</v>
      </c>
      <c r="R1436" s="285" t="s">
        <v>10987</v>
      </c>
      <c r="S1436" s="14">
        <v>44403</v>
      </c>
      <c r="T1436" s="22" t="s">
        <v>10975</v>
      </c>
    </row>
    <row r="1437" spans="1:20" ht="66" customHeight="1" x14ac:dyDescent="0.2">
      <c r="A1437" s="289">
        <v>1475</v>
      </c>
      <c r="B1437" s="289" t="s">
        <v>10983</v>
      </c>
      <c r="C1437" s="18"/>
      <c r="D1437" s="9" t="s">
        <v>10991</v>
      </c>
      <c r="E1437" s="22" t="s">
        <v>10757</v>
      </c>
      <c r="F1437" s="27" t="s">
        <v>10986</v>
      </c>
      <c r="G1437" s="285" t="s">
        <v>4296</v>
      </c>
      <c r="H1437" s="285" t="s">
        <v>3793</v>
      </c>
      <c r="I1437" s="289"/>
      <c r="J1437" s="285" t="s">
        <v>10461</v>
      </c>
      <c r="K1437" s="14">
        <v>44407</v>
      </c>
      <c r="L1437" s="289">
        <v>577</v>
      </c>
      <c r="M1437" s="14">
        <v>44403</v>
      </c>
      <c r="N1437" s="40">
        <v>1</v>
      </c>
      <c r="O1437" s="40">
        <v>305000</v>
      </c>
      <c r="P1437" s="40">
        <v>43208.39</v>
      </c>
      <c r="Q1437" s="17">
        <f t="shared" si="40"/>
        <v>261791.61</v>
      </c>
      <c r="R1437" s="285" t="s">
        <v>10987</v>
      </c>
      <c r="S1437" s="14">
        <v>44403</v>
      </c>
      <c r="T1437" s="22" t="s">
        <v>10975</v>
      </c>
    </row>
    <row r="1438" spans="1:20" ht="78.75" customHeight="1" x14ac:dyDescent="0.2">
      <c r="A1438" s="289">
        <v>1476</v>
      </c>
      <c r="B1438" s="289" t="s">
        <v>11024</v>
      </c>
      <c r="C1438" s="18"/>
      <c r="D1438" s="9" t="s">
        <v>11025</v>
      </c>
      <c r="E1438" s="22" t="s">
        <v>10757</v>
      </c>
      <c r="F1438" s="27" t="s">
        <v>11026</v>
      </c>
      <c r="G1438" s="285" t="s">
        <v>4946</v>
      </c>
      <c r="H1438" s="285" t="s">
        <v>5127</v>
      </c>
      <c r="I1438" s="289"/>
      <c r="J1438" s="285" t="s">
        <v>10461</v>
      </c>
      <c r="K1438" s="14">
        <v>44442</v>
      </c>
      <c r="L1438" s="289">
        <v>637</v>
      </c>
      <c r="M1438" s="14">
        <v>44417</v>
      </c>
      <c r="N1438" s="40">
        <v>1</v>
      </c>
      <c r="O1438" s="40">
        <v>88958.399999999994</v>
      </c>
      <c r="P1438" s="40">
        <v>88958.399999999994</v>
      </c>
      <c r="Q1438" s="17">
        <f t="shared" si="40"/>
        <v>0</v>
      </c>
      <c r="R1438" s="285" t="s">
        <v>10501</v>
      </c>
      <c r="S1438" s="14">
        <v>44407</v>
      </c>
      <c r="T1438" s="22" t="s">
        <v>11027</v>
      </c>
    </row>
    <row r="1439" spans="1:20" ht="86.25" customHeight="1" x14ac:dyDescent="0.2">
      <c r="A1439" s="289">
        <v>1477</v>
      </c>
      <c r="B1439" s="289" t="s">
        <v>11033</v>
      </c>
      <c r="C1439" s="18"/>
      <c r="D1439" s="9" t="s">
        <v>10795</v>
      </c>
      <c r="E1439" s="22" t="s">
        <v>10757</v>
      </c>
      <c r="F1439" s="27" t="s">
        <v>11045</v>
      </c>
      <c r="G1439" s="285" t="s">
        <v>10465</v>
      </c>
      <c r="H1439" s="285" t="s">
        <v>10784</v>
      </c>
      <c r="I1439" s="289"/>
      <c r="J1439" s="285" t="s">
        <v>10461</v>
      </c>
      <c r="K1439" s="14" t="s">
        <v>11243</v>
      </c>
      <c r="L1439" s="289" t="s">
        <v>11244</v>
      </c>
      <c r="M1439" s="14">
        <v>44438</v>
      </c>
      <c r="N1439" s="40">
        <v>1</v>
      </c>
      <c r="O1439" s="40">
        <v>39569.58</v>
      </c>
      <c r="P1439" s="40">
        <v>0</v>
      </c>
      <c r="Q1439" s="17">
        <f t="shared" si="40"/>
        <v>39569.58</v>
      </c>
      <c r="R1439" s="285" t="s">
        <v>7630</v>
      </c>
      <c r="S1439" s="14">
        <v>44278</v>
      </c>
      <c r="T1439" s="22" t="s">
        <v>11032</v>
      </c>
    </row>
    <row r="1440" spans="1:20" ht="93" customHeight="1" x14ac:dyDescent="0.2">
      <c r="A1440" s="289">
        <v>1478</v>
      </c>
      <c r="B1440" s="289" t="s">
        <v>11034</v>
      </c>
      <c r="C1440" s="18"/>
      <c r="D1440" s="9" t="s">
        <v>10795</v>
      </c>
      <c r="E1440" s="22" t="s">
        <v>10757</v>
      </c>
      <c r="F1440" s="27" t="s">
        <v>11053</v>
      </c>
      <c r="G1440" s="285" t="s">
        <v>10465</v>
      </c>
      <c r="H1440" s="285" t="s">
        <v>10784</v>
      </c>
      <c r="I1440" s="289"/>
      <c r="J1440" s="285" t="s">
        <v>10461</v>
      </c>
      <c r="K1440" s="14" t="s">
        <v>11243</v>
      </c>
      <c r="L1440" s="289" t="s">
        <v>11244</v>
      </c>
      <c r="M1440" s="14">
        <v>44438</v>
      </c>
      <c r="N1440" s="40">
        <v>1</v>
      </c>
      <c r="O1440" s="40">
        <v>39569.58</v>
      </c>
      <c r="P1440" s="40">
        <v>0</v>
      </c>
      <c r="Q1440" s="17">
        <f t="shared" si="40"/>
        <v>39569.58</v>
      </c>
      <c r="R1440" s="285" t="s">
        <v>7630</v>
      </c>
      <c r="S1440" s="14">
        <v>44278</v>
      </c>
      <c r="T1440" s="22" t="s">
        <v>11032</v>
      </c>
    </row>
    <row r="1441" spans="1:20" ht="89.25" customHeight="1" x14ac:dyDescent="0.2">
      <c r="A1441" s="289">
        <v>1479</v>
      </c>
      <c r="B1441" s="289" t="s">
        <v>11035</v>
      </c>
      <c r="C1441" s="18"/>
      <c r="D1441" s="9" t="s">
        <v>10795</v>
      </c>
      <c r="E1441" s="22" t="s">
        <v>10757</v>
      </c>
      <c r="F1441" s="27" t="s">
        <v>11054</v>
      </c>
      <c r="G1441" s="285" t="s">
        <v>10465</v>
      </c>
      <c r="H1441" s="285" t="s">
        <v>10784</v>
      </c>
      <c r="I1441" s="289"/>
      <c r="J1441" s="285" t="s">
        <v>10461</v>
      </c>
      <c r="K1441" s="14" t="s">
        <v>11243</v>
      </c>
      <c r="L1441" s="289" t="s">
        <v>11244</v>
      </c>
      <c r="M1441" s="14">
        <v>44438</v>
      </c>
      <c r="N1441" s="40">
        <v>1</v>
      </c>
      <c r="O1441" s="40">
        <v>39569.58</v>
      </c>
      <c r="P1441" s="40">
        <v>0</v>
      </c>
      <c r="Q1441" s="17">
        <f t="shared" si="40"/>
        <v>39569.58</v>
      </c>
      <c r="R1441" s="285" t="s">
        <v>7630</v>
      </c>
      <c r="S1441" s="14">
        <v>44278</v>
      </c>
      <c r="T1441" s="22" t="s">
        <v>11032</v>
      </c>
    </row>
    <row r="1442" spans="1:20" ht="90" customHeight="1" x14ac:dyDescent="0.2">
      <c r="A1442" s="289">
        <v>1480</v>
      </c>
      <c r="B1442" s="289" t="s">
        <v>11036</v>
      </c>
      <c r="C1442" s="18"/>
      <c r="D1442" s="9" t="s">
        <v>10795</v>
      </c>
      <c r="E1442" s="22" t="s">
        <v>10757</v>
      </c>
      <c r="F1442" s="27" t="s">
        <v>11055</v>
      </c>
      <c r="G1442" s="285" t="s">
        <v>10465</v>
      </c>
      <c r="H1442" s="285" t="s">
        <v>10784</v>
      </c>
      <c r="I1442" s="289"/>
      <c r="J1442" s="285" t="s">
        <v>10461</v>
      </c>
      <c r="K1442" s="14" t="s">
        <v>11243</v>
      </c>
      <c r="L1442" s="289" t="s">
        <v>11244</v>
      </c>
      <c r="M1442" s="14">
        <v>44438</v>
      </c>
      <c r="N1442" s="40">
        <v>1</v>
      </c>
      <c r="O1442" s="40">
        <v>39569.58</v>
      </c>
      <c r="P1442" s="40">
        <v>0</v>
      </c>
      <c r="Q1442" s="17">
        <f t="shared" si="40"/>
        <v>39569.58</v>
      </c>
      <c r="R1442" s="285" t="s">
        <v>7630</v>
      </c>
      <c r="S1442" s="14">
        <v>44278</v>
      </c>
      <c r="T1442" s="22" t="s">
        <v>11032</v>
      </c>
    </row>
    <row r="1443" spans="1:20" ht="93" customHeight="1" x14ac:dyDescent="0.2">
      <c r="A1443" s="289">
        <v>1481</v>
      </c>
      <c r="B1443" s="289" t="s">
        <v>11037</v>
      </c>
      <c r="C1443" s="18"/>
      <c r="D1443" s="9" t="s">
        <v>10795</v>
      </c>
      <c r="E1443" s="22" t="s">
        <v>10757</v>
      </c>
      <c r="F1443" s="27" t="s">
        <v>11056</v>
      </c>
      <c r="G1443" s="285" t="s">
        <v>10465</v>
      </c>
      <c r="H1443" s="285" t="s">
        <v>10784</v>
      </c>
      <c r="I1443" s="289"/>
      <c r="J1443" s="285" t="s">
        <v>10461</v>
      </c>
      <c r="K1443" s="14" t="s">
        <v>11243</v>
      </c>
      <c r="L1443" s="289" t="s">
        <v>11244</v>
      </c>
      <c r="M1443" s="14">
        <v>44438</v>
      </c>
      <c r="N1443" s="40">
        <v>1</v>
      </c>
      <c r="O1443" s="40">
        <v>39569.58</v>
      </c>
      <c r="P1443" s="40">
        <v>0</v>
      </c>
      <c r="Q1443" s="17">
        <f t="shared" si="40"/>
        <v>39569.58</v>
      </c>
      <c r="R1443" s="285" t="s">
        <v>7630</v>
      </c>
      <c r="S1443" s="14">
        <v>44278</v>
      </c>
      <c r="T1443" s="22" t="s">
        <v>11032</v>
      </c>
    </row>
    <row r="1444" spans="1:20" ht="103.5" customHeight="1" x14ac:dyDescent="0.2">
      <c r="A1444" s="289">
        <v>1482</v>
      </c>
      <c r="B1444" s="289" t="s">
        <v>11038</v>
      </c>
      <c r="C1444" s="18"/>
      <c r="D1444" s="9" t="s">
        <v>10795</v>
      </c>
      <c r="E1444" s="22" t="s">
        <v>10757</v>
      </c>
      <c r="F1444" s="27" t="s">
        <v>11057</v>
      </c>
      <c r="G1444" s="285" t="s">
        <v>10465</v>
      </c>
      <c r="H1444" s="285" t="s">
        <v>10784</v>
      </c>
      <c r="I1444" s="289"/>
      <c r="J1444" s="285" t="s">
        <v>10461</v>
      </c>
      <c r="K1444" s="14" t="s">
        <v>11243</v>
      </c>
      <c r="L1444" s="289" t="s">
        <v>11244</v>
      </c>
      <c r="M1444" s="14">
        <v>44438</v>
      </c>
      <c r="N1444" s="40">
        <v>1</v>
      </c>
      <c r="O1444" s="40">
        <v>39569.58</v>
      </c>
      <c r="P1444" s="40">
        <v>0</v>
      </c>
      <c r="Q1444" s="17">
        <f t="shared" si="40"/>
        <v>39569.58</v>
      </c>
      <c r="R1444" s="285" t="s">
        <v>7630</v>
      </c>
      <c r="S1444" s="14">
        <v>44278</v>
      </c>
      <c r="T1444" s="22" t="s">
        <v>11032</v>
      </c>
    </row>
    <row r="1445" spans="1:20" ht="90" customHeight="1" x14ac:dyDescent="0.2">
      <c r="A1445" s="289">
        <v>1483</v>
      </c>
      <c r="B1445" s="289" t="s">
        <v>11039</v>
      </c>
      <c r="C1445" s="18"/>
      <c r="D1445" s="9" t="s">
        <v>10795</v>
      </c>
      <c r="E1445" s="22" t="s">
        <v>10757</v>
      </c>
      <c r="F1445" s="27" t="s">
        <v>11058</v>
      </c>
      <c r="G1445" s="285" t="s">
        <v>10465</v>
      </c>
      <c r="H1445" s="285" t="s">
        <v>10784</v>
      </c>
      <c r="I1445" s="289"/>
      <c r="J1445" s="285" t="s">
        <v>10461</v>
      </c>
      <c r="K1445" s="14" t="s">
        <v>11243</v>
      </c>
      <c r="L1445" s="289" t="s">
        <v>11244</v>
      </c>
      <c r="M1445" s="14">
        <v>44438</v>
      </c>
      <c r="N1445" s="40">
        <v>1</v>
      </c>
      <c r="O1445" s="40">
        <v>39569.58</v>
      </c>
      <c r="P1445" s="40">
        <v>0</v>
      </c>
      <c r="Q1445" s="17">
        <f t="shared" si="40"/>
        <v>39569.58</v>
      </c>
      <c r="R1445" s="285" t="s">
        <v>7630</v>
      </c>
      <c r="S1445" s="14">
        <v>44278</v>
      </c>
      <c r="T1445" s="22" t="s">
        <v>11032</v>
      </c>
    </row>
    <row r="1446" spans="1:20" ht="103.5" customHeight="1" x14ac:dyDescent="0.2">
      <c r="A1446" s="289">
        <v>1484</v>
      </c>
      <c r="B1446" s="289" t="s">
        <v>11040</v>
      </c>
      <c r="C1446" s="18"/>
      <c r="D1446" s="9" t="s">
        <v>10795</v>
      </c>
      <c r="E1446" s="22" t="s">
        <v>10757</v>
      </c>
      <c r="F1446" s="27" t="s">
        <v>11059</v>
      </c>
      <c r="G1446" s="285" t="s">
        <v>10465</v>
      </c>
      <c r="H1446" s="285" t="s">
        <v>10784</v>
      </c>
      <c r="I1446" s="289"/>
      <c r="J1446" s="285" t="s">
        <v>10461</v>
      </c>
      <c r="K1446" s="14" t="s">
        <v>11243</v>
      </c>
      <c r="L1446" s="289" t="s">
        <v>11244</v>
      </c>
      <c r="M1446" s="14">
        <v>44438</v>
      </c>
      <c r="N1446" s="40">
        <v>1</v>
      </c>
      <c r="O1446" s="40">
        <v>39569.58</v>
      </c>
      <c r="P1446" s="40">
        <v>0</v>
      </c>
      <c r="Q1446" s="17">
        <f t="shared" si="40"/>
        <v>39569.58</v>
      </c>
      <c r="R1446" s="285" t="s">
        <v>7630</v>
      </c>
      <c r="S1446" s="14">
        <v>44278</v>
      </c>
      <c r="T1446" s="22" t="s">
        <v>11032</v>
      </c>
    </row>
    <row r="1447" spans="1:20" ht="100.5" customHeight="1" x14ac:dyDescent="0.2">
      <c r="A1447" s="289">
        <v>1485</v>
      </c>
      <c r="B1447" s="289" t="s">
        <v>11041</v>
      </c>
      <c r="C1447" s="18"/>
      <c r="D1447" s="9" t="s">
        <v>10795</v>
      </c>
      <c r="E1447" s="22" t="s">
        <v>10757</v>
      </c>
      <c r="F1447" s="27" t="s">
        <v>11060</v>
      </c>
      <c r="G1447" s="285" t="s">
        <v>10465</v>
      </c>
      <c r="H1447" s="285" t="s">
        <v>10784</v>
      </c>
      <c r="I1447" s="289"/>
      <c r="J1447" s="285" t="s">
        <v>10461</v>
      </c>
      <c r="K1447" s="14" t="s">
        <v>11243</v>
      </c>
      <c r="L1447" s="289" t="s">
        <v>11244</v>
      </c>
      <c r="M1447" s="14">
        <v>44438</v>
      </c>
      <c r="N1447" s="40">
        <v>1</v>
      </c>
      <c r="O1447" s="40">
        <v>39569.589999999997</v>
      </c>
      <c r="P1447" s="40">
        <v>0</v>
      </c>
      <c r="Q1447" s="17">
        <f t="shared" si="40"/>
        <v>39569.589999999997</v>
      </c>
      <c r="R1447" s="285" t="s">
        <v>7630</v>
      </c>
      <c r="S1447" s="14">
        <v>44278</v>
      </c>
      <c r="T1447" s="22" t="s">
        <v>11032</v>
      </c>
    </row>
    <row r="1448" spans="1:20" ht="86.25" customHeight="1" x14ac:dyDescent="0.2">
      <c r="A1448" s="289">
        <v>1486</v>
      </c>
      <c r="B1448" s="289" t="s">
        <v>11042</v>
      </c>
      <c r="C1448" s="18"/>
      <c r="D1448" s="9" t="s">
        <v>10795</v>
      </c>
      <c r="E1448" s="22" t="s">
        <v>10757</v>
      </c>
      <c r="F1448" s="27" t="s">
        <v>11061</v>
      </c>
      <c r="G1448" s="285" t="s">
        <v>10465</v>
      </c>
      <c r="H1448" s="285" t="s">
        <v>10784</v>
      </c>
      <c r="I1448" s="289"/>
      <c r="J1448" s="285" t="s">
        <v>10461</v>
      </c>
      <c r="K1448" s="14" t="s">
        <v>11243</v>
      </c>
      <c r="L1448" s="289" t="s">
        <v>11244</v>
      </c>
      <c r="M1448" s="14">
        <v>44438</v>
      </c>
      <c r="N1448" s="40">
        <v>1</v>
      </c>
      <c r="O1448" s="40">
        <v>39569.589999999997</v>
      </c>
      <c r="P1448" s="40">
        <v>0</v>
      </c>
      <c r="Q1448" s="17">
        <f t="shared" si="40"/>
        <v>39569.589999999997</v>
      </c>
      <c r="R1448" s="285" t="s">
        <v>7630</v>
      </c>
      <c r="S1448" s="14">
        <v>44278</v>
      </c>
      <c r="T1448" s="22" t="s">
        <v>11032</v>
      </c>
    </row>
    <row r="1449" spans="1:20" ht="101.25" customHeight="1" x14ac:dyDescent="0.2">
      <c r="A1449" s="289">
        <v>1487</v>
      </c>
      <c r="B1449" s="289" t="s">
        <v>11043</v>
      </c>
      <c r="C1449" s="18"/>
      <c r="D1449" s="9" t="s">
        <v>10795</v>
      </c>
      <c r="E1449" s="22" t="s">
        <v>10757</v>
      </c>
      <c r="F1449" s="27" t="s">
        <v>11062</v>
      </c>
      <c r="G1449" s="285" t="s">
        <v>10465</v>
      </c>
      <c r="H1449" s="285" t="s">
        <v>10784</v>
      </c>
      <c r="I1449" s="289"/>
      <c r="J1449" s="285" t="s">
        <v>10461</v>
      </c>
      <c r="K1449" s="14" t="s">
        <v>11243</v>
      </c>
      <c r="L1449" s="289" t="s">
        <v>11244</v>
      </c>
      <c r="M1449" s="14">
        <v>44438</v>
      </c>
      <c r="N1449" s="40">
        <v>1</v>
      </c>
      <c r="O1449" s="40">
        <v>39569.589999999997</v>
      </c>
      <c r="P1449" s="40">
        <v>0</v>
      </c>
      <c r="Q1449" s="17">
        <f t="shared" si="40"/>
        <v>39569.589999999997</v>
      </c>
      <c r="R1449" s="285" t="s">
        <v>7630</v>
      </c>
      <c r="S1449" s="14">
        <v>44278</v>
      </c>
      <c r="T1449" s="22" t="s">
        <v>11032</v>
      </c>
    </row>
    <row r="1450" spans="1:20" ht="108" customHeight="1" x14ac:dyDescent="0.2">
      <c r="A1450" s="289">
        <v>1488</v>
      </c>
      <c r="B1450" s="289" t="s">
        <v>11044</v>
      </c>
      <c r="C1450" s="18"/>
      <c r="D1450" s="9" t="s">
        <v>10795</v>
      </c>
      <c r="E1450" s="22" t="s">
        <v>10757</v>
      </c>
      <c r="F1450" s="27" t="s">
        <v>11063</v>
      </c>
      <c r="G1450" s="285" t="s">
        <v>10465</v>
      </c>
      <c r="H1450" s="285" t="s">
        <v>10784</v>
      </c>
      <c r="I1450" s="289"/>
      <c r="J1450" s="285" t="s">
        <v>10461</v>
      </c>
      <c r="K1450" s="14" t="s">
        <v>11243</v>
      </c>
      <c r="L1450" s="289" t="s">
        <v>11244</v>
      </c>
      <c r="M1450" s="14">
        <v>44438</v>
      </c>
      <c r="N1450" s="40">
        <v>1</v>
      </c>
      <c r="O1450" s="40">
        <v>39569.589999999997</v>
      </c>
      <c r="P1450" s="40">
        <v>0</v>
      </c>
      <c r="Q1450" s="17">
        <f t="shared" si="40"/>
        <v>39569.589999999997</v>
      </c>
      <c r="R1450" s="285" t="s">
        <v>7630</v>
      </c>
      <c r="S1450" s="14">
        <v>44278</v>
      </c>
      <c r="T1450" s="22" t="s">
        <v>11032</v>
      </c>
    </row>
    <row r="1451" spans="1:20" ht="248.25" customHeight="1" x14ac:dyDescent="0.2">
      <c r="A1451" s="289">
        <v>1489</v>
      </c>
      <c r="B1451" s="289" t="s">
        <v>11070</v>
      </c>
      <c r="C1451" s="18"/>
      <c r="D1451" s="9" t="s">
        <v>11078</v>
      </c>
      <c r="E1451" s="22" t="s">
        <v>10757</v>
      </c>
      <c r="F1451" s="336" t="s">
        <v>11257</v>
      </c>
      <c r="G1451" s="285" t="s">
        <v>10465</v>
      </c>
      <c r="H1451" s="285" t="s">
        <v>10784</v>
      </c>
      <c r="I1451" s="289"/>
      <c r="J1451" s="285" t="s">
        <v>10461</v>
      </c>
      <c r="K1451" s="14" t="s">
        <v>11284</v>
      </c>
      <c r="L1451" s="289" t="s">
        <v>11285</v>
      </c>
      <c r="M1451" s="14">
        <v>44441</v>
      </c>
      <c r="N1451" s="40">
        <v>2</v>
      </c>
      <c r="O1451" s="40">
        <v>245311.56</v>
      </c>
      <c r="P1451" s="40">
        <v>0</v>
      </c>
      <c r="Q1451" s="17">
        <f t="shared" si="40"/>
        <v>245311.56</v>
      </c>
      <c r="R1451" s="285" t="s">
        <v>10465</v>
      </c>
      <c r="S1451" s="14">
        <v>44400</v>
      </c>
      <c r="T1451" s="22" t="s">
        <v>11072</v>
      </c>
    </row>
    <row r="1452" spans="1:20" ht="225.75" customHeight="1" x14ac:dyDescent="0.2">
      <c r="A1452" s="289">
        <v>1489</v>
      </c>
      <c r="B1452" s="289" t="s">
        <v>11071</v>
      </c>
      <c r="C1452" s="18"/>
      <c r="D1452" s="9" t="s">
        <v>11079</v>
      </c>
      <c r="E1452" s="22" t="s">
        <v>10757</v>
      </c>
      <c r="F1452" s="336" t="s">
        <v>11258</v>
      </c>
      <c r="G1452" s="285" t="s">
        <v>10465</v>
      </c>
      <c r="H1452" s="285" t="s">
        <v>10784</v>
      </c>
      <c r="I1452" s="289"/>
      <c r="J1452" s="285" t="s">
        <v>10461</v>
      </c>
      <c r="K1452" s="14" t="s">
        <v>11284</v>
      </c>
      <c r="L1452" s="289" t="s">
        <v>11285</v>
      </c>
      <c r="M1452" s="14">
        <v>44441</v>
      </c>
      <c r="N1452" s="40">
        <v>2</v>
      </c>
      <c r="O1452" s="40">
        <v>257738</v>
      </c>
      <c r="P1452" s="40">
        <v>0</v>
      </c>
      <c r="Q1452" s="17">
        <f t="shared" si="40"/>
        <v>257738</v>
      </c>
      <c r="R1452" s="285" t="s">
        <v>10465</v>
      </c>
      <c r="S1452" s="14">
        <v>44400</v>
      </c>
      <c r="T1452" s="22" t="s">
        <v>11072</v>
      </c>
    </row>
    <row r="1453" spans="1:20" ht="236.25" customHeight="1" x14ac:dyDescent="0.2">
      <c r="A1453" s="289">
        <v>1490</v>
      </c>
      <c r="B1453" s="289" t="s">
        <v>11073</v>
      </c>
      <c r="C1453" s="18"/>
      <c r="D1453" s="9" t="s">
        <v>11080</v>
      </c>
      <c r="E1453" s="22" t="s">
        <v>10757</v>
      </c>
      <c r="F1453" s="336" t="s">
        <v>11259</v>
      </c>
      <c r="G1453" s="285" t="s">
        <v>10465</v>
      </c>
      <c r="H1453" s="285" t="s">
        <v>10784</v>
      </c>
      <c r="I1453" s="289"/>
      <c r="J1453" s="285" t="s">
        <v>10461</v>
      </c>
      <c r="K1453" s="14" t="s">
        <v>11284</v>
      </c>
      <c r="L1453" s="289" t="s">
        <v>11285</v>
      </c>
      <c r="M1453" s="14">
        <v>44441</v>
      </c>
      <c r="N1453" s="40">
        <v>1</v>
      </c>
      <c r="O1453" s="40">
        <v>112521.81</v>
      </c>
      <c r="P1453" s="40">
        <v>0</v>
      </c>
      <c r="Q1453" s="17">
        <f t="shared" si="40"/>
        <v>112521.81</v>
      </c>
      <c r="R1453" s="285" t="s">
        <v>10465</v>
      </c>
      <c r="S1453" s="14">
        <v>44400</v>
      </c>
      <c r="T1453" s="22" t="s">
        <v>11072</v>
      </c>
    </row>
    <row r="1454" spans="1:20" ht="252" customHeight="1" x14ac:dyDescent="0.2">
      <c r="A1454" s="289">
        <v>1491</v>
      </c>
      <c r="B1454" s="289" t="s">
        <v>11074</v>
      </c>
      <c r="C1454" s="18"/>
      <c r="D1454" s="9" t="s">
        <v>11081</v>
      </c>
      <c r="E1454" s="22" t="s">
        <v>10757</v>
      </c>
      <c r="F1454" s="336" t="s">
        <v>11260</v>
      </c>
      <c r="G1454" s="285" t="s">
        <v>10465</v>
      </c>
      <c r="H1454" s="285" t="s">
        <v>10784</v>
      </c>
      <c r="I1454" s="289"/>
      <c r="J1454" s="285" t="s">
        <v>10461</v>
      </c>
      <c r="K1454" s="14" t="s">
        <v>11284</v>
      </c>
      <c r="L1454" s="289" t="s">
        <v>11285</v>
      </c>
      <c r="M1454" s="14">
        <v>44441</v>
      </c>
      <c r="N1454" s="40">
        <v>2</v>
      </c>
      <c r="O1454" s="40">
        <v>226582.2</v>
      </c>
      <c r="P1454" s="40">
        <v>0</v>
      </c>
      <c r="Q1454" s="17">
        <f t="shared" si="40"/>
        <v>226582.2</v>
      </c>
      <c r="R1454" s="285" t="s">
        <v>10465</v>
      </c>
      <c r="S1454" s="14">
        <v>44400</v>
      </c>
      <c r="T1454" s="22" t="s">
        <v>11072</v>
      </c>
    </row>
    <row r="1455" spans="1:20" ht="248.25" customHeight="1" x14ac:dyDescent="0.2">
      <c r="A1455" s="289">
        <v>1492</v>
      </c>
      <c r="B1455" s="289" t="s">
        <v>11075</v>
      </c>
      <c r="C1455" s="18"/>
      <c r="D1455" s="9" t="s">
        <v>11082</v>
      </c>
      <c r="E1455" s="22" t="s">
        <v>10757</v>
      </c>
      <c r="F1455" s="336" t="s">
        <v>11288</v>
      </c>
      <c r="G1455" s="285" t="s">
        <v>10465</v>
      </c>
      <c r="H1455" s="285" t="s">
        <v>10784</v>
      </c>
      <c r="I1455" s="289"/>
      <c r="J1455" s="285" t="s">
        <v>10461</v>
      </c>
      <c r="K1455" s="14" t="s">
        <v>11286</v>
      </c>
      <c r="L1455" s="285" t="s">
        <v>11287</v>
      </c>
      <c r="M1455" s="14">
        <v>44441</v>
      </c>
      <c r="N1455" s="40">
        <v>2</v>
      </c>
      <c r="O1455" s="40">
        <v>160832.1</v>
      </c>
      <c r="P1455" s="40">
        <v>0</v>
      </c>
      <c r="Q1455" s="17">
        <f t="shared" si="40"/>
        <v>160832.1</v>
      </c>
      <c r="R1455" s="285" t="s">
        <v>10465</v>
      </c>
      <c r="S1455" s="14">
        <v>44400</v>
      </c>
      <c r="T1455" s="22" t="s">
        <v>11072</v>
      </c>
    </row>
    <row r="1456" spans="1:20" ht="243" customHeight="1" x14ac:dyDescent="0.2">
      <c r="A1456" s="289">
        <v>1492</v>
      </c>
      <c r="B1456" s="289" t="s">
        <v>11076</v>
      </c>
      <c r="C1456" s="18"/>
      <c r="D1456" s="9" t="s">
        <v>11077</v>
      </c>
      <c r="E1456" s="22" t="s">
        <v>10757</v>
      </c>
      <c r="F1456" s="336" t="s">
        <v>11672</v>
      </c>
      <c r="G1456" s="285" t="s">
        <v>10465</v>
      </c>
      <c r="H1456" s="285" t="s">
        <v>10784</v>
      </c>
      <c r="I1456" s="289"/>
      <c r="J1456" s="285" t="s">
        <v>10461</v>
      </c>
      <c r="K1456" s="14" t="s">
        <v>11284</v>
      </c>
      <c r="L1456" s="289" t="s">
        <v>11285</v>
      </c>
      <c r="M1456" s="14">
        <v>44441</v>
      </c>
      <c r="N1456" s="40">
        <v>2</v>
      </c>
      <c r="O1456" s="40">
        <v>284492.52</v>
      </c>
      <c r="P1456" s="40">
        <v>0</v>
      </c>
      <c r="Q1456" s="17">
        <f t="shared" si="40"/>
        <v>284492.52</v>
      </c>
      <c r="R1456" s="285" t="s">
        <v>10465</v>
      </c>
      <c r="S1456" s="14">
        <v>44400</v>
      </c>
      <c r="T1456" s="22" t="s">
        <v>11072</v>
      </c>
    </row>
    <row r="1457" spans="1:20" ht="71.25" customHeight="1" x14ac:dyDescent="0.2">
      <c r="A1457" s="289">
        <v>1493</v>
      </c>
      <c r="B1457" s="289" t="s">
        <v>11416</v>
      </c>
      <c r="C1457" s="18"/>
      <c r="D1457" s="9" t="s">
        <v>11091</v>
      </c>
      <c r="E1457" s="22" t="s">
        <v>10757</v>
      </c>
      <c r="F1457" s="27"/>
      <c r="G1457" s="285" t="s">
        <v>3090</v>
      </c>
      <c r="H1457" s="285" t="s">
        <v>5127</v>
      </c>
      <c r="I1457" s="289"/>
      <c r="J1457" s="285" t="s">
        <v>10461</v>
      </c>
      <c r="K1457" s="14" t="s">
        <v>11362</v>
      </c>
      <c r="L1457" s="289" t="s">
        <v>11363</v>
      </c>
      <c r="M1457" s="14">
        <v>44399</v>
      </c>
      <c r="N1457" s="40">
        <v>1</v>
      </c>
      <c r="O1457" s="40">
        <v>1053.8499999999999</v>
      </c>
      <c r="P1457" s="40">
        <v>1053.8499999999999</v>
      </c>
      <c r="Q1457" s="17">
        <f t="shared" si="40"/>
        <v>0</v>
      </c>
      <c r="R1457" s="285" t="s">
        <v>11092</v>
      </c>
      <c r="S1457" s="14">
        <v>44284</v>
      </c>
      <c r="T1457" s="70">
        <v>403</v>
      </c>
    </row>
    <row r="1458" spans="1:20" ht="71.25" customHeight="1" x14ac:dyDescent="0.2">
      <c r="A1458" s="289">
        <v>1494</v>
      </c>
      <c r="B1458" s="289" t="s">
        <v>11417</v>
      </c>
      <c r="C1458" s="18"/>
      <c r="D1458" s="9" t="s">
        <v>11093</v>
      </c>
      <c r="E1458" s="22" t="s">
        <v>10757</v>
      </c>
      <c r="F1458" s="27"/>
      <c r="G1458" s="285" t="s">
        <v>3090</v>
      </c>
      <c r="H1458" s="285" t="s">
        <v>5127</v>
      </c>
      <c r="I1458" s="289"/>
      <c r="J1458" s="285" t="s">
        <v>10461</v>
      </c>
      <c r="K1458" s="14" t="s">
        <v>11362</v>
      </c>
      <c r="L1458" s="289" t="s">
        <v>11363</v>
      </c>
      <c r="M1458" s="14">
        <v>44399</v>
      </c>
      <c r="N1458" s="40">
        <v>2</v>
      </c>
      <c r="O1458" s="40">
        <v>144.4</v>
      </c>
      <c r="P1458" s="40">
        <v>144.4</v>
      </c>
      <c r="Q1458" s="17">
        <f t="shared" si="40"/>
        <v>0</v>
      </c>
      <c r="R1458" s="285" t="s">
        <v>11092</v>
      </c>
      <c r="S1458" s="14">
        <v>44357</v>
      </c>
      <c r="T1458" s="70">
        <v>745</v>
      </c>
    </row>
    <row r="1459" spans="1:20" ht="71.25" customHeight="1" x14ac:dyDescent="0.2">
      <c r="A1459" s="289">
        <v>1495</v>
      </c>
      <c r="B1459" s="289" t="s">
        <v>11418</v>
      </c>
      <c r="C1459" s="18"/>
      <c r="D1459" s="9" t="s">
        <v>11094</v>
      </c>
      <c r="E1459" s="22" t="s">
        <v>10757</v>
      </c>
      <c r="F1459" s="27"/>
      <c r="G1459" s="285" t="s">
        <v>3090</v>
      </c>
      <c r="H1459" s="285" t="s">
        <v>5127</v>
      </c>
      <c r="I1459" s="289"/>
      <c r="J1459" s="285" t="s">
        <v>10461</v>
      </c>
      <c r="K1459" s="14" t="s">
        <v>11362</v>
      </c>
      <c r="L1459" s="289" t="s">
        <v>11363</v>
      </c>
      <c r="M1459" s="14">
        <v>44399</v>
      </c>
      <c r="N1459" s="40">
        <v>1</v>
      </c>
      <c r="O1459" s="40">
        <v>81.849999999999994</v>
      </c>
      <c r="P1459" s="40">
        <v>81.849999999999994</v>
      </c>
      <c r="Q1459" s="17">
        <f t="shared" si="40"/>
        <v>0</v>
      </c>
      <c r="R1459" s="285" t="s">
        <v>11092</v>
      </c>
      <c r="S1459" s="14">
        <v>44357</v>
      </c>
      <c r="T1459" s="70">
        <v>745</v>
      </c>
    </row>
    <row r="1460" spans="1:20" ht="71.25" customHeight="1" x14ac:dyDescent="0.2">
      <c r="A1460" s="289">
        <v>1496</v>
      </c>
      <c r="B1460" s="289" t="s">
        <v>11419</v>
      </c>
      <c r="C1460" s="18"/>
      <c r="D1460" s="9" t="s">
        <v>11095</v>
      </c>
      <c r="E1460" s="22" t="s">
        <v>10757</v>
      </c>
      <c r="F1460" s="27"/>
      <c r="G1460" s="285" t="s">
        <v>3090</v>
      </c>
      <c r="H1460" s="285" t="s">
        <v>5127</v>
      </c>
      <c r="I1460" s="289"/>
      <c r="J1460" s="285" t="s">
        <v>10461</v>
      </c>
      <c r="K1460" s="14" t="s">
        <v>11362</v>
      </c>
      <c r="L1460" s="289" t="s">
        <v>11363</v>
      </c>
      <c r="M1460" s="14">
        <v>44411</v>
      </c>
      <c r="N1460" s="40">
        <v>1</v>
      </c>
      <c r="O1460" s="40">
        <v>3050</v>
      </c>
      <c r="P1460" s="40">
        <v>3050</v>
      </c>
      <c r="Q1460" s="17">
        <f>O1460-P1460</f>
        <v>0</v>
      </c>
      <c r="R1460" s="285" t="s">
        <v>11092</v>
      </c>
      <c r="S1460" s="14">
        <v>44410</v>
      </c>
      <c r="T1460" s="70">
        <v>992</v>
      </c>
    </row>
    <row r="1461" spans="1:20" ht="71.25" customHeight="1" x14ac:dyDescent="0.2">
      <c r="A1461" s="289">
        <v>1497</v>
      </c>
      <c r="B1461" s="289" t="s">
        <v>11098</v>
      </c>
      <c r="C1461" s="18"/>
      <c r="D1461" s="9" t="s">
        <v>11096</v>
      </c>
      <c r="E1461" s="22" t="s">
        <v>10757</v>
      </c>
      <c r="F1461" s="27"/>
      <c r="G1461" s="285" t="s">
        <v>7981</v>
      </c>
      <c r="H1461" s="285" t="s">
        <v>5127</v>
      </c>
      <c r="I1461" s="289"/>
      <c r="J1461" s="285" t="s">
        <v>10461</v>
      </c>
      <c r="K1461" s="14">
        <v>44461</v>
      </c>
      <c r="L1461" s="289">
        <v>677</v>
      </c>
      <c r="M1461" s="14">
        <v>44445</v>
      </c>
      <c r="N1461" s="40">
        <v>1</v>
      </c>
      <c r="O1461" s="40">
        <v>24000</v>
      </c>
      <c r="P1461" s="40">
        <v>24000</v>
      </c>
      <c r="Q1461" s="17">
        <f t="shared" si="40"/>
        <v>0</v>
      </c>
      <c r="R1461" s="285" t="s">
        <v>11097</v>
      </c>
      <c r="S1461" s="14">
        <v>44411</v>
      </c>
      <c r="T1461" s="70">
        <v>38</v>
      </c>
    </row>
    <row r="1462" spans="1:20" ht="49.9" customHeight="1" x14ac:dyDescent="0.2">
      <c r="A1462" s="289">
        <v>1498</v>
      </c>
      <c r="B1462" s="289" t="s">
        <v>11103</v>
      </c>
      <c r="C1462" s="18"/>
      <c r="D1462" s="9" t="s">
        <v>11132</v>
      </c>
      <c r="E1462" s="22" t="s">
        <v>10757</v>
      </c>
      <c r="F1462" s="27" t="s">
        <v>11108</v>
      </c>
      <c r="G1462" s="285" t="s">
        <v>10465</v>
      </c>
      <c r="H1462" s="285" t="s">
        <v>10784</v>
      </c>
      <c r="I1462" s="289"/>
      <c r="J1462" s="285" t="s">
        <v>10461</v>
      </c>
      <c r="K1462" s="14">
        <v>44481</v>
      </c>
      <c r="L1462" s="289">
        <v>740</v>
      </c>
      <c r="M1462" s="14">
        <v>44469</v>
      </c>
      <c r="N1462" s="40">
        <v>1</v>
      </c>
      <c r="O1462" s="40">
        <v>1463541</v>
      </c>
      <c r="P1462" s="40">
        <v>0</v>
      </c>
      <c r="Q1462" s="17">
        <f t="shared" si="40"/>
        <v>1463541</v>
      </c>
      <c r="R1462" s="285" t="s">
        <v>11113</v>
      </c>
      <c r="S1462" s="14" t="s">
        <v>11111</v>
      </c>
      <c r="T1462" s="70" t="s">
        <v>11112</v>
      </c>
    </row>
    <row r="1463" spans="1:20" ht="90.75" customHeight="1" x14ac:dyDescent="0.2">
      <c r="A1463" s="289">
        <v>1499</v>
      </c>
      <c r="B1463" s="289" t="s">
        <v>11104</v>
      </c>
      <c r="C1463" s="18"/>
      <c r="D1463" s="9" t="s">
        <v>11105</v>
      </c>
      <c r="E1463" s="22" t="s">
        <v>10757</v>
      </c>
      <c r="F1463" s="27" t="s">
        <v>11109</v>
      </c>
      <c r="G1463" s="285" t="s">
        <v>10465</v>
      </c>
      <c r="H1463" s="285" t="s">
        <v>10784</v>
      </c>
      <c r="I1463" s="289"/>
      <c r="J1463" s="285" t="s">
        <v>10461</v>
      </c>
      <c r="K1463" s="14" t="s">
        <v>11247</v>
      </c>
      <c r="L1463" s="289" t="s">
        <v>11248</v>
      </c>
      <c r="M1463" s="14">
        <v>44469</v>
      </c>
      <c r="N1463" s="40">
        <v>20</v>
      </c>
      <c r="O1463" s="40">
        <v>277002</v>
      </c>
      <c r="P1463" s="40">
        <v>0</v>
      </c>
      <c r="Q1463" s="17">
        <f t="shared" si="40"/>
        <v>277002</v>
      </c>
      <c r="R1463" s="285" t="s">
        <v>11113</v>
      </c>
      <c r="S1463" s="14" t="s">
        <v>11111</v>
      </c>
      <c r="T1463" s="70" t="s">
        <v>11112</v>
      </c>
    </row>
    <row r="1464" spans="1:20" ht="71.25" customHeight="1" x14ac:dyDescent="0.2">
      <c r="A1464" s="289">
        <v>1500</v>
      </c>
      <c r="B1464" s="289" t="s">
        <v>11106</v>
      </c>
      <c r="C1464" s="18"/>
      <c r="D1464" s="9" t="s">
        <v>11110</v>
      </c>
      <c r="E1464" s="22" t="s">
        <v>10757</v>
      </c>
      <c r="F1464" s="27" t="s">
        <v>11116</v>
      </c>
      <c r="G1464" s="285" t="s">
        <v>10465</v>
      </c>
      <c r="H1464" s="285" t="s">
        <v>10784</v>
      </c>
      <c r="I1464" s="289"/>
      <c r="J1464" s="285" t="s">
        <v>10461</v>
      </c>
      <c r="K1464" s="14" t="s">
        <v>11247</v>
      </c>
      <c r="L1464" s="289" t="s">
        <v>11248</v>
      </c>
      <c r="M1464" s="14">
        <v>44469</v>
      </c>
      <c r="N1464" s="40">
        <v>5</v>
      </c>
      <c r="O1464" s="40">
        <v>106143</v>
      </c>
      <c r="P1464" s="40">
        <v>0</v>
      </c>
      <c r="Q1464" s="17">
        <f t="shared" si="40"/>
        <v>106143</v>
      </c>
      <c r="R1464" s="285" t="s">
        <v>11113</v>
      </c>
      <c r="S1464" s="14" t="s">
        <v>11111</v>
      </c>
      <c r="T1464" s="70" t="s">
        <v>11112</v>
      </c>
    </row>
    <row r="1465" spans="1:20" ht="125.25" customHeight="1" x14ac:dyDescent="0.2">
      <c r="A1465" s="289">
        <v>1501</v>
      </c>
      <c r="B1465" s="289" t="s">
        <v>11107</v>
      </c>
      <c r="C1465" s="18"/>
      <c r="D1465" s="9" t="s">
        <v>12205</v>
      </c>
      <c r="E1465" s="22" t="s">
        <v>10757</v>
      </c>
      <c r="F1465" s="27" t="s">
        <v>11117</v>
      </c>
      <c r="G1465" s="285" t="s">
        <v>10465</v>
      </c>
      <c r="H1465" s="285" t="s">
        <v>10784</v>
      </c>
      <c r="I1465" s="289"/>
      <c r="J1465" s="285" t="s">
        <v>10461</v>
      </c>
      <c r="K1465" s="14" t="s">
        <v>11247</v>
      </c>
      <c r="L1465" s="289" t="s">
        <v>11248</v>
      </c>
      <c r="M1465" s="14">
        <v>44469</v>
      </c>
      <c r="N1465" s="40">
        <v>5</v>
      </c>
      <c r="O1465" s="40">
        <v>27584</v>
      </c>
      <c r="P1465" s="40">
        <v>0</v>
      </c>
      <c r="Q1465" s="17">
        <f t="shared" ref="Q1465:Q1474" si="41">O1465-P1465</f>
        <v>27584</v>
      </c>
      <c r="R1465" s="285" t="s">
        <v>11113</v>
      </c>
      <c r="S1465" s="14" t="s">
        <v>11111</v>
      </c>
      <c r="T1465" s="70" t="s">
        <v>11112</v>
      </c>
    </row>
    <row r="1466" spans="1:20" ht="71.25" customHeight="1" x14ac:dyDescent="0.2">
      <c r="A1466" s="289">
        <v>1502</v>
      </c>
      <c r="B1466" s="289" t="s">
        <v>11114</v>
      </c>
      <c r="C1466" s="18"/>
      <c r="D1466" s="9" t="s">
        <v>11115</v>
      </c>
      <c r="E1466" s="22" t="s">
        <v>10757</v>
      </c>
      <c r="F1466" s="27" t="s">
        <v>11121</v>
      </c>
      <c r="G1466" s="285" t="s">
        <v>10465</v>
      </c>
      <c r="H1466" s="285" t="s">
        <v>10784</v>
      </c>
      <c r="I1466" s="289"/>
      <c r="J1466" s="285" t="s">
        <v>10461</v>
      </c>
      <c r="K1466" s="14" t="s">
        <v>11247</v>
      </c>
      <c r="L1466" s="289" t="s">
        <v>11248</v>
      </c>
      <c r="M1466" s="14">
        <v>44469</v>
      </c>
      <c r="N1466" s="40">
        <v>2</v>
      </c>
      <c r="O1466" s="40">
        <v>25196</v>
      </c>
      <c r="P1466" s="40">
        <v>0</v>
      </c>
      <c r="Q1466" s="17">
        <f t="shared" si="41"/>
        <v>25196</v>
      </c>
      <c r="R1466" s="285" t="s">
        <v>11113</v>
      </c>
      <c r="S1466" s="14" t="s">
        <v>11111</v>
      </c>
      <c r="T1466" s="70" t="s">
        <v>11118</v>
      </c>
    </row>
    <row r="1467" spans="1:20" ht="71.25" customHeight="1" x14ac:dyDescent="0.2">
      <c r="A1467" s="289">
        <v>1503</v>
      </c>
      <c r="B1467" s="289" t="s">
        <v>11119</v>
      </c>
      <c r="C1467" s="18"/>
      <c r="D1467" s="9" t="s">
        <v>11122</v>
      </c>
      <c r="E1467" s="22" t="s">
        <v>10757</v>
      </c>
      <c r="F1467" s="27" t="s">
        <v>11120</v>
      </c>
      <c r="G1467" s="285" t="s">
        <v>10465</v>
      </c>
      <c r="H1467" s="285" t="s">
        <v>10784</v>
      </c>
      <c r="I1467" s="289"/>
      <c r="J1467" s="285" t="s">
        <v>10461</v>
      </c>
      <c r="K1467" s="14" t="s">
        <v>11247</v>
      </c>
      <c r="L1467" s="289" t="s">
        <v>11248</v>
      </c>
      <c r="M1467" s="14">
        <v>44469</v>
      </c>
      <c r="N1467" s="40">
        <v>2</v>
      </c>
      <c r="O1467" s="40">
        <v>67436</v>
      </c>
      <c r="P1467" s="40">
        <v>0</v>
      </c>
      <c r="Q1467" s="17">
        <f t="shared" si="41"/>
        <v>67436</v>
      </c>
      <c r="R1467" s="285" t="s">
        <v>11113</v>
      </c>
      <c r="S1467" s="14" t="s">
        <v>11111</v>
      </c>
      <c r="T1467" s="70" t="s">
        <v>11118</v>
      </c>
    </row>
    <row r="1468" spans="1:20" ht="71.25" customHeight="1" x14ac:dyDescent="0.2">
      <c r="A1468" s="289">
        <v>1504</v>
      </c>
      <c r="B1468" s="289" t="s">
        <v>11123</v>
      </c>
      <c r="C1468" s="18"/>
      <c r="D1468" s="9" t="s">
        <v>11124</v>
      </c>
      <c r="E1468" s="22" t="s">
        <v>10757</v>
      </c>
      <c r="F1468" s="27" t="s">
        <v>11125</v>
      </c>
      <c r="G1468" s="285" t="s">
        <v>10465</v>
      </c>
      <c r="H1468" s="285" t="s">
        <v>10784</v>
      </c>
      <c r="I1468" s="289"/>
      <c r="J1468" s="285" t="s">
        <v>10461</v>
      </c>
      <c r="K1468" s="14" t="s">
        <v>11247</v>
      </c>
      <c r="L1468" s="289" t="s">
        <v>11248</v>
      </c>
      <c r="M1468" s="14">
        <v>44469</v>
      </c>
      <c r="N1468" s="40">
        <v>2</v>
      </c>
      <c r="O1468" s="40">
        <v>99412</v>
      </c>
      <c r="P1468" s="40">
        <v>0</v>
      </c>
      <c r="Q1468" s="17">
        <f t="shared" si="41"/>
        <v>99412</v>
      </c>
      <c r="R1468" s="285" t="s">
        <v>11113</v>
      </c>
      <c r="S1468" s="14" t="s">
        <v>11111</v>
      </c>
      <c r="T1468" s="70" t="s">
        <v>11118</v>
      </c>
    </row>
    <row r="1469" spans="1:20" ht="120" customHeight="1" x14ac:dyDescent="0.2">
      <c r="A1469" s="289">
        <v>1505</v>
      </c>
      <c r="B1469" s="289" t="s">
        <v>11126</v>
      </c>
      <c r="C1469" s="18"/>
      <c r="D1469" s="9" t="s">
        <v>11127</v>
      </c>
      <c r="E1469" s="22" t="s">
        <v>10757</v>
      </c>
      <c r="F1469" s="27" t="s">
        <v>11128</v>
      </c>
      <c r="G1469" s="285" t="s">
        <v>10465</v>
      </c>
      <c r="H1469" s="285" t="s">
        <v>10784</v>
      </c>
      <c r="I1469" s="289"/>
      <c r="J1469" s="285" t="s">
        <v>10461</v>
      </c>
      <c r="K1469" s="14" t="s">
        <v>11247</v>
      </c>
      <c r="L1469" s="289" t="s">
        <v>11248</v>
      </c>
      <c r="M1469" s="14">
        <v>44469</v>
      </c>
      <c r="N1469" s="40">
        <v>15</v>
      </c>
      <c r="O1469" s="40">
        <v>181097</v>
      </c>
      <c r="P1469" s="40">
        <v>0</v>
      </c>
      <c r="Q1469" s="17">
        <f t="shared" si="41"/>
        <v>181097</v>
      </c>
      <c r="R1469" s="285" t="s">
        <v>11113</v>
      </c>
      <c r="S1469" s="14" t="s">
        <v>11111</v>
      </c>
      <c r="T1469" s="70" t="s">
        <v>11118</v>
      </c>
    </row>
    <row r="1470" spans="1:20" ht="102.75" customHeight="1" x14ac:dyDescent="0.2">
      <c r="A1470" s="289">
        <v>1506</v>
      </c>
      <c r="B1470" s="289" t="s">
        <v>11129</v>
      </c>
      <c r="C1470" s="18" t="s">
        <v>12250</v>
      </c>
      <c r="D1470" s="9" t="s">
        <v>11130</v>
      </c>
      <c r="E1470" s="22" t="s">
        <v>10757</v>
      </c>
      <c r="F1470" s="27" t="s">
        <v>11131</v>
      </c>
      <c r="G1470" s="285" t="s">
        <v>10465</v>
      </c>
      <c r="H1470" s="285" t="s">
        <v>10784</v>
      </c>
      <c r="I1470" s="289"/>
      <c r="J1470" s="285" t="s">
        <v>10461</v>
      </c>
      <c r="K1470" s="14">
        <v>44481</v>
      </c>
      <c r="L1470" s="289">
        <v>740</v>
      </c>
      <c r="M1470" s="14">
        <v>44469</v>
      </c>
      <c r="N1470" s="40">
        <v>10</v>
      </c>
      <c r="O1470" s="40">
        <v>616767</v>
      </c>
      <c r="P1470" s="40">
        <v>0</v>
      </c>
      <c r="Q1470" s="17">
        <f t="shared" si="41"/>
        <v>616767</v>
      </c>
      <c r="R1470" s="285" t="s">
        <v>11113</v>
      </c>
      <c r="S1470" s="14" t="s">
        <v>11111</v>
      </c>
      <c r="T1470" s="70" t="s">
        <v>11118</v>
      </c>
    </row>
    <row r="1471" spans="1:20" ht="88.5" customHeight="1" x14ac:dyDescent="0.2">
      <c r="A1471" s="289">
        <v>1507</v>
      </c>
      <c r="B1471" s="289" t="s">
        <v>11140</v>
      </c>
      <c r="C1471" s="18"/>
      <c r="D1471" s="9" t="s">
        <v>11141</v>
      </c>
      <c r="E1471" s="22" t="s">
        <v>10757</v>
      </c>
      <c r="F1471" s="27"/>
      <c r="G1471" s="285" t="s">
        <v>7982</v>
      </c>
      <c r="H1471" s="285" t="s">
        <v>5127</v>
      </c>
      <c r="I1471" s="289"/>
      <c r="J1471" s="285" t="s">
        <v>3136</v>
      </c>
      <c r="K1471" s="14">
        <v>44489</v>
      </c>
      <c r="L1471" s="289">
        <v>767</v>
      </c>
      <c r="M1471" s="14">
        <v>44460</v>
      </c>
      <c r="N1471" s="40">
        <v>1</v>
      </c>
      <c r="O1471" s="40">
        <v>1626</v>
      </c>
      <c r="P1471" s="40">
        <v>1626</v>
      </c>
      <c r="Q1471" s="17">
        <f t="shared" si="41"/>
        <v>0</v>
      </c>
      <c r="R1471" s="285" t="s">
        <v>11142</v>
      </c>
      <c r="S1471" s="14">
        <v>44454</v>
      </c>
      <c r="T1471" s="70" t="s">
        <v>1029</v>
      </c>
    </row>
    <row r="1472" spans="1:20" ht="88.5" customHeight="1" x14ac:dyDescent="0.2">
      <c r="A1472" s="289">
        <v>1508</v>
      </c>
      <c r="B1472" s="289" t="s">
        <v>11143</v>
      </c>
      <c r="C1472" s="18"/>
      <c r="D1472" s="9" t="s">
        <v>11144</v>
      </c>
      <c r="E1472" s="22" t="s">
        <v>10757</v>
      </c>
      <c r="F1472" s="27"/>
      <c r="G1472" s="285" t="s">
        <v>7982</v>
      </c>
      <c r="H1472" s="285" t="s">
        <v>5127</v>
      </c>
      <c r="I1472" s="289"/>
      <c r="J1472" s="285" t="s">
        <v>3136</v>
      </c>
      <c r="K1472" s="14">
        <v>44489</v>
      </c>
      <c r="L1472" s="289">
        <v>767</v>
      </c>
      <c r="M1472" s="14">
        <v>44460</v>
      </c>
      <c r="N1472" s="40">
        <v>1</v>
      </c>
      <c r="O1472" s="40">
        <v>2906</v>
      </c>
      <c r="P1472" s="40">
        <v>2906</v>
      </c>
      <c r="Q1472" s="17">
        <f t="shared" si="41"/>
        <v>0</v>
      </c>
      <c r="R1472" s="285" t="s">
        <v>11142</v>
      </c>
      <c r="S1472" s="14">
        <v>44454</v>
      </c>
      <c r="T1472" s="70" t="s">
        <v>1029</v>
      </c>
    </row>
    <row r="1473" spans="1:20" ht="88.5" customHeight="1" x14ac:dyDescent="0.2">
      <c r="A1473" s="289">
        <v>1509</v>
      </c>
      <c r="B1473" s="289" t="s">
        <v>11164</v>
      </c>
      <c r="C1473" s="18"/>
      <c r="D1473" s="9" t="s">
        <v>11165</v>
      </c>
      <c r="E1473" s="22" t="s">
        <v>10757</v>
      </c>
      <c r="F1473" s="27"/>
      <c r="G1473" s="285" t="s">
        <v>7982</v>
      </c>
      <c r="H1473" s="285" t="s">
        <v>5127</v>
      </c>
      <c r="I1473" s="289"/>
      <c r="J1473" s="285" t="s">
        <v>3136</v>
      </c>
      <c r="K1473" s="14">
        <v>44497</v>
      </c>
      <c r="L1473" s="289">
        <v>789</v>
      </c>
      <c r="M1473" s="14">
        <v>44470</v>
      </c>
      <c r="N1473" s="40">
        <v>1</v>
      </c>
      <c r="O1473" s="40">
        <v>14000</v>
      </c>
      <c r="P1473" s="40">
        <v>14000</v>
      </c>
      <c r="Q1473" s="17">
        <f t="shared" si="41"/>
        <v>0</v>
      </c>
      <c r="R1473" s="285" t="s">
        <v>11166</v>
      </c>
      <c r="S1473" s="14">
        <v>44470</v>
      </c>
      <c r="T1473" s="70" t="s">
        <v>1029</v>
      </c>
    </row>
    <row r="1474" spans="1:20" ht="88.5" customHeight="1" x14ac:dyDescent="0.2">
      <c r="A1474" s="289">
        <v>1510</v>
      </c>
      <c r="B1474" s="289" t="s">
        <v>11167</v>
      </c>
      <c r="C1474" s="18"/>
      <c r="D1474" s="9" t="s">
        <v>11168</v>
      </c>
      <c r="E1474" s="22" t="s">
        <v>10757</v>
      </c>
      <c r="F1474" s="27"/>
      <c r="G1474" s="285" t="s">
        <v>7982</v>
      </c>
      <c r="H1474" s="285" t="s">
        <v>5127</v>
      </c>
      <c r="I1474" s="289"/>
      <c r="J1474" s="285" t="s">
        <v>3136</v>
      </c>
      <c r="K1474" s="14">
        <v>44497</v>
      </c>
      <c r="L1474" s="289">
        <v>789</v>
      </c>
      <c r="M1474" s="14">
        <v>44470</v>
      </c>
      <c r="N1474" s="40">
        <v>2</v>
      </c>
      <c r="O1474" s="40">
        <v>13180</v>
      </c>
      <c r="P1474" s="40">
        <v>13180</v>
      </c>
      <c r="Q1474" s="17">
        <f t="shared" si="41"/>
        <v>0</v>
      </c>
      <c r="R1474" s="285" t="s">
        <v>11166</v>
      </c>
      <c r="S1474" s="14">
        <v>44470</v>
      </c>
      <c r="T1474" s="70" t="s">
        <v>1029</v>
      </c>
    </row>
    <row r="1475" spans="1:20" ht="88.5" customHeight="1" x14ac:dyDescent="0.2">
      <c r="A1475" s="289">
        <v>1511</v>
      </c>
      <c r="B1475" s="289" t="s">
        <v>11169</v>
      </c>
      <c r="C1475" s="18"/>
      <c r="D1475" s="9" t="s">
        <v>11170</v>
      </c>
      <c r="E1475" s="22" t="s">
        <v>10757</v>
      </c>
      <c r="F1475" s="27"/>
      <c r="G1475" s="285" t="s">
        <v>7934</v>
      </c>
      <c r="H1475" s="285" t="s">
        <v>5127</v>
      </c>
      <c r="I1475" s="289"/>
      <c r="J1475" s="285" t="s">
        <v>3136</v>
      </c>
      <c r="K1475" s="14">
        <v>44497</v>
      </c>
      <c r="L1475" s="289">
        <v>791</v>
      </c>
      <c r="M1475" s="14">
        <v>44230</v>
      </c>
      <c r="N1475" s="40">
        <v>7</v>
      </c>
      <c r="O1475" s="40">
        <v>27545.63</v>
      </c>
      <c r="P1475" s="40">
        <v>27545.63</v>
      </c>
      <c r="Q1475" s="17">
        <v>0</v>
      </c>
      <c r="R1475" s="285" t="s">
        <v>11175</v>
      </c>
      <c r="S1475" s="14">
        <v>44230</v>
      </c>
      <c r="T1475" s="70">
        <v>119</v>
      </c>
    </row>
    <row r="1476" spans="1:20" ht="88.5" customHeight="1" x14ac:dyDescent="0.2">
      <c r="A1476" s="289">
        <v>1512</v>
      </c>
      <c r="B1476" s="289" t="s">
        <v>11171</v>
      </c>
      <c r="C1476" s="18"/>
      <c r="D1476" s="9" t="s">
        <v>11172</v>
      </c>
      <c r="E1476" s="22" t="s">
        <v>10757</v>
      </c>
      <c r="F1476" s="27"/>
      <c r="G1476" s="285" t="s">
        <v>7934</v>
      </c>
      <c r="H1476" s="285" t="s">
        <v>5127</v>
      </c>
      <c r="I1476" s="289"/>
      <c r="J1476" s="285" t="s">
        <v>3136</v>
      </c>
      <c r="K1476" s="14">
        <v>44497</v>
      </c>
      <c r="L1476" s="289">
        <v>791</v>
      </c>
      <c r="M1476" s="14">
        <v>44230</v>
      </c>
      <c r="N1476" s="40">
        <v>1</v>
      </c>
      <c r="O1476" s="40">
        <v>48765.71</v>
      </c>
      <c r="P1476" s="40">
        <v>48765.71</v>
      </c>
      <c r="Q1476" s="17">
        <f t="shared" ref="Q1476:Q1481" si="42">O1476-P1476</f>
        <v>0</v>
      </c>
      <c r="R1476" s="285" t="s">
        <v>11175</v>
      </c>
      <c r="S1476" s="14">
        <v>44230</v>
      </c>
      <c r="T1476" s="70">
        <v>119</v>
      </c>
    </row>
    <row r="1477" spans="1:20" ht="88.5" customHeight="1" x14ac:dyDescent="0.2">
      <c r="A1477" s="289">
        <v>1513</v>
      </c>
      <c r="B1477" s="289" t="s">
        <v>11173</v>
      </c>
      <c r="C1477" s="18"/>
      <c r="D1477" s="9" t="s">
        <v>11174</v>
      </c>
      <c r="E1477" s="22" t="s">
        <v>10757</v>
      </c>
      <c r="F1477" s="27"/>
      <c r="G1477" s="285" t="s">
        <v>7934</v>
      </c>
      <c r="H1477" s="285" t="s">
        <v>5127</v>
      </c>
      <c r="I1477" s="289"/>
      <c r="J1477" s="285" t="s">
        <v>3136</v>
      </c>
      <c r="K1477" s="14">
        <v>44497</v>
      </c>
      <c r="L1477" s="289">
        <v>791</v>
      </c>
      <c r="M1477" s="14">
        <v>44230</v>
      </c>
      <c r="N1477" s="40">
        <v>2</v>
      </c>
      <c r="O1477" s="40">
        <v>19678.580000000002</v>
      </c>
      <c r="P1477" s="40">
        <v>19678.580000000002</v>
      </c>
      <c r="Q1477" s="17">
        <f t="shared" si="42"/>
        <v>0</v>
      </c>
      <c r="R1477" s="285" t="s">
        <v>11175</v>
      </c>
      <c r="S1477" s="14">
        <v>44230</v>
      </c>
      <c r="T1477" s="70">
        <v>119</v>
      </c>
    </row>
    <row r="1478" spans="1:20" ht="88.5" customHeight="1" x14ac:dyDescent="0.2">
      <c r="A1478" s="289">
        <v>1514</v>
      </c>
      <c r="B1478" s="289" t="s">
        <v>11176</v>
      </c>
      <c r="C1478" s="18"/>
      <c r="D1478" s="9" t="s">
        <v>11177</v>
      </c>
      <c r="E1478" s="22" t="s">
        <v>10757</v>
      </c>
      <c r="F1478" s="27"/>
      <c r="G1478" s="285" t="s">
        <v>7981</v>
      </c>
      <c r="H1478" s="285" t="s">
        <v>5127</v>
      </c>
      <c r="I1478" s="289"/>
      <c r="J1478" s="285" t="s">
        <v>3136</v>
      </c>
      <c r="K1478" s="14">
        <v>44497</v>
      </c>
      <c r="L1478" s="289">
        <v>790</v>
      </c>
      <c r="M1478" s="14">
        <v>44333</v>
      </c>
      <c r="N1478" s="40">
        <v>1</v>
      </c>
      <c r="O1478" s="40">
        <v>6208.8</v>
      </c>
      <c r="P1478" s="40">
        <v>6208.8</v>
      </c>
      <c r="Q1478" s="17">
        <f t="shared" si="42"/>
        <v>0</v>
      </c>
      <c r="R1478" s="285" t="s">
        <v>11175</v>
      </c>
      <c r="S1478" s="14">
        <v>44333</v>
      </c>
      <c r="T1478" s="70">
        <v>619</v>
      </c>
    </row>
    <row r="1479" spans="1:20" ht="88.5" customHeight="1" x14ac:dyDescent="0.2">
      <c r="A1479" s="289">
        <v>1515</v>
      </c>
      <c r="B1479" s="289" t="s">
        <v>11178</v>
      </c>
      <c r="C1479" s="18"/>
      <c r="D1479" s="9" t="s">
        <v>11179</v>
      </c>
      <c r="E1479" s="22" t="s">
        <v>10757</v>
      </c>
      <c r="F1479" s="27"/>
      <c r="G1479" s="285" t="s">
        <v>7981</v>
      </c>
      <c r="H1479" s="285" t="s">
        <v>5127</v>
      </c>
      <c r="I1479" s="289"/>
      <c r="J1479" s="285" t="s">
        <v>3136</v>
      </c>
      <c r="K1479" s="14">
        <v>44497</v>
      </c>
      <c r="L1479" s="289">
        <v>790</v>
      </c>
      <c r="M1479" s="14">
        <v>44333</v>
      </c>
      <c r="N1479" s="40">
        <v>15</v>
      </c>
      <c r="O1479" s="40">
        <v>16686</v>
      </c>
      <c r="P1479" s="40">
        <v>16686</v>
      </c>
      <c r="Q1479" s="17">
        <f t="shared" si="42"/>
        <v>0</v>
      </c>
      <c r="R1479" s="285" t="s">
        <v>11175</v>
      </c>
      <c r="S1479" s="14">
        <v>44333</v>
      </c>
      <c r="T1479" s="70">
        <v>619</v>
      </c>
    </row>
    <row r="1480" spans="1:20" ht="88.5" customHeight="1" x14ac:dyDescent="0.2">
      <c r="A1480" s="289">
        <v>1516</v>
      </c>
      <c r="B1480" s="289" t="s">
        <v>11180</v>
      </c>
      <c r="C1480" s="18"/>
      <c r="D1480" s="9" t="s">
        <v>11181</v>
      </c>
      <c r="E1480" s="22" t="s">
        <v>10757</v>
      </c>
      <c r="F1480" s="27"/>
      <c r="G1480" s="285" t="s">
        <v>7981</v>
      </c>
      <c r="H1480" s="285" t="s">
        <v>5127</v>
      </c>
      <c r="I1480" s="289"/>
      <c r="J1480" s="285" t="s">
        <v>3136</v>
      </c>
      <c r="K1480" s="14">
        <v>44497</v>
      </c>
      <c r="L1480" s="289">
        <v>790</v>
      </c>
      <c r="M1480" s="14">
        <v>44333</v>
      </c>
      <c r="N1480" s="40">
        <v>1</v>
      </c>
      <c r="O1480" s="40">
        <v>10004.280000000001</v>
      </c>
      <c r="P1480" s="40">
        <v>10004.280000000001</v>
      </c>
      <c r="Q1480" s="17">
        <f t="shared" si="42"/>
        <v>0</v>
      </c>
      <c r="R1480" s="285" t="s">
        <v>11175</v>
      </c>
      <c r="S1480" s="14">
        <v>44333</v>
      </c>
      <c r="T1480" s="70">
        <v>619</v>
      </c>
    </row>
    <row r="1481" spans="1:20" ht="88.5" customHeight="1" x14ac:dyDescent="0.2">
      <c r="A1481" s="289">
        <v>1517</v>
      </c>
      <c r="B1481" s="289" t="s">
        <v>11182</v>
      </c>
      <c r="C1481" s="18"/>
      <c r="D1481" s="9" t="s">
        <v>11183</v>
      </c>
      <c r="E1481" s="22" t="s">
        <v>10757</v>
      </c>
      <c r="F1481" s="27"/>
      <c r="G1481" s="285" t="s">
        <v>7981</v>
      </c>
      <c r="H1481" s="285" t="s">
        <v>5127</v>
      </c>
      <c r="I1481" s="289"/>
      <c r="J1481" s="285" t="s">
        <v>3136</v>
      </c>
      <c r="K1481" s="14">
        <v>44497</v>
      </c>
      <c r="L1481" s="289">
        <v>790</v>
      </c>
      <c r="M1481" s="14">
        <v>44334</v>
      </c>
      <c r="N1481" s="40">
        <v>1</v>
      </c>
      <c r="O1481" s="40">
        <v>27737</v>
      </c>
      <c r="P1481" s="40">
        <v>27737</v>
      </c>
      <c r="Q1481" s="17">
        <f t="shared" si="42"/>
        <v>0</v>
      </c>
      <c r="R1481" s="285" t="s">
        <v>11175</v>
      </c>
      <c r="S1481" s="14">
        <v>44334</v>
      </c>
      <c r="T1481" s="70">
        <v>625</v>
      </c>
    </row>
    <row r="1482" spans="1:20" ht="88.5" customHeight="1" x14ac:dyDescent="0.2">
      <c r="A1482" s="289">
        <v>1518</v>
      </c>
      <c r="B1482" s="289" t="s">
        <v>11231</v>
      </c>
      <c r="C1482" s="18"/>
      <c r="D1482" s="9" t="s">
        <v>11184</v>
      </c>
      <c r="E1482" s="22" t="s">
        <v>10757</v>
      </c>
      <c r="F1482" s="27"/>
      <c r="G1482" s="285" t="s">
        <v>7981</v>
      </c>
      <c r="H1482" s="285" t="s">
        <v>5127</v>
      </c>
      <c r="I1482" s="289"/>
      <c r="J1482" s="285" t="s">
        <v>3136</v>
      </c>
      <c r="K1482" s="14" t="s">
        <v>11217</v>
      </c>
      <c r="L1482" s="289" t="s">
        <v>11219</v>
      </c>
      <c r="M1482" s="14">
        <v>44438</v>
      </c>
      <c r="N1482" s="40">
        <v>1</v>
      </c>
      <c r="O1482" s="40">
        <v>1100</v>
      </c>
      <c r="P1482" s="40">
        <v>1100</v>
      </c>
      <c r="Q1482" s="17">
        <f t="shared" ref="Q1482:Q1489" si="43">O1482-P1482</f>
        <v>0</v>
      </c>
      <c r="R1482" s="285" t="s">
        <v>11175</v>
      </c>
      <c r="S1482" s="14">
        <v>44438</v>
      </c>
      <c r="T1482" s="70">
        <v>1164</v>
      </c>
    </row>
    <row r="1483" spans="1:20" ht="88.5" customHeight="1" x14ac:dyDescent="0.2">
      <c r="A1483" s="289">
        <v>1519</v>
      </c>
      <c r="B1483" s="289" t="s">
        <v>11236</v>
      </c>
      <c r="C1483" s="18"/>
      <c r="D1483" s="9" t="s">
        <v>11184</v>
      </c>
      <c r="E1483" s="22" t="s">
        <v>10757</v>
      </c>
      <c r="F1483" s="27"/>
      <c r="G1483" s="285" t="s">
        <v>7982</v>
      </c>
      <c r="H1483" s="285" t="s">
        <v>5127</v>
      </c>
      <c r="I1483" s="289"/>
      <c r="J1483" s="285" t="s">
        <v>3136</v>
      </c>
      <c r="K1483" s="14" t="s">
        <v>11217</v>
      </c>
      <c r="L1483" s="289" t="s">
        <v>11219</v>
      </c>
      <c r="M1483" s="14">
        <v>44438</v>
      </c>
      <c r="N1483" s="40">
        <v>2</v>
      </c>
      <c r="O1483" s="40">
        <v>2200</v>
      </c>
      <c r="P1483" s="40">
        <v>2200</v>
      </c>
      <c r="Q1483" s="17">
        <f t="shared" si="43"/>
        <v>0</v>
      </c>
      <c r="R1483" s="285" t="s">
        <v>11175</v>
      </c>
      <c r="S1483" s="14">
        <v>44438</v>
      </c>
      <c r="T1483" s="70">
        <v>1164</v>
      </c>
    </row>
    <row r="1484" spans="1:20" ht="88.5" customHeight="1" x14ac:dyDescent="0.2">
      <c r="A1484" s="289">
        <v>1520</v>
      </c>
      <c r="B1484" s="289" t="s">
        <v>11230</v>
      </c>
      <c r="C1484" s="18"/>
      <c r="D1484" s="9" t="s">
        <v>11185</v>
      </c>
      <c r="E1484" s="22" t="s">
        <v>10757</v>
      </c>
      <c r="F1484" s="27"/>
      <c r="G1484" s="285" t="s">
        <v>7981</v>
      </c>
      <c r="H1484" s="285" t="s">
        <v>5127</v>
      </c>
      <c r="I1484" s="289"/>
      <c r="J1484" s="285" t="s">
        <v>3136</v>
      </c>
      <c r="K1484" s="14" t="s">
        <v>11217</v>
      </c>
      <c r="L1484" s="289" t="s">
        <v>11219</v>
      </c>
      <c r="M1484" s="14">
        <v>44438</v>
      </c>
      <c r="N1484" s="40">
        <v>1</v>
      </c>
      <c r="O1484" s="40">
        <v>1350</v>
      </c>
      <c r="P1484" s="40">
        <v>1350</v>
      </c>
      <c r="Q1484" s="17">
        <f t="shared" si="43"/>
        <v>0</v>
      </c>
      <c r="R1484" s="285" t="s">
        <v>11175</v>
      </c>
      <c r="S1484" s="14">
        <v>44438</v>
      </c>
      <c r="T1484" s="70">
        <v>1164</v>
      </c>
    </row>
    <row r="1485" spans="1:20" ht="88.5" customHeight="1" x14ac:dyDescent="0.2">
      <c r="A1485" s="289">
        <v>1521</v>
      </c>
      <c r="B1485" s="289" t="s">
        <v>11237</v>
      </c>
      <c r="C1485" s="18"/>
      <c r="D1485" s="9" t="s">
        <v>11185</v>
      </c>
      <c r="E1485" s="22" t="s">
        <v>10757</v>
      </c>
      <c r="F1485" s="27"/>
      <c r="G1485" s="285" t="s">
        <v>7982</v>
      </c>
      <c r="H1485" s="285" t="s">
        <v>5127</v>
      </c>
      <c r="I1485" s="289"/>
      <c r="J1485" s="285" t="s">
        <v>3136</v>
      </c>
      <c r="K1485" s="14" t="s">
        <v>11217</v>
      </c>
      <c r="L1485" s="289" t="s">
        <v>11219</v>
      </c>
      <c r="M1485" s="14">
        <v>44438</v>
      </c>
      <c r="N1485" s="40">
        <v>2</v>
      </c>
      <c r="O1485" s="40">
        <v>2700</v>
      </c>
      <c r="P1485" s="40">
        <v>2700</v>
      </c>
      <c r="Q1485" s="17">
        <f t="shared" si="43"/>
        <v>0</v>
      </c>
      <c r="R1485" s="285" t="s">
        <v>11175</v>
      </c>
      <c r="S1485" s="14">
        <v>44438</v>
      </c>
      <c r="T1485" s="70">
        <v>1164</v>
      </c>
    </row>
    <row r="1486" spans="1:20" ht="88.5" customHeight="1" x14ac:dyDescent="0.2">
      <c r="A1486" s="289">
        <v>1522</v>
      </c>
      <c r="B1486" s="289" t="s">
        <v>11232</v>
      </c>
      <c r="C1486" s="18"/>
      <c r="D1486" s="9" t="s">
        <v>11186</v>
      </c>
      <c r="E1486" s="22" t="s">
        <v>10757</v>
      </c>
      <c r="F1486" s="27"/>
      <c r="G1486" s="285" t="s">
        <v>7981</v>
      </c>
      <c r="H1486" s="285" t="s">
        <v>5127</v>
      </c>
      <c r="I1486" s="289"/>
      <c r="J1486" s="285" t="s">
        <v>3136</v>
      </c>
      <c r="K1486" s="14" t="s">
        <v>11217</v>
      </c>
      <c r="L1486" s="289" t="s">
        <v>11219</v>
      </c>
      <c r="M1486" s="14">
        <v>44438</v>
      </c>
      <c r="N1486" s="40">
        <v>1</v>
      </c>
      <c r="O1486" s="40">
        <v>1550</v>
      </c>
      <c r="P1486" s="40">
        <v>1550</v>
      </c>
      <c r="Q1486" s="17">
        <f t="shared" si="43"/>
        <v>0</v>
      </c>
      <c r="R1486" s="285" t="s">
        <v>11175</v>
      </c>
      <c r="S1486" s="14">
        <v>44438</v>
      </c>
      <c r="T1486" s="70">
        <v>1164</v>
      </c>
    </row>
    <row r="1487" spans="1:20" ht="88.5" customHeight="1" x14ac:dyDescent="0.2">
      <c r="A1487" s="289">
        <v>1523</v>
      </c>
      <c r="B1487" s="289" t="s">
        <v>11235</v>
      </c>
      <c r="C1487" s="18"/>
      <c r="D1487" s="9" t="s">
        <v>11186</v>
      </c>
      <c r="E1487" s="22" t="s">
        <v>10757</v>
      </c>
      <c r="F1487" s="27"/>
      <c r="G1487" s="285" t="s">
        <v>7917</v>
      </c>
      <c r="H1487" s="285" t="s">
        <v>5127</v>
      </c>
      <c r="I1487" s="289"/>
      <c r="J1487" s="285" t="s">
        <v>3136</v>
      </c>
      <c r="K1487" s="14" t="s">
        <v>11217</v>
      </c>
      <c r="L1487" s="289" t="s">
        <v>11219</v>
      </c>
      <c r="M1487" s="14">
        <v>44438</v>
      </c>
      <c r="N1487" s="40">
        <v>1</v>
      </c>
      <c r="O1487" s="40">
        <v>1550</v>
      </c>
      <c r="P1487" s="40">
        <v>1550</v>
      </c>
      <c r="Q1487" s="17">
        <f t="shared" si="43"/>
        <v>0</v>
      </c>
      <c r="R1487" s="285" t="s">
        <v>11175</v>
      </c>
      <c r="S1487" s="14">
        <v>44438</v>
      </c>
      <c r="T1487" s="70">
        <v>1164</v>
      </c>
    </row>
    <row r="1488" spans="1:20" ht="88.5" customHeight="1" x14ac:dyDescent="0.2">
      <c r="A1488" s="289">
        <v>1524</v>
      </c>
      <c r="B1488" s="289" t="s">
        <v>11233</v>
      </c>
      <c r="C1488" s="18"/>
      <c r="D1488" s="9" t="s">
        <v>11187</v>
      </c>
      <c r="E1488" s="22" t="s">
        <v>10757</v>
      </c>
      <c r="F1488" s="27"/>
      <c r="G1488" s="285" t="s">
        <v>7981</v>
      </c>
      <c r="H1488" s="285" t="s">
        <v>5127</v>
      </c>
      <c r="I1488" s="289"/>
      <c r="J1488" s="285" t="s">
        <v>3136</v>
      </c>
      <c r="K1488" s="14" t="s">
        <v>11217</v>
      </c>
      <c r="L1488" s="289" t="s">
        <v>11219</v>
      </c>
      <c r="M1488" s="14">
        <v>44438</v>
      </c>
      <c r="N1488" s="40">
        <v>1</v>
      </c>
      <c r="O1488" s="40">
        <v>1700</v>
      </c>
      <c r="P1488" s="40">
        <v>1700</v>
      </c>
      <c r="Q1488" s="17">
        <f t="shared" si="43"/>
        <v>0</v>
      </c>
      <c r="R1488" s="285" t="s">
        <v>11175</v>
      </c>
      <c r="S1488" s="14">
        <v>44438</v>
      </c>
      <c r="T1488" s="70">
        <v>1164</v>
      </c>
    </row>
    <row r="1489" spans="1:20" ht="88.5" customHeight="1" x14ac:dyDescent="0.2">
      <c r="A1489" s="289">
        <v>1525</v>
      </c>
      <c r="B1489" s="289" t="s">
        <v>11234</v>
      </c>
      <c r="C1489" s="18"/>
      <c r="D1489" s="9" t="s">
        <v>11187</v>
      </c>
      <c r="E1489" s="22" t="s">
        <v>10757</v>
      </c>
      <c r="F1489" s="27"/>
      <c r="G1489" s="285" t="s">
        <v>7917</v>
      </c>
      <c r="H1489" s="285" t="s">
        <v>5127</v>
      </c>
      <c r="I1489" s="289"/>
      <c r="J1489" s="285" t="s">
        <v>3136</v>
      </c>
      <c r="K1489" s="14" t="s">
        <v>11217</v>
      </c>
      <c r="L1489" s="289" t="s">
        <v>11219</v>
      </c>
      <c r="M1489" s="14">
        <v>44438</v>
      </c>
      <c r="N1489" s="40">
        <v>1</v>
      </c>
      <c r="O1489" s="40">
        <v>1700</v>
      </c>
      <c r="P1489" s="40">
        <v>1700</v>
      </c>
      <c r="Q1489" s="17">
        <f t="shared" si="43"/>
        <v>0</v>
      </c>
      <c r="R1489" s="285" t="s">
        <v>11175</v>
      </c>
      <c r="S1489" s="14">
        <v>44438</v>
      </c>
      <c r="T1489" s="70">
        <v>1164</v>
      </c>
    </row>
    <row r="1490" spans="1:20" ht="88.5" customHeight="1" x14ac:dyDescent="0.2">
      <c r="A1490" s="289">
        <v>1526</v>
      </c>
      <c r="B1490" s="289" t="s">
        <v>11239</v>
      </c>
      <c r="C1490" s="18"/>
      <c r="D1490" s="9" t="s">
        <v>11240</v>
      </c>
      <c r="E1490" s="22" t="s">
        <v>10757</v>
      </c>
      <c r="F1490" s="27" t="s">
        <v>11242</v>
      </c>
      <c r="G1490" s="285" t="s">
        <v>2437</v>
      </c>
      <c r="H1490" s="285" t="s">
        <v>5127</v>
      </c>
      <c r="I1490" s="289"/>
      <c r="J1490" s="285" t="s">
        <v>10461</v>
      </c>
      <c r="K1490" s="14">
        <v>44522</v>
      </c>
      <c r="L1490" s="289">
        <v>856</v>
      </c>
      <c r="M1490" s="14">
        <v>44510</v>
      </c>
      <c r="N1490" s="40">
        <v>2</v>
      </c>
      <c r="O1490" s="40">
        <v>46200</v>
      </c>
      <c r="P1490" s="40">
        <v>46200</v>
      </c>
      <c r="Q1490" s="17">
        <f>O1490-P1490</f>
        <v>0</v>
      </c>
      <c r="R1490" s="285" t="s">
        <v>10501</v>
      </c>
      <c r="S1490" s="14">
        <v>44491</v>
      </c>
      <c r="T1490" s="70" t="s">
        <v>11241</v>
      </c>
    </row>
    <row r="1491" spans="1:20" ht="88.5" customHeight="1" x14ac:dyDescent="0.2">
      <c r="A1491" s="289">
        <v>1526</v>
      </c>
      <c r="B1491" s="289" t="s">
        <v>11188</v>
      </c>
      <c r="C1491" s="18"/>
      <c r="D1491" s="9" t="s">
        <v>11189</v>
      </c>
      <c r="E1491" s="22" t="s">
        <v>10757</v>
      </c>
      <c r="F1491" s="27"/>
      <c r="G1491" s="285" t="s">
        <v>7982</v>
      </c>
      <c r="H1491" s="285" t="s">
        <v>5127</v>
      </c>
      <c r="I1491" s="289"/>
      <c r="J1491" s="285" t="s">
        <v>3136</v>
      </c>
      <c r="K1491" s="14">
        <v>44498</v>
      </c>
      <c r="L1491" s="289">
        <v>804</v>
      </c>
      <c r="M1491" s="14">
        <v>44386</v>
      </c>
      <c r="N1491" s="40">
        <v>2</v>
      </c>
      <c r="O1491" s="40">
        <v>16921</v>
      </c>
      <c r="P1491" s="40">
        <v>16921</v>
      </c>
      <c r="Q1491" s="17">
        <f t="shared" ref="Q1491:Q1500" si="44">O1491-P1491</f>
        <v>0</v>
      </c>
      <c r="R1491" s="285" t="s">
        <v>11175</v>
      </c>
      <c r="S1491" s="14">
        <v>44386</v>
      </c>
      <c r="T1491" s="70">
        <v>901</v>
      </c>
    </row>
    <row r="1492" spans="1:20" ht="88.5" customHeight="1" x14ac:dyDescent="0.2">
      <c r="A1492" s="289">
        <v>1527</v>
      </c>
      <c r="B1492" s="289" t="s">
        <v>11190</v>
      </c>
      <c r="C1492" s="18"/>
      <c r="D1492" s="9" t="s">
        <v>8762</v>
      </c>
      <c r="E1492" s="22" t="s">
        <v>10757</v>
      </c>
      <c r="F1492" s="27"/>
      <c r="G1492" s="285" t="s">
        <v>7982</v>
      </c>
      <c r="H1492" s="285" t="s">
        <v>5127</v>
      </c>
      <c r="I1492" s="289"/>
      <c r="J1492" s="285" t="s">
        <v>3136</v>
      </c>
      <c r="K1492" s="14">
        <v>44498</v>
      </c>
      <c r="L1492" s="289">
        <v>804</v>
      </c>
      <c r="M1492" s="14">
        <v>44386</v>
      </c>
      <c r="N1492" s="40">
        <v>1</v>
      </c>
      <c r="O1492" s="40">
        <v>11759.66</v>
      </c>
      <c r="P1492" s="40">
        <v>11759.66</v>
      </c>
      <c r="Q1492" s="17">
        <f t="shared" si="44"/>
        <v>0</v>
      </c>
      <c r="R1492" s="285" t="s">
        <v>11175</v>
      </c>
      <c r="S1492" s="14">
        <v>44386</v>
      </c>
      <c r="T1492" s="70">
        <v>901</v>
      </c>
    </row>
    <row r="1493" spans="1:20" ht="88.5" customHeight="1" x14ac:dyDescent="0.2">
      <c r="A1493" s="289">
        <v>1528</v>
      </c>
      <c r="B1493" s="289" t="s">
        <v>11191</v>
      </c>
      <c r="C1493" s="18"/>
      <c r="D1493" s="9" t="s">
        <v>11192</v>
      </c>
      <c r="E1493" s="22" t="s">
        <v>10757</v>
      </c>
      <c r="F1493" s="27"/>
      <c r="G1493" s="285" t="s">
        <v>7982</v>
      </c>
      <c r="H1493" s="285" t="s">
        <v>5127</v>
      </c>
      <c r="I1493" s="289"/>
      <c r="J1493" s="285" t="s">
        <v>3136</v>
      </c>
      <c r="K1493" s="14">
        <v>44498</v>
      </c>
      <c r="L1493" s="289">
        <v>804</v>
      </c>
      <c r="M1493" s="14">
        <v>44386</v>
      </c>
      <c r="N1493" s="40">
        <v>1</v>
      </c>
      <c r="O1493" s="40">
        <v>878.66</v>
      </c>
      <c r="P1493" s="40">
        <v>878.66</v>
      </c>
      <c r="Q1493" s="17">
        <f t="shared" si="44"/>
        <v>0</v>
      </c>
      <c r="R1493" s="285" t="s">
        <v>11175</v>
      </c>
      <c r="S1493" s="14">
        <v>44386</v>
      </c>
      <c r="T1493" s="70">
        <v>901</v>
      </c>
    </row>
    <row r="1494" spans="1:20" ht="88.5" customHeight="1" x14ac:dyDescent="0.2">
      <c r="A1494" s="289">
        <v>1529</v>
      </c>
      <c r="B1494" s="289" t="s">
        <v>11193</v>
      </c>
      <c r="C1494" s="18"/>
      <c r="D1494" s="9" t="s">
        <v>8764</v>
      </c>
      <c r="E1494" s="22" t="s">
        <v>10757</v>
      </c>
      <c r="F1494" s="27"/>
      <c r="G1494" s="285" t="s">
        <v>7982</v>
      </c>
      <c r="H1494" s="285" t="s">
        <v>5127</v>
      </c>
      <c r="I1494" s="289"/>
      <c r="J1494" s="285" t="s">
        <v>3136</v>
      </c>
      <c r="K1494" s="14">
        <v>44498</v>
      </c>
      <c r="L1494" s="289">
        <v>804</v>
      </c>
      <c r="M1494" s="14">
        <v>44386</v>
      </c>
      <c r="N1494" s="40">
        <v>1</v>
      </c>
      <c r="O1494" s="40">
        <v>959.02</v>
      </c>
      <c r="P1494" s="40">
        <v>959.02</v>
      </c>
      <c r="Q1494" s="17">
        <f t="shared" si="44"/>
        <v>0</v>
      </c>
      <c r="R1494" s="285" t="s">
        <v>11175</v>
      </c>
      <c r="S1494" s="14">
        <v>44386</v>
      </c>
      <c r="T1494" s="70">
        <v>901</v>
      </c>
    </row>
    <row r="1495" spans="1:20" ht="88.5" customHeight="1" x14ac:dyDescent="0.2">
      <c r="A1495" s="289">
        <v>1530</v>
      </c>
      <c r="B1495" s="289" t="s">
        <v>11194</v>
      </c>
      <c r="C1495" s="18"/>
      <c r="D1495" s="9" t="s">
        <v>8765</v>
      </c>
      <c r="E1495" s="22" t="s">
        <v>10757</v>
      </c>
      <c r="F1495" s="27"/>
      <c r="G1495" s="285" t="s">
        <v>7982</v>
      </c>
      <c r="H1495" s="285" t="s">
        <v>5127</v>
      </c>
      <c r="I1495" s="289"/>
      <c r="J1495" s="285" t="s">
        <v>3136</v>
      </c>
      <c r="K1495" s="14">
        <v>44498</v>
      </c>
      <c r="L1495" s="289">
        <v>804</v>
      </c>
      <c r="M1495" s="14">
        <v>44386</v>
      </c>
      <c r="N1495" s="40">
        <v>1</v>
      </c>
      <c r="O1495" s="40">
        <v>878.66</v>
      </c>
      <c r="P1495" s="40">
        <v>878.66</v>
      </c>
      <c r="Q1495" s="17">
        <f t="shared" si="44"/>
        <v>0</v>
      </c>
      <c r="R1495" s="285" t="s">
        <v>11175</v>
      </c>
      <c r="S1495" s="14">
        <v>44386</v>
      </c>
      <c r="T1495" s="70">
        <v>901</v>
      </c>
    </row>
    <row r="1496" spans="1:20" ht="88.5" customHeight="1" x14ac:dyDescent="0.2">
      <c r="A1496" s="289">
        <v>1531</v>
      </c>
      <c r="B1496" s="289" t="s">
        <v>11195</v>
      </c>
      <c r="C1496" s="18"/>
      <c r="D1496" s="9" t="s">
        <v>8766</v>
      </c>
      <c r="E1496" s="22" t="s">
        <v>10757</v>
      </c>
      <c r="F1496" s="27"/>
      <c r="G1496" s="285" t="s">
        <v>7982</v>
      </c>
      <c r="H1496" s="285" t="s">
        <v>5127</v>
      </c>
      <c r="I1496" s="289"/>
      <c r="J1496" s="285" t="s">
        <v>3136</v>
      </c>
      <c r="K1496" s="14">
        <v>44498</v>
      </c>
      <c r="L1496" s="289">
        <v>804</v>
      </c>
      <c r="M1496" s="14">
        <v>44386</v>
      </c>
      <c r="N1496" s="40">
        <v>1</v>
      </c>
      <c r="O1496" s="40">
        <v>9269.1299999999992</v>
      </c>
      <c r="P1496" s="40">
        <v>9269.1299999999992</v>
      </c>
      <c r="Q1496" s="17">
        <f t="shared" si="44"/>
        <v>0</v>
      </c>
      <c r="R1496" s="285" t="s">
        <v>11175</v>
      </c>
      <c r="S1496" s="14">
        <v>44386</v>
      </c>
      <c r="T1496" s="70">
        <v>901</v>
      </c>
    </row>
    <row r="1497" spans="1:20" ht="88.5" customHeight="1" x14ac:dyDescent="0.2">
      <c r="A1497" s="289">
        <v>1532</v>
      </c>
      <c r="B1497" s="289" t="s">
        <v>11196</v>
      </c>
      <c r="C1497" s="18"/>
      <c r="D1497" s="9" t="s">
        <v>8771</v>
      </c>
      <c r="E1497" s="22" t="s">
        <v>10757</v>
      </c>
      <c r="F1497" s="27"/>
      <c r="G1497" s="285" t="s">
        <v>7982</v>
      </c>
      <c r="H1497" s="285" t="s">
        <v>5127</v>
      </c>
      <c r="I1497" s="289"/>
      <c r="J1497" s="285" t="s">
        <v>3136</v>
      </c>
      <c r="K1497" s="14">
        <v>44498</v>
      </c>
      <c r="L1497" s="289">
        <v>804</v>
      </c>
      <c r="M1497" s="14">
        <v>44386</v>
      </c>
      <c r="N1497" s="40">
        <v>10</v>
      </c>
      <c r="O1497" s="40">
        <v>49920</v>
      </c>
      <c r="P1497" s="40">
        <v>49920</v>
      </c>
      <c r="Q1497" s="17">
        <f t="shared" si="44"/>
        <v>0</v>
      </c>
      <c r="R1497" s="285" t="s">
        <v>11175</v>
      </c>
      <c r="S1497" s="14">
        <v>44386</v>
      </c>
      <c r="T1497" s="70">
        <v>901</v>
      </c>
    </row>
    <row r="1498" spans="1:20" ht="88.5" customHeight="1" x14ac:dyDescent="0.2">
      <c r="A1498" s="289">
        <v>1533</v>
      </c>
      <c r="B1498" s="289" t="s">
        <v>11197</v>
      </c>
      <c r="C1498" s="18"/>
      <c r="D1498" s="9" t="s">
        <v>11198</v>
      </c>
      <c r="E1498" s="22" t="s">
        <v>10757</v>
      </c>
      <c r="F1498" s="27"/>
      <c r="G1498" s="285" t="s">
        <v>7982</v>
      </c>
      <c r="H1498" s="285" t="s">
        <v>5127</v>
      </c>
      <c r="I1498" s="289"/>
      <c r="J1498" s="285" t="s">
        <v>3136</v>
      </c>
      <c r="K1498" s="14">
        <v>44498</v>
      </c>
      <c r="L1498" s="289">
        <v>804</v>
      </c>
      <c r="M1498" s="14">
        <v>44386</v>
      </c>
      <c r="N1498" s="40">
        <v>1</v>
      </c>
      <c r="O1498" s="40">
        <v>1656</v>
      </c>
      <c r="P1498" s="40">
        <v>1656</v>
      </c>
      <c r="Q1498" s="17">
        <f t="shared" si="44"/>
        <v>0</v>
      </c>
      <c r="R1498" s="285" t="s">
        <v>11175</v>
      </c>
      <c r="S1498" s="14">
        <v>44386</v>
      </c>
      <c r="T1498" s="70">
        <v>901</v>
      </c>
    </row>
    <row r="1499" spans="1:20" ht="88.5" customHeight="1" x14ac:dyDescent="0.2">
      <c r="A1499" s="289">
        <v>1534</v>
      </c>
      <c r="B1499" s="289" t="s">
        <v>11199</v>
      </c>
      <c r="C1499" s="18"/>
      <c r="D1499" s="9" t="s">
        <v>8773</v>
      </c>
      <c r="E1499" s="22" t="s">
        <v>10757</v>
      </c>
      <c r="F1499" s="27"/>
      <c r="G1499" s="285" t="s">
        <v>7982</v>
      </c>
      <c r="H1499" s="285" t="s">
        <v>5127</v>
      </c>
      <c r="I1499" s="289"/>
      <c r="J1499" s="285" t="s">
        <v>3136</v>
      </c>
      <c r="K1499" s="14">
        <v>44498</v>
      </c>
      <c r="L1499" s="289">
        <v>804</v>
      </c>
      <c r="M1499" s="14">
        <v>44386</v>
      </c>
      <c r="N1499" s="40">
        <v>1</v>
      </c>
      <c r="O1499" s="40">
        <v>63982.879999999997</v>
      </c>
      <c r="P1499" s="40">
        <v>63982.879999999997</v>
      </c>
      <c r="Q1499" s="17">
        <f t="shared" si="44"/>
        <v>0</v>
      </c>
      <c r="R1499" s="285" t="s">
        <v>11175</v>
      </c>
      <c r="S1499" s="14">
        <v>44386</v>
      </c>
      <c r="T1499" s="70">
        <v>901</v>
      </c>
    </row>
    <row r="1500" spans="1:20" ht="88.5" customHeight="1" x14ac:dyDescent="0.2">
      <c r="A1500" s="289">
        <v>1535</v>
      </c>
      <c r="B1500" s="289" t="s">
        <v>11200</v>
      </c>
      <c r="C1500" s="18"/>
      <c r="D1500" s="9" t="s">
        <v>8775</v>
      </c>
      <c r="E1500" s="22" t="s">
        <v>10757</v>
      </c>
      <c r="F1500" s="27"/>
      <c r="G1500" s="285" t="s">
        <v>7982</v>
      </c>
      <c r="H1500" s="285" t="s">
        <v>5127</v>
      </c>
      <c r="I1500" s="289"/>
      <c r="J1500" s="285" t="s">
        <v>3136</v>
      </c>
      <c r="K1500" s="14">
        <v>44498</v>
      </c>
      <c r="L1500" s="289">
        <v>804</v>
      </c>
      <c r="M1500" s="14">
        <v>44386</v>
      </c>
      <c r="N1500" s="40">
        <v>1</v>
      </c>
      <c r="O1500" s="40">
        <v>170950.2</v>
      </c>
      <c r="P1500" s="40">
        <v>23743.1</v>
      </c>
      <c r="Q1500" s="17">
        <f t="shared" si="44"/>
        <v>147207.1</v>
      </c>
      <c r="R1500" s="285" t="s">
        <v>11175</v>
      </c>
      <c r="S1500" s="14">
        <v>44386</v>
      </c>
      <c r="T1500" s="70">
        <v>901</v>
      </c>
    </row>
    <row r="1501" spans="1:20" ht="88.5" customHeight="1" x14ac:dyDescent="0.2">
      <c r="A1501" s="289">
        <v>1536</v>
      </c>
      <c r="B1501" s="289" t="s">
        <v>11252</v>
      </c>
      <c r="C1501" s="18"/>
      <c r="D1501" s="9" t="s">
        <v>9859</v>
      </c>
      <c r="E1501" s="22" t="s">
        <v>10757</v>
      </c>
      <c r="F1501" s="27"/>
      <c r="G1501" s="285" t="s">
        <v>8293</v>
      </c>
      <c r="H1501" s="285" t="s">
        <v>5127</v>
      </c>
      <c r="I1501" s="289"/>
      <c r="J1501" s="285" t="s">
        <v>3136</v>
      </c>
      <c r="K1501" s="14" t="s">
        <v>11217</v>
      </c>
      <c r="L1501" s="289" t="s">
        <v>11218</v>
      </c>
      <c r="M1501" s="14">
        <v>44356</v>
      </c>
      <c r="N1501" s="40">
        <v>1</v>
      </c>
      <c r="O1501" s="40">
        <v>370.3</v>
      </c>
      <c r="P1501" s="40">
        <v>370.3</v>
      </c>
      <c r="Q1501" s="17">
        <f t="shared" ref="Q1501:Q1507" si="45">O1501-P1501</f>
        <v>0</v>
      </c>
      <c r="R1501" s="285" t="s">
        <v>11175</v>
      </c>
      <c r="S1501" s="14">
        <v>44356</v>
      </c>
      <c r="T1501" s="22" t="s">
        <v>11210</v>
      </c>
    </row>
    <row r="1502" spans="1:20" ht="88.5" customHeight="1" x14ac:dyDescent="0.2">
      <c r="A1502" s="289">
        <v>1537</v>
      </c>
      <c r="B1502" s="289" t="s">
        <v>11253</v>
      </c>
      <c r="C1502" s="18"/>
      <c r="D1502" s="9" t="s">
        <v>11212</v>
      </c>
      <c r="E1502" s="22" t="s">
        <v>10757</v>
      </c>
      <c r="F1502" s="27"/>
      <c r="G1502" s="285" t="s">
        <v>8293</v>
      </c>
      <c r="H1502" s="285" t="s">
        <v>5127</v>
      </c>
      <c r="I1502" s="289"/>
      <c r="J1502" s="285" t="s">
        <v>3136</v>
      </c>
      <c r="K1502" s="14" t="s">
        <v>11217</v>
      </c>
      <c r="L1502" s="289" t="s">
        <v>11218</v>
      </c>
      <c r="M1502" s="14">
        <v>44356</v>
      </c>
      <c r="N1502" s="40">
        <v>10</v>
      </c>
      <c r="O1502" s="40">
        <v>11672.5</v>
      </c>
      <c r="P1502" s="40">
        <v>11672.5</v>
      </c>
      <c r="Q1502" s="17">
        <f t="shared" si="45"/>
        <v>0</v>
      </c>
      <c r="R1502" s="285" t="s">
        <v>11175</v>
      </c>
      <c r="S1502" s="14">
        <v>44356</v>
      </c>
      <c r="T1502" s="22" t="s">
        <v>11210</v>
      </c>
    </row>
    <row r="1503" spans="1:20" ht="88.5" customHeight="1" x14ac:dyDescent="0.2">
      <c r="A1503" s="289">
        <v>1538</v>
      </c>
      <c r="B1503" s="289" t="s">
        <v>11254</v>
      </c>
      <c r="C1503" s="18"/>
      <c r="D1503" s="9" t="s">
        <v>7633</v>
      </c>
      <c r="E1503" s="22" t="s">
        <v>10757</v>
      </c>
      <c r="F1503" s="27"/>
      <c r="G1503" s="285" t="s">
        <v>8293</v>
      </c>
      <c r="H1503" s="285" t="s">
        <v>5127</v>
      </c>
      <c r="I1503" s="289"/>
      <c r="J1503" s="285" t="s">
        <v>3136</v>
      </c>
      <c r="K1503" s="14" t="s">
        <v>11217</v>
      </c>
      <c r="L1503" s="289" t="s">
        <v>11218</v>
      </c>
      <c r="M1503" s="14">
        <v>44356</v>
      </c>
      <c r="N1503" s="40">
        <v>5</v>
      </c>
      <c r="O1503" s="40">
        <v>16905</v>
      </c>
      <c r="P1503" s="40">
        <v>16905</v>
      </c>
      <c r="Q1503" s="17">
        <f t="shared" si="45"/>
        <v>0</v>
      </c>
      <c r="R1503" s="285" t="s">
        <v>11175</v>
      </c>
      <c r="S1503" s="14">
        <v>44356</v>
      </c>
      <c r="T1503" s="22" t="s">
        <v>11210</v>
      </c>
    </row>
    <row r="1504" spans="1:20" ht="88.5" customHeight="1" x14ac:dyDescent="0.2">
      <c r="A1504" s="289">
        <v>1539</v>
      </c>
      <c r="B1504" s="289" t="s">
        <v>11255</v>
      </c>
      <c r="C1504" s="18"/>
      <c r="D1504" s="9" t="s">
        <v>9854</v>
      </c>
      <c r="E1504" s="22" t="s">
        <v>10757</v>
      </c>
      <c r="F1504" s="27"/>
      <c r="G1504" s="285" t="s">
        <v>8293</v>
      </c>
      <c r="H1504" s="285" t="s">
        <v>5127</v>
      </c>
      <c r="I1504" s="289"/>
      <c r="J1504" s="285" t="s">
        <v>3136</v>
      </c>
      <c r="K1504" s="14" t="s">
        <v>11217</v>
      </c>
      <c r="L1504" s="289" t="s">
        <v>11218</v>
      </c>
      <c r="M1504" s="14">
        <v>44356</v>
      </c>
      <c r="N1504" s="40">
        <v>1</v>
      </c>
      <c r="O1504" s="40">
        <v>3211.95</v>
      </c>
      <c r="P1504" s="40">
        <v>3211.95</v>
      </c>
      <c r="Q1504" s="17">
        <f t="shared" si="45"/>
        <v>0</v>
      </c>
      <c r="R1504" s="285" t="s">
        <v>11175</v>
      </c>
      <c r="S1504" s="14">
        <v>44356</v>
      </c>
      <c r="T1504" s="22" t="s">
        <v>11210</v>
      </c>
    </row>
    <row r="1505" spans="1:20" ht="88.5" customHeight="1" x14ac:dyDescent="0.2">
      <c r="A1505" s="289">
        <v>1541</v>
      </c>
      <c r="B1505" s="289" t="s">
        <v>11277</v>
      </c>
      <c r="C1505" s="18"/>
      <c r="D1505" s="9" t="s">
        <v>11278</v>
      </c>
      <c r="E1505" s="22" t="s">
        <v>10757</v>
      </c>
      <c r="F1505" s="27"/>
      <c r="G1505" s="285" t="s">
        <v>7982</v>
      </c>
      <c r="H1505" s="285" t="s">
        <v>5127</v>
      </c>
      <c r="I1505" s="289"/>
      <c r="J1505" s="285" t="s">
        <v>10461</v>
      </c>
      <c r="K1505" s="14">
        <v>44538</v>
      </c>
      <c r="L1505" s="289">
        <v>905</v>
      </c>
      <c r="M1505" s="14">
        <v>44529</v>
      </c>
      <c r="N1505" s="40">
        <v>2</v>
      </c>
      <c r="O1505" s="40">
        <v>28350</v>
      </c>
      <c r="P1505" s="40">
        <v>28350</v>
      </c>
      <c r="Q1505" s="17">
        <f t="shared" si="45"/>
        <v>0</v>
      </c>
      <c r="R1505" s="285" t="s">
        <v>11279</v>
      </c>
      <c r="S1505" s="14">
        <v>44529</v>
      </c>
      <c r="T1505" s="22" t="s">
        <v>11280</v>
      </c>
    </row>
    <row r="1506" spans="1:20" ht="88.5" customHeight="1" x14ac:dyDescent="0.2">
      <c r="A1506" s="289">
        <v>1541</v>
      </c>
      <c r="B1506" s="289" t="s">
        <v>11281</v>
      </c>
      <c r="C1506" s="18"/>
      <c r="D1506" s="9" t="s">
        <v>11282</v>
      </c>
      <c r="E1506" s="22" t="s">
        <v>10757</v>
      </c>
      <c r="F1506" s="27"/>
      <c r="G1506" s="285" t="s">
        <v>7982</v>
      </c>
      <c r="H1506" s="285" t="s">
        <v>5127</v>
      </c>
      <c r="I1506" s="289"/>
      <c r="J1506" s="285" t="s">
        <v>10461</v>
      </c>
      <c r="K1506" s="14">
        <v>44538</v>
      </c>
      <c r="L1506" s="289">
        <v>905</v>
      </c>
      <c r="M1506" s="14">
        <v>44529</v>
      </c>
      <c r="N1506" s="40">
        <v>2</v>
      </c>
      <c r="O1506" s="40">
        <v>39758</v>
      </c>
      <c r="P1506" s="40">
        <v>39758</v>
      </c>
      <c r="Q1506" s="17">
        <f t="shared" si="45"/>
        <v>0</v>
      </c>
      <c r="R1506" s="285" t="s">
        <v>11279</v>
      </c>
      <c r="S1506" s="14">
        <v>44529</v>
      </c>
      <c r="T1506" s="22" t="s">
        <v>11280</v>
      </c>
    </row>
    <row r="1507" spans="1:20" ht="88.5" customHeight="1" x14ac:dyDescent="0.2">
      <c r="A1507" s="289">
        <v>1542</v>
      </c>
      <c r="B1507" s="289" t="s">
        <v>11283</v>
      </c>
      <c r="C1507" s="18"/>
      <c r="D1507" s="9" t="s">
        <v>9756</v>
      </c>
      <c r="E1507" s="22" t="s">
        <v>10757</v>
      </c>
      <c r="F1507" s="27"/>
      <c r="G1507" s="285" t="s">
        <v>7982</v>
      </c>
      <c r="H1507" s="285" t="s">
        <v>5127</v>
      </c>
      <c r="I1507" s="289"/>
      <c r="J1507" s="285" t="s">
        <v>10461</v>
      </c>
      <c r="K1507" s="14">
        <v>44538</v>
      </c>
      <c r="L1507" s="289">
        <v>905</v>
      </c>
      <c r="M1507" s="14">
        <v>44530</v>
      </c>
      <c r="N1507" s="40">
        <v>2</v>
      </c>
      <c r="O1507" s="40">
        <v>23700</v>
      </c>
      <c r="P1507" s="40">
        <v>23700</v>
      </c>
      <c r="Q1507" s="17">
        <f t="shared" si="45"/>
        <v>0</v>
      </c>
      <c r="R1507" s="285" t="s">
        <v>11279</v>
      </c>
      <c r="S1507" s="14">
        <v>44530</v>
      </c>
      <c r="T1507" s="22" t="s">
        <v>11280</v>
      </c>
    </row>
    <row r="1508" spans="1:20" ht="88.5" customHeight="1" x14ac:dyDescent="0.2">
      <c r="A1508" s="289">
        <v>1543</v>
      </c>
      <c r="B1508" s="289" t="s">
        <v>11290</v>
      </c>
      <c r="C1508" s="18"/>
      <c r="D1508" s="9" t="s">
        <v>11291</v>
      </c>
      <c r="E1508" s="22" t="s">
        <v>10757</v>
      </c>
      <c r="F1508" s="27" t="s">
        <v>11292</v>
      </c>
      <c r="G1508" s="285" t="s">
        <v>7983</v>
      </c>
      <c r="H1508" s="285" t="s">
        <v>5127</v>
      </c>
      <c r="I1508" s="289"/>
      <c r="J1508" s="285" t="s">
        <v>10461</v>
      </c>
      <c r="K1508" s="14">
        <v>44544</v>
      </c>
      <c r="L1508" s="289">
        <v>926</v>
      </c>
      <c r="M1508" s="14">
        <v>44532</v>
      </c>
      <c r="N1508" s="40">
        <v>1</v>
      </c>
      <c r="O1508" s="40">
        <v>14120</v>
      </c>
      <c r="P1508" s="40">
        <v>14120</v>
      </c>
      <c r="Q1508" s="17">
        <v>0</v>
      </c>
      <c r="R1508" s="285" t="s">
        <v>10456</v>
      </c>
      <c r="S1508" s="14">
        <v>44524</v>
      </c>
      <c r="T1508" s="22" t="s">
        <v>11293</v>
      </c>
    </row>
    <row r="1509" spans="1:20" ht="189.75" customHeight="1" x14ac:dyDescent="0.2">
      <c r="A1509" s="289">
        <v>1544</v>
      </c>
      <c r="B1509" s="289" t="s">
        <v>11294</v>
      </c>
      <c r="C1509" s="18"/>
      <c r="D1509" s="9" t="s">
        <v>11295</v>
      </c>
      <c r="E1509" s="22" t="s">
        <v>10757</v>
      </c>
      <c r="F1509" s="27" t="s">
        <v>11296</v>
      </c>
      <c r="G1509" s="285" t="s">
        <v>11760</v>
      </c>
      <c r="H1509" s="285" t="s">
        <v>10784</v>
      </c>
      <c r="I1509" s="289"/>
      <c r="J1509" s="285" t="s">
        <v>11723</v>
      </c>
      <c r="K1509" s="14" t="s">
        <v>11724</v>
      </c>
      <c r="L1509" s="285" t="s">
        <v>11725</v>
      </c>
      <c r="M1509" s="14">
        <v>44526</v>
      </c>
      <c r="N1509" s="40">
        <v>30</v>
      </c>
      <c r="O1509" s="40">
        <v>376200</v>
      </c>
      <c r="P1509" s="40">
        <v>0</v>
      </c>
      <c r="Q1509" s="17">
        <v>376200</v>
      </c>
      <c r="R1509" s="285" t="s">
        <v>10456</v>
      </c>
      <c r="S1509" s="14">
        <v>44522</v>
      </c>
      <c r="T1509" s="22" t="s">
        <v>11297</v>
      </c>
    </row>
    <row r="1510" spans="1:20" ht="137.25" customHeight="1" x14ac:dyDescent="0.2">
      <c r="A1510" s="289">
        <v>1545</v>
      </c>
      <c r="B1510" s="289" t="s">
        <v>11317</v>
      </c>
      <c r="C1510" s="18"/>
      <c r="D1510" s="9" t="s">
        <v>11318</v>
      </c>
      <c r="E1510" s="22" t="s">
        <v>10757</v>
      </c>
      <c r="F1510" s="27" t="s">
        <v>11319</v>
      </c>
      <c r="G1510" s="285" t="s">
        <v>7979</v>
      </c>
      <c r="H1510" s="285" t="s">
        <v>5127</v>
      </c>
      <c r="I1510" s="289"/>
      <c r="J1510" s="285" t="s">
        <v>10461</v>
      </c>
      <c r="K1510" s="14">
        <v>44544</v>
      </c>
      <c r="L1510" s="289">
        <v>925</v>
      </c>
      <c r="M1510" s="14">
        <v>44510</v>
      </c>
      <c r="N1510" s="40">
        <v>1</v>
      </c>
      <c r="O1510" s="40">
        <v>10590</v>
      </c>
      <c r="P1510" s="40">
        <v>10590</v>
      </c>
      <c r="Q1510" s="17">
        <v>0</v>
      </c>
      <c r="R1510" s="285" t="s">
        <v>10654</v>
      </c>
      <c r="S1510" s="14">
        <v>44473</v>
      </c>
      <c r="T1510" s="22" t="s">
        <v>11320</v>
      </c>
    </row>
    <row r="1511" spans="1:20" ht="70.5" customHeight="1" x14ac:dyDescent="0.2">
      <c r="A1511" s="289">
        <v>1546</v>
      </c>
      <c r="B1511" s="289" t="s">
        <v>11327</v>
      </c>
      <c r="C1511" s="18"/>
      <c r="D1511" s="9" t="s">
        <v>11333</v>
      </c>
      <c r="E1511" s="22" t="s">
        <v>10757</v>
      </c>
      <c r="F1511" s="27" t="s">
        <v>11334</v>
      </c>
      <c r="G1511" s="285" t="s">
        <v>7981</v>
      </c>
      <c r="H1511" s="285" t="s">
        <v>5127</v>
      </c>
      <c r="I1511" s="289"/>
      <c r="J1511" s="285" t="s">
        <v>10461</v>
      </c>
      <c r="K1511" s="14">
        <v>44544</v>
      </c>
      <c r="L1511" s="289">
        <v>931</v>
      </c>
      <c r="M1511" s="14">
        <v>44540</v>
      </c>
      <c r="N1511" s="40">
        <v>1</v>
      </c>
      <c r="O1511" s="40">
        <v>16823</v>
      </c>
      <c r="P1511" s="40">
        <v>16823</v>
      </c>
      <c r="Q1511" s="34">
        <f>O1511-P1511</f>
        <v>0</v>
      </c>
      <c r="R1511" s="285" t="s">
        <v>11097</v>
      </c>
      <c r="S1511" s="14">
        <v>44533</v>
      </c>
      <c r="T1511" s="22" t="s">
        <v>1029</v>
      </c>
    </row>
    <row r="1512" spans="1:20" ht="70.5" customHeight="1" x14ac:dyDescent="0.2">
      <c r="A1512" s="289">
        <v>1547</v>
      </c>
      <c r="B1512" s="289" t="s">
        <v>11335</v>
      </c>
      <c r="C1512" s="18"/>
      <c r="D1512" s="9" t="s">
        <v>11336</v>
      </c>
      <c r="E1512" s="22" t="s">
        <v>10757</v>
      </c>
      <c r="F1512" s="27" t="s">
        <v>11337</v>
      </c>
      <c r="G1512" s="285" t="s">
        <v>4946</v>
      </c>
      <c r="H1512" s="285" t="s">
        <v>5127</v>
      </c>
      <c r="I1512" s="289"/>
      <c r="J1512" s="285" t="s">
        <v>10461</v>
      </c>
      <c r="K1512" s="14">
        <v>44545</v>
      </c>
      <c r="L1512" s="289">
        <v>933</v>
      </c>
      <c r="M1512" s="14">
        <v>44537</v>
      </c>
      <c r="N1512" s="40">
        <v>1</v>
      </c>
      <c r="O1512" s="40">
        <v>18000</v>
      </c>
      <c r="P1512" s="40">
        <v>18000</v>
      </c>
      <c r="Q1512" s="17">
        <f>O1512-P1512</f>
        <v>0</v>
      </c>
      <c r="R1512" s="285" t="s">
        <v>10463</v>
      </c>
      <c r="S1512" s="14">
        <v>44537</v>
      </c>
      <c r="T1512" s="22" t="s">
        <v>11338</v>
      </c>
    </row>
    <row r="1513" spans="1:20" ht="70.5" customHeight="1" x14ac:dyDescent="0.2">
      <c r="A1513" s="289">
        <v>1548</v>
      </c>
      <c r="B1513" s="289" t="s">
        <v>11547</v>
      </c>
      <c r="C1513" s="18"/>
      <c r="D1513" s="9" t="s">
        <v>11341</v>
      </c>
      <c r="E1513" s="22" t="s">
        <v>10757</v>
      </c>
      <c r="F1513" s="27"/>
      <c r="G1513" s="285" t="s">
        <v>3090</v>
      </c>
      <c r="H1513" s="285" t="s">
        <v>5127</v>
      </c>
      <c r="I1513" s="289"/>
      <c r="J1513" s="285" t="s">
        <v>10461</v>
      </c>
      <c r="K1513" s="14" t="s">
        <v>11548</v>
      </c>
      <c r="L1513" s="289" t="s">
        <v>11549</v>
      </c>
      <c r="M1513" s="14">
        <v>145</v>
      </c>
      <c r="N1513" s="40">
        <v>3</v>
      </c>
      <c r="O1513" s="40">
        <f>144.42+81.85</f>
        <v>226.26999999999998</v>
      </c>
      <c r="P1513" s="40">
        <v>226.27</v>
      </c>
      <c r="Q1513" s="17">
        <f>O1513-P1513</f>
        <v>0</v>
      </c>
      <c r="R1513" s="285" t="s">
        <v>11342</v>
      </c>
      <c r="S1513" s="14">
        <v>44522</v>
      </c>
      <c r="T1513" s="22" t="s">
        <v>11343</v>
      </c>
    </row>
    <row r="1514" spans="1:20" ht="70.5" customHeight="1" x14ac:dyDescent="0.2">
      <c r="A1514" s="289">
        <v>1549</v>
      </c>
      <c r="B1514" s="289" t="s">
        <v>11393</v>
      </c>
      <c r="C1514" s="18"/>
      <c r="D1514" s="9" t="s">
        <v>11394</v>
      </c>
      <c r="E1514" s="22" t="s">
        <v>10757</v>
      </c>
      <c r="F1514" s="27"/>
      <c r="G1514" s="285" t="s">
        <v>7983</v>
      </c>
      <c r="H1514" s="285" t="s">
        <v>5127</v>
      </c>
      <c r="I1514" s="289"/>
      <c r="J1514" s="285" t="s">
        <v>10461</v>
      </c>
      <c r="K1514" s="14">
        <v>44560</v>
      </c>
      <c r="L1514" s="289">
        <v>998</v>
      </c>
      <c r="M1514" s="14">
        <v>44558</v>
      </c>
      <c r="N1514" s="40">
        <v>1</v>
      </c>
      <c r="O1514" s="40">
        <v>16299</v>
      </c>
      <c r="P1514" s="40">
        <v>16299</v>
      </c>
      <c r="Q1514" s="17">
        <f>O1514-P1514</f>
        <v>0</v>
      </c>
      <c r="R1514" s="285" t="s">
        <v>10456</v>
      </c>
      <c r="S1514" s="14">
        <v>44558</v>
      </c>
      <c r="T1514" s="22" t="s">
        <v>11403</v>
      </c>
    </row>
    <row r="1515" spans="1:20" ht="70.5" customHeight="1" x14ac:dyDescent="0.2">
      <c r="A1515" s="289">
        <v>1550</v>
      </c>
      <c r="B1515" s="289" t="s">
        <v>11544</v>
      </c>
      <c r="C1515" s="18"/>
      <c r="D1515" s="9" t="s">
        <v>1261</v>
      </c>
      <c r="E1515" s="22" t="s">
        <v>11444</v>
      </c>
      <c r="F1515" s="27"/>
      <c r="G1515" s="285" t="s">
        <v>6266</v>
      </c>
      <c r="H1515" s="285" t="s">
        <v>5127</v>
      </c>
      <c r="I1515" s="289"/>
      <c r="J1515" s="285" t="s">
        <v>10461</v>
      </c>
      <c r="K1515" s="14">
        <v>44620</v>
      </c>
      <c r="L1515" s="289">
        <v>144</v>
      </c>
      <c r="M1515" s="14">
        <v>44539</v>
      </c>
      <c r="N1515" s="40">
        <v>1</v>
      </c>
      <c r="O1515" s="40">
        <v>18000</v>
      </c>
      <c r="P1515" s="40">
        <f>O1515</f>
        <v>18000</v>
      </c>
      <c r="Q1515" s="17">
        <f>O1515-P1515</f>
        <v>0</v>
      </c>
      <c r="R1515" s="285" t="s">
        <v>11545</v>
      </c>
      <c r="S1515" s="14">
        <v>44539</v>
      </c>
      <c r="T1515" s="22" t="s">
        <v>11546</v>
      </c>
    </row>
    <row r="1516" spans="1:20" ht="70.5" customHeight="1" x14ac:dyDescent="0.2">
      <c r="A1516" s="289">
        <v>1551</v>
      </c>
      <c r="B1516" s="289" t="s">
        <v>11550</v>
      </c>
      <c r="C1516" s="18"/>
      <c r="D1516" s="9" t="s">
        <v>11551</v>
      </c>
      <c r="E1516" s="22" t="s">
        <v>11444</v>
      </c>
      <c r="F1516" s="27"/>
      <c r="G1516" s="285" t="s">
        <v>2074</v>
      </c>
      <c r="H1516" s="285" t="s">
        <v>5127</v>
      </c>
      <c r="I1516" s="289"/>
      <c r="J1516" s="285" t="s">
        <v>10461</v>
      </c>
      <c r="K1516" s="14">
        <v>44630</v>
      </c>
      <c r="L1516" s="289">
        <v>180</v>
      </c>
      <c r="M1516" s="14">
        <v>44551</v>
      </c>
      <c r="N1516" s="40">
        <v>1</v>
      </c>
      <c r="O1516" s="40">
        <v>11999</v>
      </c>
      <c r="P1516" s="40">
        <v>11999</v>
      </c>
      <c r="Q1516" s="17">
        <v>0</v>
      </c>
      <c r="R1516" s="285" t="s">
        <v>11552</v>
      </c>
      <c r="S1516" s="14">
        <v>44544</v>
      </c>
      <c r="T1516" s="22" t="s">
        <v>11553</v>
      </c>
    </row>
    <row r="1517" spans="1:20" ht="64.5" customHeight="1" x14ac:dyDescent="0.2">
      <c r="A1517" s="289">
        <v>1552</v>
      </c>
      <c r="B1517" s="289" t="s">
        <v>11554</v>
      </c>
      <c r="C1517" s="18"/>
      <c r="D1517" s="9" t="s">
        <v>11555</v>
      </c>
      <c r="E1517" s="22" t="s">
        <v>11444</v>
      </c>
      <c r="F1517" s="27"/>
      <c r="G1517" s="285" t="s">
        <v>2074</v>
      </c>
      <c r="H1517" s="285" t="s">
        <v>5127</v>
      </c>
      <c r="I1517" s="289"/>
      <c r="J1517" s="285" t="s">
        <v>10461</v>
      </c>
      <c r="K1517" s="14">
        <v>44630</v>
      </c>
      <c r="L1517" s="289">
        <v>180</v>
      </c>
      <c r="M1517" s="14">
        <v>44551</v>
      </c>
      <c r="N1517" s="40">
        <v>1</v>
      </c>
      <c r="O1517" s="40">
        <v>20399</v>
      </c>
      <c r="P1517" s="40">
        <v>20399</v>
      </c>
      <c r="Q1517" s="17">
        <v>0</v>
      </c>
      <c r="R1517" s="285" t="s">
        <v>11552</v>
      </c>
      <c r="S1517" s="14">
        <v>44544</v>
      </c>
      <c r="T1517" s="22" t="s">
        <v>11553</v>
      </c>
    </row>
    <row r="1518" spans="1:20" ht="54.75" customHeight="1" x14ac:dyDescent="0.2">
      <c r="A1518" s="289">
        <v>1553</v>
      </c>
      <c r="B1518" s="289" t="s">
        <v>12268</v>
      </c>
      <c r="C1518" s="18"/>
      <c r="D1518" s="9" t="s">
        <v>11570</v>
      </c>
      <c r="E1518" s="22" t="s">
        <v>11444</v>
      </c>
      <c r="F1518" s="27"/>
      <c r="G1518" s="285" t="s">
        <v>7981</v>
      </c>
      <c r="H1518" s="285" t="s">
        <v>5127</v>
      </c>
      <c r="I1518" s="289"/>
      <c r="J1518" s="285" t="s">
        <v>10461</v>
      </c>
      <c r="K1518" s="14" t="s">
        <v>12240</v>
      </c>
      <c r="L1518" s="289" t="s">
        <v>12258</v>
      </c>
      <c r="M1518" s="14"/>
      <c r="N1518" s="40">
        <v>1</v>
      </c>
      <c r="O1518" s="40">
        <v>89888.4</v>
      </c>
      <c r="P1518" s="40">
        <v>0</v>
      </c>
      <c r="Q1518" s="17">
        <f t="shared" ref="Q1518:Q1536" si="46">O1518-P1518</f>
        <v>89888.4</v>
      </c>
      <c r="R1518" s="285" t="s">
        <v>10874</v>
      </c>
      <c r="S1518" s="14">
        <v>44543</v>
      </c>
      <c r="T1518" s="22" t="s">
        <v>11567</v>
      </c>
    </row>
    <row r="1519" spans="1:20" ht="90.75" customHeight="1" x14ac:dyDescent="0.2">
      <c r="A1519" s="289">
        <v>1554</v>
      </c>
      <c r="B1519" s="289" t="s">
        <v>12260</v>
      </c>
      <c r="C1519" s="18"/>
      <c r="D1519" s="9" t="s">
        <v>11572</v>
      </c>
      <c r="E1519" s="22" t="s">
        <v>11444</v>
      </c>
      <c r="F1519" s="27"/>
      <c r="G1519" s="285" t="s">
        <v>7981</v>
      </c>
      <c r="H1519" s="285" t="s">
        <v>5127</v>
      </c>
      <c r="I1519" s="289"/>
      <c r="J1519" s="285" t="s">
        <v>10461</v>
      </c>
      <c r="K1519" s="14" t="s">
        <v>12240</v>
      </c>
      <c r="L1519" s="289" t="s">
        <v>12258</v>
      </c>
      <c r="M1519" s="14"/>
      <c r="N1519" s="40">
        <v>1</v>
      </c>
      <c r="O1519" s="40">
        <v>5557.08</v>
      </c>
      <c r="P1519" s="40">
        <v>0</v>
      </c>
      <c r="Q1519" s="17">
        <f t="shared" si="46"/>
        <v>5557.08</v>
      </c>
      <c r="R1519" s="285" t="s">
        <v>10874</v>
      </c>
      <c r="S1519" s="14">
        <v>44543</v>
      </c>
      <c r="T1519" s="22" t="s">
        <v>11567</v>
      </c>
    </row>
    <row r="1520" spans="1:20" ht="90.75" customHeight="1" x14ac:dyDescent="0.2">
      <c r="A1520" s="289">
        <v>1556</v>
      </c>
      <c r="B1520" s="289" t="s">
        <v>12261</v>
      </c>
      <c r="C1520" s="18"/>
      <c r="D1520" s="9" t="s">
        <v>11573</v>
      </c>
      <c r="E1520" s="22" t="s">
        <v>11444</v>
      </c>
      <c r="F1520" s="27"/>
      <c r="G1520" s="285" t="s">
        <v>7981</v>
      </c>
      <c r="H1520" s="285" t="s">
        <v>5127</v>
      </c>
      <c r="I1520" s="289"/>
      <c r="J1520" s="285" t="s">
        <v>10461</v>
      </c>
      <c r="K1520" s="14" t="s">
        <v>12240</v>
      </c>
      <c r="L1520" s="289" t="s">
        <v>12258</v>
      </c>
      <c r="M1520" s="14"/>
      <c r="N1520" s="40">
        <v>1</v>
      </c>
      <c r="O1520" s="40">
        <v>6258.55</v>
      </c>
      <c r="P1520" s="40">
        <v>0</v>
      </c>
      <c r="Q1520" s="17">
        <f t="shared" si="46"/>
        <v>6258.55</v>
      </c>
      <c r="R1520" s="285" t="s">
        <v>10874</v>
      </c>
      <c r="S1520" s="14">
        <v>44543</v>
      </c>
      <c r="T1520" s="22" t="s">
        <v>11567</v>
      </c>
    </row>
    <row r="1521" spans="1:20" ht="79.5" customHeight="1" x14ac:dyDescent="0.2">
      <c r="A1521" s="289">
        <v>1557</v>
      </c>
      <c r="B1521" s="289" t="s">
        <v>12262</v>
      </c>
      <c r="C1521" s="18"/>
      <c r="D1521" s="9" t="s">
        <v>11574</v>
      </c>
      <c r="E1521" s="22" t="s">
        <v>11444</v>
      </c>
      <c r="F1521" s="27"/>
      <c r="G1521" s="285" t="s">
        <v>7981</v>
      </c>
      <c r="H1521" s="285" t="s">
        <v>5127</v>
      </c>
      <c r="I1521" s="289"/>
      <c r="J1521" s="285" t="s">
        <v>10461</v>
      </c>
      <c r="K1521" s="14" t="s">
        <v>12240</v>
      </c>
      <c r="L1521" s="289" t="s">
        <v>12258</v>
      </c>
      <c r="M1521" s="14"/>
      <c r="N1521" s="40">
        <v>1</v>
      </c>
      <c r="O1521" s="40">
        <v>4950.13</v>
      </c>
      <c r="P1521" s="40">
        <v>0</v>
      </c>
      <c r="Q1521" s="17">
        <f t="shared" si="46"/>
        <v>4950.13</v>
      </c>
      <c r="R1521" s="285" t="s">
        <v>10874</v>
      </c>
      <c r="S1521" s="14">
        <v>44543</v>
      </c>
      <c r="T1521" s="22" t="s">
        <v>11567</v>
      </c>
    </row>
    <row r="1522" spans="1:20" ht="79.5" customHeight="1" x14ac:dyDescent="0.2">
      <c r="A1522" s="289">
        <v>1558</v>
      </c>
      <c r="B1522" s="289" t="s">
        <v>12263</v>
      </c>
      <c r="C1522" s="18"/>
      <c r="D1522" s="9" t="s">
        <v>11575</v>
      </c>
      <c r="E1522" s="22" t="s">
        <v>11444</v>
      </c>
      <c r="F1522" s="27"/>
      <c r="G1522" s="285" t="s">
        <v>7981</v>
      </c>
      <c r="H1522" s="285" t="s">
        <v>5127</v>
      </c>
      <c r="I1522" s="289"/>
      <c r="J1522" s="285" t="s">
        <v>10461</v>
      </c>
      <c r="K1522" s="14" t="s">
        <v>12240</v>
      </c>
      <c r="L1522" s="289" t="s">
        <v>12258</v>
      </c>
      <c r="M1522" s="14"/>
      <c r="N1522" s="40">
        <v>1</v>
      </c>
      <c r="O1522" s="40">
        <v>5467.53</v>
      </c>
      <c r="P1522" s="40">
        <v>0</v>
      </c>
      <c r="Q1522" s="17">
        <f t="shared" si="46"/>
        <v>5467.53</v>
      </c>
      <c r="R1522" s="285" t="s">
        <v>10874</v>
      </c>
      <c r="S1522" s="14">
        <v>44543</v>
      </c>
      <c r="T1522" s="22" t="s">
        <v>11567</v>
      </c>
    </row>
    <row r="1523" spans="1:20" ht="91.5" customHeight="1" x14ac:dyDescent="0.2">
      <c r="A1523" s="289">
        <v>1559</v>
      </c>
      <c r="B1523" s="289" t="s">
        <v>12242</v>
      </c>
      <c r="C1523" s="18"/>
      <c r="D1523" s="9" t="s">
        <v>11576</v>
      </c>
      <c r="E1523" s="22" t="s">
        <v>11444</v>
      </c>
      <c r="F1523" s="27"/>
      <c r="G1523" s="285" t="s">
        <v>7982</v>
      </c>
      <c r="H1523" s="285" t="s">
        <v>5127</v>
      </c>
      <c r="I1523" s="289"/>
      <c r="J1523" s="285" t="s">
        <v>10461</v>
      </c>
      <c r="K1523" s="14" t="s">
        <v>12240</v>
      </c>
      <c r="L1523" s="289" t="s">
        <v>12241</v>
      </c>
      <c r="M1523" s="14"/>
      <c r="N1523" s="40">
        <v>1</v>
      </c>
      <c r="O1523" s="40">
        <v>4288.45</v>
      </c>
      <c r="P1523" s="40">
        <v>0</v>
      </c>
      <c r="Q1523" s="17">
        <f t="shared" si="46"/>
        <v>4288.45</v>
      </c>
      <c r="R1523" s="285" t="s">
        <v>10874</v>
      </c>
      <c r="S1523" s="14">
        <v>44543</v>
      </c>
      <c r="T1523" s="22" t="s">
        <v>11567</v>
      </c>
    </row>
    <row r="1524" spans="1:20" ht="91.5" customHeight="1" x14ac:dyDescent="0.2">
      <c r="A1524" s="289">
        <v>1560</v>
      </c>
      <c r="B1524" s="289" t="s">
        <v>12238</v>
      </c>
      <c r="C1524" s="18"/>
      <c r="D1524" s="9" t="s">
        <v>11577</v>
      </c>
      <c r="E1524" s="22" t="s">
        <v>11444</v>
      </c>
      <c r="F1524" s="27"/>
      <c r="G1524" s="285" t="s">
        <v>7917</v>
      </c>
      <c r="H1524" s="285" t="s">
        <v>5127</v>
      </c>
      <c r="I1524" s="289"/>
      <c r="J1524" s="285" t="s">
        <v>10461</v>
      </c>
      <c r="K1524" s="14" t="s">
        <v>12240</v>
      </c>
      <c r="L1524" s="289" t="s">
        <v>12249</v>
      </c>
      <c r="M1524" s="14"/>
      <c r="N1524" s="40">
        <v>1</v>
      </c>
      <c r="O1524" s="40">
        <v>6079.45</v>
      </c>
      <c r="P1524" s="40">
        <v>0</v>
      </c>
      <c r="Q1524" s="17">
        <f t="shared" si="46"/>
        <v>6079.45</v>
      </c>
      <c r="R1524" s="285" t="s">
        <v>10874</v>
      </c>
      <c r="S1524" s="14">
        <v>44543</v>
      </c>
      <c r="T1524" s="22" t="s">
        <v>11567</v>
      </c>
    </row>
    <row r="1525" spans="1:20" ht="78.75" customHeight="1" x14ac:dyDescent="0.2">
      <c r="A1525" s="289">
        <v>1561</v>
      </c>
      <c r="B1525" s="289" t="s">
        <v>12244</v>
      </c>
      <c r="C1525" s="18"/>
      <c r="D1525" s="9" t="s">
        <v>11578</v>
      </c>
      <c r="E1525" s="22" t="s">
        <v>11444</v>
      </c>
      <c r="F1525" s="27"/>
      <c r="G1525" s="285" t="s">
        <v>7982</v>
      </c>
      <c r="H1525" s="285" t="s">
        <v>5127</v>
      </c>
      <c r="I1525" s="289"/>
      <c r="J1525" s="285" t="s">
        <v>10461</v>
      </c>
      <c r="K1525" s="14" t="s">
        <v>12240</v>
      </c>
      <c r="L1525" s="289" t="s">
        <v>12241</v>
      </c>
      <c r="M1525" s="14"/>
      <c r="N1525" s="40">
        <v>1</v>
      </c>
      <c r="O1525" s="40">
        <v>4795.8999999999996</v>
      </c>
      <c r="P1525" s="40">
        <v>0</v>
      </c>
      <c r="Q1525" s="17">
        <f t="shared" si="46"/>
        <v>4795.8999999999996</v>
      </c>
      <c r="R1525" s="285" t="s">
        <v>10874</v>
      </c>
      <c r="S1525" s="14">
        <v>44543</v>
      </c>
      <c r="T1525" s="22" t="s">
        <v>11567</v>
      </c>
    </row>
    <row r="1526" spans="1:20" ht="78.75" customHeight="1" x14ac:dyDescent="0.2">
      <c r="A1526" s="289">
        <v>1562</v>
      </c>
      <c r="B1526" s="289" t="s">
        <v>12237</v>
      </c>
      <c r="C1526" s="18"/>
      <c r="D1526" s="9" t="s">
        <v>11579</v>
      </c>
      <c r="E1526" s="22" t="s">
        <v>11444</v>
      </c>
      <c r="F1526" s="27"/>
      <c r="G1526" s="285" t="s">
        <v>7917</v>
      </c>
      <c r="H1526" s="285" t="s">
        <v>5127</v>
      </c>
      <c r="I1526" s="289"/>
      <c r="J1526" s="285" t="s">
        <v>10461</v>
      </c>
      <c r="K1526" s="14" t="s">
        <v>12240</v>
      </c>
      <c r="L1526" s="289" t="s">
        <v>12249</v>
      </c>
      <c r="M1526" s="14"/>
      <c r="N1526" s="40">
        <v>1</v>
      </c>
      <c r="O1526" s="40">
        <v>5288.43</v>
      </c>
      <c r="P1526" s="40">
        <v>0</v>
      </c>
      <c r="Q1526" s="17">
        <f t="shared" si="46"/>
        <v>5288.43</v>
      </c>
      <c r="R1526" s="285" t="s">
        <v>10874</v>
      </c>
      <c r="S1526" s="14">
        <v>44543</v>
      </c>
      <c r="T1526" s="22" t="s">
        <v>11567</v>
      </c>
    </row>
    <row r="1527" spans="1:20" ht="78.75" customHeight="1" x14ac:dyDescent="0.2">
      <c r="A1527" s="289">
        <v>1563</v>
      </c>
      <c r="B1527" s="289" t="s">
        <v>12264</v>
      </c>
      <c r="C1527" s="18"/>
      <c r="D1527" s="9" t="s">
        <v>11580</v>
      </c>
      <c r="E1527" s="22" t="s">
        <v>11444</v>
      </c>
      <c r="F1527" s="27"/>
      <c r="G1527" s="285" t="s">
        <v>7981</v>
      </c>
      <c r="H1527" s="285" t="s">
        <v>5127</v>
      </c>
      <c r="I1527" s="289"/>
      <c r="J1527" s="285" t="s">
        <v>10461</v>
      </c>
      <c r="K1527" s="14" t="s">
        <v>12240</v>
      </c>
      <c r="L1527" s="289" t="s">
        <v>12258</v>
      </c>
      <c r="M1527" s="14"/>
      <c r="N1527" s="40">
        <v>1</v>
      </c>
      <c r="O1527" s="40">
        <v>8427.65</v>
      </c>
      <c r="P1527" s="40">
        <v>0</v>
      </c>
      <c r="Q1527" s="17">
        <f t="shared" si="46"/>
        <v>8427.65</v>
      </c>
      <c r="R1527" s="285" t="s">
        <v>10874</v>
      </c>
      <c r="S1527" s="14">
        <v>44543</v>
      </c>
      <c r="T1527" s="22" t="s">
        <v>11567</v>
      </c>
    </row>
    <row r="1528" spans="1:20" ht="78.75" customHeight="1" x14ac:dyDescent="0.2">
      <c r="A1528" s="289">
        <v>1564</v>
      </c>
      <c r="B1528" s="289" t="s">
        <v>12243</v>
      </c>
      <c r="C1528" s="18"/>
      <c r="D1528" s="9" t="s">
        <v>11580</v>
      </c>
      <c r="E1528" s="22" t="s">
        <v>11444</v>
      </c>
      <c r="F1528" s="27"/>
      <c r="G1528" s="285" t="s">
        <v>7982</v>
      </c>
      <c r="H1528" s="285" t="s">
        <v>5127</v>
      </c>
      <c r="I1528" s="289"/>
      <c r="J1528" s="285" t="s">
        <v>10461</v>
      </c>
      <c r="K1528" s="14" t="s">
        <v>12240</v>
      </c>
      <c r="L1528" s="289" t="s">
        <v>12241</v>
      </c>
      <c r="M1528" s="14"/>
      <c r="N1528" s="40">
        <v>1</v>
      </c>
      <c r="O1528" s="40">
        <v>8427.65</v>
      </c>
      <c r="P1528" s="40">
        <v>0</v>
      </c>
      <c r="Q1528" s="17">
        <f t="shared" si="46"/>
        <v>8427.65</v>
      </c>
      <c r="R1528" s="285" t="s">
        <v>10874</v>
      </c>
      <c r="S1528" s="14">
        <v>44543</v>
      </c>
      <c r="T1528" s="22" t="s">
        <v>11567</v>
      </c>
    </row>
    <row r="1529" spans="1:20" ht="78.75" customHeight="1" x14ac:dyDescent="0.2">
      <c r="A1529" s="289">
        <v>1565</v>
      </c>
      <c r="B1529" s="289" t="s">
        <v>12236</v>
      </c>
      <c r="C1529" s="18"/>
      <c r="D1529" s="9" t="s">
        <v>11580</v>
      </c>
      <c r="E1529" s="22" t="s">
        <v>11444</v>
      </c>
      <c r="F1529" s="27"/>
      <c r="G1529" s="285" t="s">
        <v>7917</v>
      </c>
      <c r="H1529" s="285" t="s">
        <v>5127</v>
      </c>
      <c r="I1529" s="289"/>
      <c r="J1529" s="285" t="s">
        <v>10461</v>
      </c>
      <c r="K1529" s="14" t="s">
        <v>12240</v>
      </c>
      <c r="L1529" s="289" t="s">
        <v>12249</v>
      </c>
      <c r="M1529" s="14"/>
      <c r="N1529" s="40">
        <v>1</v>
      </c>
      <c r="O1529" s="40">
        <v>8427.65</v>
      </c>
      <c r="P1529" s="40">
        <v>0</v>
      </c>
      <c r="Q1529" s="17">
        <f t="shared" si="46"/>
        <v>8427.65</v>
      </c>
      <c r="R1529" s="285" t="s">
        <v>10874</v>
      </c>
      <c r="S1529" s="14">
        <v>44543</v>
      </c>
      <c r="T1529" s="22" t="s">
        <v>11567</v>
      </c>
    </row>
    <row r="1530" spans="1:20" ht="78.75" customHeight="1" x14ac:dyDescent="0.2">
      <c r="A1530" s="289">
        <v>1566</v>
      </c>
      <c r="B1530" s="289" t="s">
        <v>12265</v>
      </c>
      <c r="C1530" s="18"/>
      <c r="D1530" s="9" t="s">
        <v>11581</v>
      </c>
      <c r="E1530" s="22" t="s">
        <v>11444</v>
      </c>
      <c r="F1530" s="27"/>
      <c r="G1530" s="285" t="s">
        <v>7981</v>
      </c>
      <c r="H1530" s="285" t="s">
        <v>5127</v>
      </c>
      <c r="I1530" s="289"/>
      <c r="J1530" s="285" t="s">
        <v>10461</v>
      </c>
      <c r="K1530" s="14" t="s">
        <v>12240</v>
      </c>
      <c r="L1530" s="289" t="s">
        <v>12258</v>
      </c>
      <c r="M1530" s="14"/>
      <c r="N1530" s="40">
        <v>1</v>
      </c>
      <c r="O1530" s="40">
        <v>7432.65</v>
      </c>
      <c r="P1530" s="40">
        <v>0</v>
      </c>
      <c r="Q1530" s="17">
        <f t="shared" si="46"/>
        <v>7432.65</v>
      </c>
      <c r="R1530" s="285" t="s">
        <v>10874</v>
      </c>
      <c r="S1530" s="14">
        <v>44543</v>
      </c>
      <c r="T1530" s="22" t="s">
        <v>11567</v>
      </c>
    </row>
    <row r="1531" spans="1:20" ht="78.75" customHeight="1" x14ac:dyDescent="0.2">
      <c r="A1531" s="289">
        <v>1567</v>
      </c>
      <c r="B1531" s="289" t="s">
        <v>12245</v>
      </c>
      <c r="C1531" s="18"/>
      <c r="D1531" s="9" t="s">
        <v>11581</v>
      </c>
      <c r="E1531" s="22" t="s">
        <v>11444</v>
      </c>
      <c r="F1531" s="27"/>
      <c r="G1531" s="285" t="s">
        <v>7982</v>
      </c>
      <c r="H1531" s="285" t="s">
        <v>5127</v>
      </c>
      <c r="I1531" s="289"/>
      <c r="J1531" s="285" t="s">
        <v>10461</v>
      </c>
      <c r="K1531" s="14" t="s">
        <v>12240</v>
      </c>
      <c r="L1531" s="289" t="s">
        <v>12241</v>
      </c>
      <c r="M1531" s="14"/>
      <c r="N1531" s="40">
        <v>1</v>
      </c>
      <c r="O1531" s="40">
        <v>7432.65</v>
      </c>
      <c r="P1531" s="40">
        <v>0</v>
      </c>
      <c r="Q1531" s="17">
        <f t="shared" si="46"/>
        <v>7432.65</v>
      </c>
      <c r="R1531" s="285" t="s">
        <v>10874</v>
      </c>
      <c r="S1531" s="14">
        <v>44543</v>
      </c>
      <c r="T1531" s="22" t="s">
        <v>11567</v>
      </c>
    </row>
    <row r="1532" spans="1:20" ht="78.75" customHeight="1" x14ac:dyDescent="0.2">
      <c r="A1532" s="289">
        <v>1568</v>
      </c>
      <c r="B1532" s="289" t="s">
        <v>12235</v>
      </c>
      <c r="C1532" s="18"/>
      <c r="D1532" s="9" t="s">
        <v>11581</v>
      </c>
      <c r="E1532" s="22" t="s">
        <v>11444</v>
      </c>
      <c r="F1532" s="27"/>
      <c r="G1532" s="285" t="s">
        <v>7917</v>
      </c>
      <c r="H1532" s="285" t="s">
        <v>5127</v>
      </c>
      <c r="I1532" s="289"/>
      <c r="J1532" s="285" t="s">
        <v>10461</v>
      </c>
      <c r="K1532" s="14" t="s">
        <v>12240</v>
      </c>
      <c r="L1532" s="289" t="s">
        <v>12249</v>
      </c>
      <c r="M1532" s="14"/>
      <c r="N1532" s="40">
        <v>1</v>
      </c>
      <c r="O1532" s="40">
        <v>7432.65</v>
      </c>
      <c r="P1532" s="40">
        <v>0</v>
      </c>
      <c r="Q1532" s="17">
        <f t="shared" si="46"/>
        <v>7432.65</v>
      </c>
      <c r="R1532" s="285" t="s">
        <v>10874</v>
      </c>
      <c r="S1532" s="14">
        <v>44543</v>
      </c>
      <c r="T1532" s="22" t="s">
        <v>11567</v>
      </c>
    </row>
    <row r="1533" spans="1:20" ht="78.75" customHeight="1" x14ac:dyDescent="0.2">
      <c r="A1533" s="289">
        <v>1569</v>
      </c>
      <c r="B1533" s="289" t="s">
        <v>12266</v>
      </c>
      <c r="C1533" s="18"/>
      <c r="D1533" s="9" t="s">
        <v>11582</v>
      </c>
      <c r="E1533" s="22" t="s">
        <v>11444</v>
      </c>
      <c r="F1533" s="27"/>
      <c r="G1533" s="285" t="s">
        <v>7981</v>
      </c>
      <c r="H1533" s="285" t="s">
        <v>5127</v>
      </c>
      <c r="I1533" s="289"/>
      <c r="J1533" s="285" t="s">
        <v>10461</v>
      </c>
      <c r="K1533" s="14" t="s">
        <v>12240</v>
      </c>
      <c r="L1533" s="289" t="s">
        <v>12258</v>
      </c>
      <c r="M1533" s="14"/>
      <c r="N1533" s="40">
        <v>1</v>
      </c>
      <c r="O1533" s="40">
        <v>23337.73</v>
      </c>
      <c r="P1533" s="40">
        <v>0</v>
      </c>
      <c r="Q1533" s="17">
        <f t="shared" si="46"/>
        <v>23337.73</v>
      </c>
      <c r="R1533" s="285" t="s">
        <v>10874</v>
      </c>
      <c r="S1533" s="14">
        <v>44543</v>
      </c>
      <c r="T1533" s="22" t="s">
        <v>11567</v>
      </c>
    </row>
    <row r="1534" spans="1:20" ht="78.75" customHeight="1" x14ac:dyDescent="0.2">
      <c r="A1534" s="289">
        <v>1570</v>
      </c>
      <c r="B1534" s="289" t="s">
        <v>12246</v>
      </c>
      <c r="C1534" s="18"/>
      <c r="D1534" s="9" t="s">
        <v>11582</v>
      </c>
      <c r="E1534" s="22" t="s">
        <v>11444</v>
      </c>
      <c r="F1534" s="27"/>
      <c r="G1534" s="285" t="s">
        <v>7982</v>
      </c>
      <c r="H1534" s="285" t="s">
        <v>5127</v>
      </c>
      <c r="I1534" s="289"/>
      <c r="J1534" s="285" t="s">
        <v>10461</v>
      </c>
      <c r="K1534" s="14" t="s">
        <v>12240</v>
      </c>
      <c r="L1534" s="289" t="s">
        <v>12241</v>
      </c>
      <c r="M1534" s="14"/>
      <c r="N1534" s="40">
        <v>1</v>
      </c>
      <c r="O1534" s="40">
        <v>23337.73</v>
      </c>
      <c r="P1534" s="40">
        <v>0</v>
      </c>
      <c r="Q1534" s="17">
        <f t="shared" si="46"/>
        <v>23337.73</v>
      </c>
      <c r="R1534" s="285" t="s">
        <v>10874</v>
      </c>
      <c r="S1534" s="14">
        <v>44543</v>
      </c>
      <c r="T1534" s="22" t="s">
        <v>11567</v>
      </c>
    </row>
    <row r="1535" spans="1:20" ht="78.75" customHeight="1" x14ac:dyDescent="0.2">
      <c r="A1535" s="289">
        <v>1571</v>
      </c>
      <c r="B1535" s="289" t="s">
        <v>12234</v>
      </c>
      <c r="C1535" s="18"/>
      <c r="D1535" s="9" t="s">
        <v>11582</v>
      </c>
      <c r="E1535" s="22" t="s">
        <v>11444</v>
      </c>
      <c r="F1535" s="27"/>
      <c r="G1535" s="285" t="s">
        <v>7917</v>
      </c>
      <c r="H1535" s="285" t="s">
        <v>5127</v>
      </c>
      <c r="I1535" s="289"/>
      <c r="J1535" s="285" t="s">
        <v>10461</v>
      </c>
      <c r="K1535" s="14" t="s">
        <v>12240</v>
      </c>
      <c r="L1535" s="289" t="s">
        <v>12249</v>
      </c>
      <c r="M1535" s="14"/>
      <c r="N1535" s="40">
        <v>1</v>
      </c>
      <c r="O1535" s="40">
        <v>23337.73</v>
      </c>
      <c r="P1535" s="40">
        <v>0</v>
      </c>
      <c r="Q1535" s="17">
        <f t="shared" si="46"/>
        <v>23337.73</v>
      </c>
      <c r="R1535" s="285" t="s">
        <v>10874</v>
      </c>
      <c r="S1535" s="14">
        <v>44543</v>
      </c>
      <c r="T1535" s="22" t="s">
        <v>11567</v>
      </c>
    </row>
    <row r="1536" spans="1:20" ht="78.75" customHeight="1" x14ac:dyDescent="0.2">
      <c r="A1536" s="289">
        <v>1572</v>
      </c>
      <c r="B1536" s="289" t="s">
        <v>12267</v>
      </c>
      <c r="C1536" s="18"/>
      <c r="D1536" s="9" t="s">
        <v>11603</v>
      </c>
      <c r="E1536" s="22" t="s">
        <v>11444</v>
      </c>
      <c r="F1536" s="27"/>
      <c r="G1536" s="285" t="s">
        <v>7981</v>
      </c>
      <c r="H1536" s="285" t="s">
        <v>5127</v>
      </c>
      <c r="I1536" s="289"/>
      <c r="J1536" s="285" t="s">
        <v>10461</v>
      </c>
      <c r="K1536" s="14" t="s">
        <v>12240</v>
      </c>
      <c r="L1536" s="289" t="s">
        <v>12258</v>
      </c>
      <c r="M1536" s="14"/>
      <c r="N1536" s="40">
        <v>1</v>
      </c>
      <c r="O1536" s="40">
        <v>25656.080000000002</v>
      </c>
      <c r="P1536" s="40">
        <v>0</v>
      </c>
      <c r="Q1536" s="17">
        <f t="shared" si="46"/>
        <v>25656.080000000002</v>
      </c>
      <c r="R1536" s="285" t="s">
        <v>10874</v>
      </c>
      <c r="S1536" s="14">
        <v>44543</v>
      </c>
      <c r="T1536" s="22" t="s">
        <v>11567</v>
      </c>
    </row>
    <row r="1537" spans="1:20" ht="78.75" customHeight="1" x14ac:dyDescent="0.2">
      <c r="A1537" s="289">
        <v>1573</v>
      </c>
      <c r="B1537" s="289" t="s">
        <v>11594</v>
      </c>
      <c r="C1537" s="18"/>
      <c r="D1537" s="9" t="s">
        <v>11595</v>
      </c>
      <c r="E1537" s="22" t="s">
        <v>11444</v>
      </c>
      <c r="F1537" s="27" t="s">
        <v>11598</v>
      </c>
      <c r="G1537" s="285" t="s">
        <v>7846</v>
      </c>
      <c r="H1537" s="285" t="s">
        <v>5127</v>
      </c>
      <c r="I1537" s="289"/>
      <c r="J1537" s="285" t="s">
        <v>10461</v>
      </c>
      <c r="K1537" s="14">
        <v>44637</v>
      </c>
      <c r="L1537" s="289">
        <v>209</v>
      </c>
      <c r="M1537" s="14"/>
      <c r="N1537" s="40">
        <v>1</v>
      </c>
      <c r="O1537" s="40">
        <v>16000</v>
      </c>
      <c r="P1537" s="40">
        <v>16000</v>
      </c>
      <c r="Q1537" s="17">
        <f>O1537-P1537</f>
        <v>0</v>
      </c>
      <c r="R1537" s="285" t="s">
        <v>11596</v>
      </c>
      <c r="S1537" s="14">
        <v>44629</v>
      </c>
      <c r="T1537" s="22" t="s">
        <v>11597</v>
      </c>
    </row>
    <row r="1538" spans="1:20" ht="78.75" customHeight="1" x14ac:dyDescent="0.2">
      <c r="A1538" s="289">
        <v>1574</v>
      </c>
      <c r="B1538" s="289" t="s">
        <v>11646</v>
      </c>
      <c r="C1538" s="18"/>
      <c r="D1538" s="85" t="s">
        <v>11635</v>
      </c>
      <c r="E1538" s="22" t="s">
        <v>11444</v>
      </c>
      <c r="F1538" s="27" t="s">
        <v>11639</v>
      </c>
      <c r="G1538" s="285" t="s">
        <v>3699</v>
      </c>
      <c r="H1538" s="285" t="s">
        <v>5127</v>
      </c>
      <c r="I1538" s="289"/>
      <c r="J1538" s="285" t="s">
        <v>10461</v>
      </c>
      <c r="K1538" s="14">
        <v>44659</v>
      </c>
      <c r="L1538" s="289">
        <v>282</v>
      </c>
      <c r="M1538" s="14">
        <v>44523</v>
      </c>
      <c r="N1538" s="40">
        <v>1</v>
      </c>
      <c r="O1538" s="40">
        <v>18746</v>
      </c>
      <c r="P1538" s="40">
        <f>O1538</f>
        <v>18746</v>
      </c>
      <c r="Q1538" s="40">
        <f>O1538-P1538</f>
        <v>0</v>
      </c>
      <c r="R1538" s="285" t="s">
        <v>10501</v>
      </c>
      <c r="S1538" s="14">
        <v>44523</v>
      </c>
      <c r="T1538" s="22" t="s">
        <v>11636</v>
      </c>
    </row>
    <row r="1539" spans="1:20" ht="78.75" customHeight="1" x14ac:dyDescent="0.2">
      <c r="A1539" s="289">
        <v>1575</v>
      </c>
      <c r="B1539" s="289" t="s">
        <v>11647</v>
      </c>
      <c r="C1539" s="18"/>
      <c r="D1539" s="85" t="s">
        <v>11638</v>
      </c>
      <c r="E1539" s="22" t="s">
        <v>11444</v>
      </c>
      <c r="F1539" s="27" t="s">
        <v>11639</v>
      </c>
      <c r="G1539" s="285" t="s">
        <v>3699</v>
      </c>
      <c r="H1539" s="285" t="s">
        <v>5127</v>
      </c>
      <c r="I1539" s="289"/>
      <c r="J1539" s="285" t="s">
        <v>10461</v>
      </c>
      <c r="K1539" s="14">
        <v>44659</v>
      </c>
      <c r="L1539" s="289">
        <v>282</v>
      </c>
      <c r="M1539" s="14">
        <v>44523</v>
      </c>
      <c r="N1539" s="40">
        <v>1</v>
      </c>
      <c r="O1539" s="40">
        <v>11305</v>
      </c>
      <c r="P1539" s="40">
        <f>O1539</f>
        <v>11305</v>
      </c>
      <c r="Q1539" s="40">
        <f>O1539-P1539</f>
        <v>0</v>
      </c>
      <c r="R1539" s="285" t="s">
        <v>10501</v>
      </c>
      <c r="S1539" s="14">
        <v>44523</v>
      </c>
      <c r="T1539" s="22" t="s">
        <v>11636</v>
      </c>
    </row>
    <row r="1540" spans="1:20" ht="78.75" customHeight="1" x14ac:dyDescent="0.2">
      <c r="A1540" s="289">
        <v>1576</v>
      </c>
      <c r="B1540" s="289" t="s">
        <v>11663</v>
      </c>
      <c r="C1540" s="18"/>
      <c r="D1540" s="85" t="s">
        <v>11667</v>
      </c>
      <c r="E1540" s="22" t="s">
        <v>11444</v>
      </c>
      <c r="F1540" s="27" t="s">
        <v>11664</v>
      </c>
      <c r="G1540" s="285" t="s">
        <v>8293</v>
      </c>
      <c r="H1540" s="285" t="s">
        <v>5127</v>
      </c>
      <c r="I1540" s="289"/>
      <c r="J1540" s="285" t="s">
        <v>10461</v>
      </c>
      <c r="K1540" s="14">
        <v>44693</v>
      </c>
      <c r="L1540" s="289">
        <v>343</v>
      </c>
      <c r="M1540" s="14">
        <v>44666</v>
      </c>
      <c r="N1540" s="40">
        <v>1</v>
      </c>
      <c r="O1540" s="40">
        <v>14180</v>
      </c>
      <c r="P1540" s="40">
        <v>14180</v>
      </c>
      <c r="Q1540" s="40">
        <v>0</v>
      </c>
      <c r="R1540" s="285" t="s">
        <v>11666</v>
      </c>
      <c r="S1540" s="14">
        <v>44643</v>
      </c>
      <c r="T1540" s="22" t="s">
        <v>11665</v>
      </c>
    </row>
    <row r="1541" spans="1:20" ht="59.25" customHeight="1" x14ac:dyDescent="0.2">
      <c r="A1541" s="289">
        <v>1577</v>
      </c>
      <c r="B1541" s="289" t="s">
        <v>11705</v>
      </c>
      <c r="C1541" s="18"/>
      <c r="D1541" s="85" t="s">
        <v>11706</v>
      </c>
      <c r="E1541" s="22" t="s">
        <v>11444</v>
      </c>
      <c r="F1541" s="27"/>
      <c r="G1541" s="285" t="s">
        <v>10465</v>
      </c>
      <c r="H1541" s="285" t="s">
        <v>10784</v>
      </c>
      <c r="I1541" s="289"/>
      <c r="J1541" s="285" t="s">
        <v>10461</v>
      </c>
      <c r="K1541" s="14">
        <v>44707</v>
      </c>
      <c r="L1541" s="289">
        <v>393</v>
      </c>
      <c r="M1541" s="18"/>
      <c r="N1541" s="40">
        <v>30</v>
      </c>
      <c r="O1541" s="40" t="s">
        <v>11707</v>
      </c>
      <c r="P1541" s="40">
        <v>0</v>
      </c>
      <c r="Q1541" s="40" t="s">
        <v>11707</v>
      </c>
      <c r="R1541" s="285" t="s">
        <v>10874</v>
      </c>
      <c r="S1541" s="14">
        <v>44634</v>
      </c>
      <c r="T1541" s="22" t="s">
        <v>11708</v>
      </c>
    </row>
    <row r="1542" spans="1:20" ht="57" customHeight="1" x14ac:dyDescent="0.2">
      <c r="A1542" s="289">
        <v>1585</v>
      </c>
      <c r="B1542" s="289" t="s">
        <v>11720</v>
      </c>
      <c r="C1542" s="18"/>
      <c r="D1542" s="85" t="s">
        <v>8398</v>
      </c>
      <c r="E1542" s="22" t="s">
        <v>11444</v>
      </c>
      <c r="F1542" s="27" t="s">
        <v>11738</v>
      </c>
      <c r="G1542" s="285" t="s">
        <v>7979</v>
      </c>
      <c r="H1542" s="285" t="s">
        <v>5127</v>
      </c>
      <c r="I1542" s="289"/>
      <c r="J1542" s="285" t="s">
        <v>10461</v>
      </c>
      <c r="K1542" s="14">
        <v>44735</v>
      </c>
      <c r="L1542" s="289">
        <v>471</v>
      </c>
      <c r="M1542" s="83">
        <v>44701</v>
      </c>
      <c r="N1542" s="40">
        <v>2</v>
      </c>
      <c r="O1542" s="40">
        <v>21000</v>
      </c>
      <c r="P1542" s="40">
        <f>O1542</f>
        <v>21000</v>
      </c>
      <c r="Q1542" s="40">
        <f>O1542-P1542</f>
        <v>0</v>
      </c>
      <c r="R1542" s="285" t="s">
        <v>11097</v>
      </c>
      <c r="S1542" s="14">
        <v>44701</v>
      </c>
      <c r="T1542" s="22" t="s">
        <v>1029</v>
      </c>
    </row>
    <row r="1543" spans="1:20" ht="108.75" customHeight="1" x14ac:dyDescent="0.2">
      <c r="A1543" s="289">
        <v>1586</v>
      </c>
      <c r="B1543" s="289" t="s">
        <v>11744</v>
      </c>
      <c r="C1543" s="18"/>
      <c r="D1543" s="85" t="s">
        <v>8517</v>
      </c>
      <c r="E1543" s="22" t="s">
        <v>11444</v>
      </c>
      <c r="F1543" s="27" t="s">
        <v>11897</v>
      </c>
      <c r="G1543" s="285" t="s">
        <v>10465</v>
      </c>
      <c r="H1543" s="285" t="s">
        <v>10784</v>
      </c>
      <c r="I1543" s="289"/>
      <c r="J1543" s="285" t="s">
        <v>10461</v>
      </c>
      <c r="K1543" s="14">
        <v>44748</v>
      </c>
      <c r="L1543" s="289">
        <v>515</v>
      </c>
      <c r="M1543" s="83">
        <v>44736</v>
      </c>
      <c r="N1543" s="40">
        <v>2</v>
      </c>
      <c r="O1543" s="40">
        <v>33155</v>
      </c>
      <c r="P1543" s="40">
        <v>0</v>
      </c>
      <c r="Q1543" s="40">
        <f t="shared" ref="Q1543:Q1550" si="47">O1543-P1543</f>
        <v>33155</v>
      </c>
      <c r="R1543" s="285" t="s">
        <v>10456</v>
      </c>
      <c r="S1543" s="14">
        <v>44649</v>
      </c>
      <c r="T1543" s="22" t="s">
        <v>11747</v>
      </c>
    </row>
    <row r="1544" spans="1:20" ht="99" customHeight="1" x14ac:dyDescent="0.2">
      <c r="A1544" s="289">
        <v>1587</v>
      </c>
      <c r="B1544" s="289" t="s">
        <v>11745</v>
      </c>
      <c r="C1544" s="18"/>
      <c r="D1544" s="85" t="s">
        <v>11746</v>
      </c>
      <c r="E1544" s="22" t="s">
        <v>11444</v>
      </c>
      <c r="F1544" s="27" t="s">
        <v>11898</v>
      </c>
      <c r="G1544" s="285" t="s">
        <v>10465</v>
      </c>
      <c r="H1544" s="285" t="s">
        <v>10784</v>
      </c>
      <c r="I1544" s="289"/>
      <c r="J1544" s="285" t="s">
        <v>10461</v>
      </c>
      <c r="K1544" s="14">
        <v>44748</v>
      </c>
      <c r="L1544" s="289">
        <v>515</v>
      </c>
      <c r="M1544" s="83">
        <v>44736</v>
      </c>
      <c r="N1544" s="40">
        <v>2</v>
      </c>
      <c r="O1544" s="40">
        <v>22880</v>
      </c>
      <c r="P1544" s="40">
        <v>0</v>
      </c>
      <c r="Q1544" s="40">
        <f t="shared" si="47"/>
        <v>22880</v>
      </c>
      <c r="R1544" s="285" t="s">
        <v>10456</v>
      </c>
      <c r="S1544" s="14">
        <v>44649</v>
      </c>
      <c r="T1544" s="22" t="s">
        <v>11747</v>
      </c>
    </row>
    <row r="1545" spans="1:20" ht="57" customHeight="1" x14ac:dyDescent="0.2">
      <c r="A1545" s="289">
        <v>1588</v>
      </c>
      <c r="B1545" s="289" t="s">
        <v>11778</v>
      </c>
      <c r="C1545" s="18"/>
      <c r="D1545" s="85" t="s">
        <v>11761</v>
      </c>
      <c r="E1545" s="22" t="s">
        <v>11444</v>
      </c>
      <c r="F1545" s="27" t="s">
        <v>11783</v>
      </c>
      <c r="G1545" s="285" t="s">
        <v>4296</v>
      </c>
      <c r="H1545" s="285" t="s">
        <v>3793</v>
      </c>
      <c r="I1545" s="289"/>
      <c r="J1545" s="285" t="s">
        <v>10461</v>
      </c>
      <c r="K1545" s="14">
        <v>44757</v>
      </c>
      <c r="L1545" s="289">
        <v>545</v>
      </c>
      <c r="M1545" s="83">
        <v>44748</v>
      </c>
      <c r="N1545" s="40">
        <v>1</v>
      </c>
      <c r="O1545" s="40">
        <v>1890000</v>
      </c>
      <c r="P1545" s="40">
        <v>1890000</v>
      </c>
      <c r="Q1545" s="40">
        <f t="shared" si="47"/>
        <v>0</v>
      </c>
      <c r="R1545" s="285" t="s">
        <v>10456</v>
      </c>
      <c r="S1545" s="14">
        <v>44739</v>
      </c>
      <c r="T1545" s="22" t="s">
        <v>11767</v>
      </c>
    </row>
    <row r="1546" spans="1:20" ht="57" customHeight="1" x14ac:dyDescent="0.2">
      <c r="A1546" s="289">
        <v>1589</v>
      </c>
      <c r="B1546" s="289" t="s">
        <v>11777</v>
      </c>
      <c r="C1546" s="18"/>
      <c r="D1546" s="85" t="s">
        <v>11762</v>
      </c>
      <c r="E1546" s="22" t="s">
        <v>11444</v>
      </c>
      <c r="F1546" s="27" t="s">
        <v>11784</v>
      </c>
      <c r="G1546" s="285" t="s">
        <v>4296</v>
      </c>
      <c r="H1546" s="285" t="s">
        <v>3793</v>
      </c>
      <c r="I1546" s="289"/>
      <c r="J1546" s="285" t="s">
        <v>10461</v>
      </c>
      <c r="K1546" s="14">
        <v>44757</v>
      </c>
      <c r="L1546" s="289">
        <v>545</v>
      </c>
      <c r="M1546" s="83">
        <v>44748</v>
      </c>
      <c r="N1546" s="40">
        <v>1</v>
      </c>
      <c r="O1546" s="40">
        <v>2452570</v>
      </c>
      <c r="P1546" s="40">
        <v>2452570</v>
      </c>
      <c r="Q1546" s="40">
        <f t="shared" si="47"/>
        <v>0</v>
      </c>
      <c r="R1546" s="285" t="s">
        <v>10456</v>
      </c>
      <c r="S1546" s="14">
        <v>44739</v>
      </c>
      <c r="T1546" s="22" t="s">
        <v>11767</v>
      </c>
    </row>
    <row r="1547" spans="1:20" ht="75" customHeight="1" x14ac:dyDescent="0.2">
      <c r="A1547" s="289">
        <v>1590</v>
      </c>
      <c r="B1547" s="289" t="s">
        <v>11776</v>
      </c>
      <c r="C1547" s="18"/>
      <c r="D1547" s="85" t="s">
        <v>11763</v>
      </c>
      <c r="E1547" s="22" t="s">
        <v>11444</v>
      </c>
      <c r="F1547" s="27" t="s">
        <v>11785</v>
      </c>
      <c r="G1547" s="285" t="s">
        <v>4296</v>
      </c>
      <c r="H1547" s="285" t="s">
        <v>3793</v>
      </c>
      <c r="I1547" s="289"/>
      <c r="J1547" s="285" t="s">
        <v>10461</v>
      </c>
      <c r="K1547" s="14">
        <v>44757</v>
      </c>
      <c r="L1547" s="289">
        <v>545</v>
      </c>
      <c r="M1547" s="83">
        <v>44748</v>
      </c>
      <c r="N1547" s="40">
        <v>1</v>
      </c>
      <c r="O1547" s="40">
        <v>222750</v>
      </c>
      <c r="P1547" s="40">
        <v>222750</v>
      </c>
      <c r="Q1547" s="40">
        <f t="shared" si="47"/>
        <v>0</v>
      </c>
      <c r="R1547" s="285" t="s">
        <v>10456</v>
      </c>
      <c r="S1547" s="14">
        <v>44739</v>
      </c>
      <c r="T1547" s="22" t="s">
        <v>11767</v>
      </c>
    </row>
    <row r="1548" spans="1:20" ht="88.5" customHeight="1" x14ac:dyDescent="0.2">
      <c r="A1548" s="289">
        <v>1591</v>
      </c>
      <c r="B1548" s="289" t="s">
        <v>11775</v>
      </c>
      <c r="C1548" s="18"/>
      <c r="D1548" s="85" t="s">
        <v>11764</v>
      </c>
      <c r="E1548" s="22" t="s">
        <v>11444</v>
      </c>
      <c r="F1548" s="27" t="s">
        <v>11786</v>
      </c>
      <c r="G1548" s="285" t="s">
        <v>4296</v>
      </c>
      <c r="H1548" s="285" t="s">
        <v>3793</v>
      </c>
      <c r="I1548" s="289"/>
      <c r="J1548" s="285" t="s">
        <v>10461</v>
      </c>
      <c r="K1548" s="14">
        <v>44757</v>
      </c>
      <c r="L1548" s="289">
        <v>545</v>
      </c>
      <c r="M1548" s="83">
        <v>44748</v>
      </c>
      <c r="N1548" s="40">
        <v>1</v>
      </c>
      <c r="O1548" s="40">
        <v>334680</v>
      </c>
      <c r="P1548" s="40">
        <v>334680</v>
      </c>
      <c r="Q1548" s="40">
        <f t="shared" si="47"/>
        <v>0</v>
      </c>
      <c r="R1548" s="285" t="s">
        <v>10456</v>
      </c>
      <c r="S1548" s="14">
        <v>44739</v>
      </c>
      <c r="T1548" s="22" t="s">
        <v>11767</v>
      </c>
    </row>
    <row r="1549" spans="1:20" ht="88.5" customHeight="1" x14ac:dyDescent="0.2">
      <c r="A1549" s="289">
        <v>1592</v>
      </c>
      <c r="B1549" s="289" t="s">
        <v>11774</v>
      </c>
      <c r="C1549" s="18"/>
      <c r="D1549" s="85" t="s">
        <v>11765</v>
      </c>
      <c r="E1549" s="22" t="s">
        <v>11444</v>
      </c>
      <c r="F1549" s="27" t="s">
        <v>11814</v>
      </c>
      <c r="G1549" s="285" t="s">
        <v>4296</v>
      </c>
      <c r="H1549" s="285" t="s">
        <v>3793</v>
      </c>
      <c r="I1549" s="289"/>
      <c r="J1549" s="285" t="s">
        <v>10461</v>
      </c>
      <c r="K1549" s="14">
        <v>44761</v>
      </c>
      <c r="L1549" s="289">
        <v>552</v>
      </c>
      <c r="M1549" s="83">
        <v>44755</v>
      </c>
      <c r="N1549" s="40">
        <v>1</v>
      </c>
      <c r="O1549" s="40">
        <v>414920.4</v>
      </c>
      <c r="P1549" s="40">
        <v>414920</v>
      </c>
      <c r="Q1549" s="40">
        <f t="shared" si="47"/>
        <v>0.40000000002328306</v>
      </c>
      <c r="R1549" s="285" t="s">
        <v>10456</v>
      </c>
      <c r="S1549" s="14">
        <v>44726</v>
      </c>
      <c r="T1549" s="22" t="s">
        <v>11766</v>
      </c>
    </row>
    <row r="1550" spans="1:20" ht="103.5" customHeight="1" x14ac:dyDescent="0.2">
      <c r="A1550" s="289">
        <v>1593</v>
      </c>
      <c r="B1550" s="289" t="s">
        <v>11768</v>
      </c>
      <c r="C1550" s="18"/>
      <c r="D1550" s="85" t="s">
        <v>11769</v>
      </c>
      <c r="E1550" s="22" t="s">
        <v>11444</v>
      </c>
      <c r="F1550" s="85" t="s">
        <v>11770</v>
      </c>
      <c r="G1550" s="285" t="s">
        <v>10465</v>
      </c>
      <c r="H1550" s="289" t="s">
        <v>2207</v>
      </c>
      <c r="I1550" s="289"/>
      <c r="J1550" s="285" t="s">
        <v>10461</v>
      </c>
      <c r="K1550" s="14">
        <v>44762</v>
      </c>
      <c r="L1550" s="289">
        <v>554</v>
      </c>
      <c r="M1550" s="324">
        <v>44742</v>
      </c>
      <c r="N1550" s="40">
        <v>6</v>
      </c>
      <c r="O1550" s="40">
        <v>82903</v>
      </c>
      <c r="P1550" s="40">
        <v>0</v>
      </c>
      <c r="Q1550" s="40">
        <f t="shared" si="47"/>
        <v>82903</v>
      </c>
      <c r="R1550" s="285" t="s">
        <v>11771</v>
      </c>
      <c r="S1550" s="14" t="s">
        <v>11772</v>
      </c>
      <c r="T1550" s="22" t="s">
        <v>11773</v>
      </c>
    </row>
    <row r="1551" spans="1:20" ht="48.75" customHeight="1" x14ac:dyDescent="0.2">
      <c r="A1551" s="289">
        <v>1594</v>
      </c>
      <c r="B1551" s="289" t="s">
        <v>11790</v>
      </c>
      <c r="C1551" s="18"/>
      <c r="D1551" s="85" t="s">
        <v>11791</v>
      </c>
      <c r="E1551" s="22" t="s">
        <v>11444</v>
      </c>
      <c r="F1551" s="85"/>
      <c r="G1551" s="285" t="s">
        <v>4946</v>
      </c>
      <c r="H1551" s="285" t="s">
        <v>5127</v>
      </c>
      <c r="I1551" s="289"/>
      <c r="J1551" s="285" t="s">
        <v>10461</v>
      </c>
      <c r="K1551" s="14">
        <v>44763</v>
      </c>
      <c r="L1551" s="289">
        <v>559</v>
      </c>
      <c r="M1551" s="324">
        <v>44748</v>
      </c>
      <c r="N1551" s="40">
        <v>1</v>
      </c>
      <c r="O1551" s="40">
        <v>22300</v>
      </c>
      <c r="P1551" s="40">
        <v>22300</v>
      </c>
      <c r="Q1551" s="40">
        <f t="shared" ref="Q1551" si="48">O1551-P1551</f>
        <v>0</v>
      </c>
      <c r="R1551" s="285" t="s">
        <v>10456</v>
      </c>
      <c r="S1551" s="14">
        <v>44743</v>
      </c>
      <c r="T1551" s="22" t="s">
        <v>11792</v>
      </c>
    </row>
    <row r="1552" spans="1:20" ht="35.25" customHeight="1" x14ac:dyDescent="0.2">
      <c r="A1552" s="289">
        <v>1595</v>
      </c>
      <c r="B1552" s="289" t="s">
        <v>11793</v>
      </c>
      <c r="C1552" s="18"/>
      <c r="D1552" s="85" t="s">
        <v>11794</v>
      </c>
      <c r="E1552" s="22" t="s">
        <v>11444</v>
      </c>
      <c r="F1552" s="85"/>
      <c r="G1552" s="285" t="s">
        <v>4946</v>
      </c>
      <c r="H1552" s="285" t="s">
        <v>5127</v>
      </c>
      <c r="I1552" s="289"/>
      <c r="J1552" s="285" t="s">
        <v>10461</v>
      </c>
      <c r="K1552" s="14">
        <v>44763</v>
      </c>
      <c r="L1552" s="289">
        <v>559</v>
      </c>
      <c r="M1552" s="324">
        <v>44748</v>
      </c>
      <c r="N1552" s="40">
        <v>1</v>
      </c>
      <c r="O1552" s="40">
        <v>12500</v>
      </c>
      <c r="P1552" s="40">
        <v>12500</v>
      </c>
      <c r="Q1552" s="40">
        <f t="shared" ref="Q1552" si="49">O1552-P1552</f>
        <v>0</v>
      </c>
      <c r="R1552" s="285" t="s">
        <v>10456</v>
      </c>
      <c r="S1552" s="14">
        <v>44743</v>
      </c>
      <c r="T1552" s="22" t="s">
        <v>11792</v>
      </c>
    </row>
    <row r="1553" spans="1:20" ht="35.25" customHeight="1" x14ac:dyDescent="0.2">
      <c r="A1553" s="289">
        <v>1596</v>
      </c>
      <c r="B1553" s="289" t="s">
        <v>11819</v>
      </c>
      <c r="C1553" s="18"/>
      <c r="D1553" s="85" t="s">
        <v>11820</v>
      </c>
      <c r="E1553" s="22" t="s">
        <v>11444</v>
      </c>
      <c r="F1553" s="85"/>
      <c r="G1553" s="285" t="s">
        <v>7917</v>
      </c>
      <c r="H1553" s="285" t="s">
        <v>5127</v>
      </c>
      <c r="I1553" s="289"/>
      <c r="J1553" s="285" t="s">
        <v>10461</v>
      </c>
      <c r="K1553" s="14">
        <v>44783</v>
      </c>
      <c r="L1553" s="289">
        <v>621</v>
      </c>
      <c r="M1553" s="324">
        <v>44671</v>
      </c>
      <c r="N1553" s="40">
        <v>2</v>
      </c>
      <c r="O1553" s="40">
        <v>43500</v>
      </c>
      <c r="P1553" s="40">
        <v>43500</v>
      </c>
      <c r="Q1553" s="40">
        <f t="shared" ref="Q1553" si="50">O1553-P1553</f>
        <v>0</v>
      </c>
      <c r="R1553" s="285" t="s">
        <v>10463</v>
      </c>
      <c r="S1553" s="14">
        <v>44671</v>
      </c>
      <c r="T1553" s="22" t="s">
        <v>10673</v>
      </c>
    </row>
    <row r="1554" spans="1:20" ht="52.5" customHeight="1" x14ac:dyDescent="0.2">
      <c r="A1554" s="289">
        <v>1597</v>
      </c>
      <c r="B1554" s="289" t="s">
        <v>11828</v>
      </c>
      <c r="C1554" s="18"/>
      <c r="D1554" s="85" t="s">
        <v>11829</v>
      </c>
      <c r="E1554" s="22" t="s">
        <v>11444</v>
      </c>
      <c r="F1554" s="85" t="s">
        <v>11966</v>
      </c>
      <c r="G1554" s="285" t="s">
        <v>4296</v>
      </c>
      <c r="H1554" s="285" t="s">
        <v>3793</v>
      </c>
      <c r="I1554" s="289"/>
      <c r="J1554" s="285" t="s">
        <v>10461</v>
      </c>
      <c r="K1554" s="14">
        <v>44784</v>
      </c>
      <c r="L1554" s="289">
        <v>630</v>
      </c>
      <c r="M1554" s="324">
        <v>44782</v>
      </c>
      <c r="N1554" s="40">
        <v>1</v>
      </c>
      <c r="O1554" s="40">
        <v>34621.300000000003</v>
      </c>
      <c r="P1554" s="40">
        <v>34621.300000000003</v>
      </c>
      <c r="Q1554" s="40">
        <f t="shared" ref="Q1554" si="51">O1554-P1554</f>
        <v>0</v>
      </c>
      <c r="R1554" s="285" t="s">
        <v>10456</v>
      </c>
      <c r="S1554" s="14">
        <v>44733</v>
      </c>
      <c r="T1554" s="22" t="s">
        <v>11830</v>
      </c>
    </row>
    <row r="1555" spans="1:20" ht="52.5" customHeight="1" x14ac:dyDescent="0.2">
      <c r="A1555" s="289">
        <v>1598</v>
      </c>
      <c r="B1555" s="289" t="s">
        <v>11831</v>
      </c>
      <c r="C1555" s="18"/>
      <c r="D1555" s="85" t="s">
        <v>11832</v>
      </c>
      <c r="E1555" s="22" t="s">
        <v>11444</v>
      </c>
      <c r="F1555" s="85" t="s">
        <v>11967</v>
      </c>
      <c r="G1555" s="285" t="s">
        <v>4296</v>
      </c>
      <c r="H1555" s="285" t="s">
        <v>3793</v>
      </c>
      <c r="I1555" s="289"/>
      <c r="J1555" s="285" t="s">
        <v>10461</v>
      </c>
      <c r="K1555" s="14">
        <v>44784</v>
      </c>
      <c r="L1555" s="289">
        <v>630</v>
      </c>
      <c r="M1555" s="324">
        <v>44782</v>
      </c>
      <c r="N1555" s="40">
        <v>1</v>
      </c>
      <c r="O1555" s="40">
        <v>307909.59000000003</v>
      </c>
      <c r="P1555" s="40">
        <v>307909.59000000003</v>
      </c>
      <c r="Q1555" s="40">
        <f t="shared" ref="Q1555" si="52">O1555-P1555</f>
        <v>0</v>
      </c>
      <c r="R1555" s="285" t="s">
        <v>10456</v>
      </c>
      <c r="S1555" s="14">
        <v>44733</v>
      </c>
      <c r="T1555" s="22" t="s">
        <v>11830</v>
      </c>
    </row>
    <row r="1556" spans="1:20" ht="68.25" customHeight="1" x14ac:dyDescent="0.2">
      <c r="A1556" s="289">
        <v>1599</v>
      </c>
      <c r="B1556" s="289" t="s">
        <v>11833</v>
      </c>
      <c r="C1556" s="18"/>
      <c r="D1556" s="85" t="s">
        <v>11834</v>
      </c>
      <c r="E1556" s="22" t="s">
        <v>11444</v>
      </c>
      <c r="F1556" s="85" t="s">
        <v>11968</v>
      </c>
      <c r="G1556" s="285" t="s">
        <v>4296</v>
      </c>
      <c r="H1556" s="285" t="s">
        <v>3793</v>
      </c>
      <c r="I1556" s="289"/>
      <c r="J1556" s="285" t="s">
        <v>10461</v>
      </c>
      <c r="K1556" s="14">
        <v>44784</v>
      </c>
      <c r="L1556" s="289">
        <v>630</v>
      </c>
      <c r="M1556" s="324">
        <v>44782</v>
      </c>
      <c r="N1556" s="40">
        <v>1</v>
      </c>
      <c r="O1556" s="40">
        <v>80429.490000000005</v>
      </c>
      <c r="P1556" s="40">
        <v>80429.490000000005</v>
      </c>
      <c r="Q1556" s="40">
        <f t="shared" ref="Q1556" si="53">O1556-P1556</f>
        <v>0</v>
      </c>
      <c r="R1556" s="285" t="s">
        <v>10456</v>
      </c>
      <c r="S1556" s="14">
        <v>44733</v>
      </c>
      <c r="T1556" s="22" t="s">
        <v>11830</v>
      </c>
    </row>
    <row r="1557" spans="1:20" ht="68.25" customHeight="1" x14ac:dyDescent="0.2">
      <c r="A1557" s="289">
        <v>1600</v>
      </c>
      <c r="B1557" s="289" t="s">
        <v>11835</v>
      </c>
      <c r="C1557" s="18"/>
      <c r="D1557" s="85" t="s">
        <v>11836</v>
      </c>
      <c r="E1557" s="22" t="s">
        <v>11444</v>
      </c>
      <c r="F1557" s="85" t="s">
        <v>11969</v>
      </c>
      <c r="G1557" s="285" t="s">
        <v>4296</v>
      </c>
      <c r="H1557" s="285" t="s">
        <v>3793</v>
      </c>
      <c r="I1557" s="289"/>
      <c r="J1557" s="285" t="s">
        <v>10461</v>
      </c>
      <c r="K1557" s="14">
        <v>44784</v>
      </c>
      <c r="L1557" s="289">
        <v>630</v>
      </c>
      <c r="M1557" s="324">
        <v>44782</v>
      </c>
      <c r="N1557" s="40">
        <v>1</v>
      </c>
      <c r="O1557" s="40">
        <v>24956.55</v>
      </c>
      <c r="P1557" s="40">
        <v>24956.55</v>
      </c>
      <c r="Q1557" s="40">
        <f t="shared" ref="Q1557" si="54">O1557-P1557</f>
        <v>0</v>
      </c>
      <c r="R1557" s="285" t="s">
        <v>10456</v>
      </c>
      <c r="S1557" s="14">
        <v>44733</v>
      </c>
      <c r="T1557" s="22" t="s">
        <v>11830</v>
      </c>
    </row>
    <row r="1558" spans="1:20" ht="76.5" customHeight="1" x14ac:dyDescent="0.2">
      <c r="A1558" s="289">
        <v>1601</v>
      </c>
      <c r="B1558" s="289" t="s">
        <v>11837</v>
      </c>
      <c r="C1558" s="18"/>
      <c r="D1558" s="85" t="s">
        <v>11838</v>
      </c>
      <c r="E1558" s="22" t="s">
        <v>11444</v>
      </c>
      <c r="F1558" s="85" t="s">
        <v>11970</v>
      </c>
      <c r="G1558" s="285" t="s">
        <v>4296</v>
      </c>
      <c r="H1558" s="285" t="s">
        <v>3793</v>
      </c>
      <c r="I1558" s="289"/>
      <c r="J1558" s="285" t="s">
        <v>10461</v>
      </c>
      <c r="K1558" s="14">
        <v>44784</v>
      </c>
      <c r="L1558" s="289">
        <v>630</v>
      </c>
      <c r="M1558" s="324">
        <v>44782</v>
      </c>
      <c r="N1558" s="40">
        <v>1</v>
      </c>
      <c r="O1558" s="40">
        <v>476739.59</v>
      </c>
      <c r="P1558" s="40">
        <v>476739.59</v>
      </c>
      <c r="Q1558" s="40">
        <f t="shared" ref="Q1558" si="55">O1558-P1558</f>
        <v>0</v>
      </c>
      <c r="R1558" s="285" t="s">
        <v>10456</v>
      </c>
      <c r="S1558" s="14">
        <v>44733</v>
      </c>
      <c r="T1558" s="22" t="s">
        <v>11830</v>
      </c>
    </row>
    <row r="1559" spans="1:20" ht="76.5" customHeight="1" x14ac:dyDescent="0.2">
      <c r="A1559" s="289">
        <v>1602</v>
      </c>
      <c r="B1559" s="289" t="s">
        <v>11839</v>
      </c>
      <c r="C1559" s="18"/>
      <c r="D1559" s="85" t="s">
        <v>11840</v>
      </c>
      <c r="E1559" s="22" t="s">
        <v>11444</v>
      </c>
      <c r="F1559" s="85" t="s">
        <v>11971</v>
      </c>
      <c r="G1559" s="285" t="s">
        <v>4296</v>
      </c>
      <c r="H1559" s="285" t="s">
        <v>3793</v>
      </c>
      <c r="I1559" s="289"/>
      <c r="J1559" s="285" t="s">
        <v>10461</v>
      </c>
      <c r="K1559" s="14">
        <v>44784</v>
      </c>
      <c r="L1559" s="289">
        <v>630</v>
      </c>
      <c r="M1559" s="324">
        <v>44782</v>
      </c>
      <c r="N1559" s="40">
        <v>1</v>
      </c>
      <c r="O1559" s="40">
        <v>9983.6</v>
      </c>
      <c r="P1559" s="40">
        <v>9983.6</v>
      </c>
      <c r="Q1559" s="40">
        <f t="shared" ref="Q1559" si="56">O1559-P1559</f>
        <v>0</v>
      </c>
      <c r="R1559" s="285" t="s">
        <v>10456</v>
      </c>
      <c r="S1559" s="14">
        <v>44733</v>
      </c>
      <c r="T1559" s="22" t="s">
        <v>11830</v>
      </c>
    </row>
    <row r="1560" spans="1:20" ht="76.5" customHeight="1" x14ac:dyDescent="0.2">
      <c r="A1560" s="289">
        <v>1603</v>
      </c>
      <c r="B1560" s="289" t="s">
        <v>11841</v>
      </c>
      <c r="C1560" s="18"/>
      <c r="D1560" s="85" t="s">
        <v>11842</v>
      </c>
      <c r="E1560" s="22" t="s">
        <v>11444</v>
      </c>
      <c r="F1560" s="85" t="s">
        <v>11966</v>
      </c>
      <c r="G1560" s="285" t="s">
        <v>4296</v>
      </c>
      <c r="H1560" s="285" t="s">
        <v>3793</v>
      </c>
      <c r="I1560" s="289"/>
      <c r="J1560" s="285" t="s">
        <v>10461</v>
      </c>
      <c r="K1560" s="14">
        <v>44784</v>
      </c>
      <c r="L1560" s="289">
        <v>630</v>
      </c>
      <c r="M1560" s="324">
        <v>44782</v>
      </c>
      <c r="N1560" s="40">
        <v>1</v>
      </c>
      <c r="O1560" s="40">
        <v>43021.3</v>
      </c>
      <c r="P1560" s="40">
        <v>43021.3</v>
      </c>
      <c r="Q1560" s="40">
        <f t="shared" ref="Q1560" si="57">O1560-P1560</f>
        <v>0</v>
      </c>
      <c r="R1560" s="285" t="s">
        <v>10456</v>
      </c>
      <c r="S1560" s="14">
        <v>44733</v>
      </c>
      <c r="T1560" s="22" t="s">
        <v>11830</v>
      </c>
    </row>
    <row r="1561" spans="1:20" ht="76.5" customHeight="1" x14ac:dyDescent="0.2">
      <c r="A1561" s="289">
        <v>1604</v>
      </c>
      <c r="B1561" s="289" t="s">
        <v>11844</v>
      </c>
      <c r="C1561" s="18"/>
      <c r="D1561" s="85" t="s">
        <v>11843</v>
      </c>
      <c r="E1561" s="22" t="s">
        <v>11444</v>
      </c>
      <c r="F1561" s="85" t="s">
        <v>11974</v>
      </c>
      <c r="G1561" s="285" t="s">
        <v>4296</v>
      </c>
      <c r="H1561" s="285" t="s">
        <v>3793</v>
      </c>
      <c r="I1561" s="289"/>
      <c r="J1561" s="285" t="s">
        <v>10461</v>
      </c>
      <c r="K1561" s="14">
        <v>44784</v>
      </c>
      <c r="L1561" s="289">
        <v>630</v>
      </c>
      <c r="M1561" s="324">
        <v>44782</v>
      </c>
      <c r="N1561" s="40">
        <v>1</v>
      </c>
      <c r="O1561" s="40">
        <v>2409304.0699999998</v>
      </c>
      <c r="P1561" s="40">
        <v>2409304.0699999998</v>
      </c>
      <c r="Q1561" s="40">
        <f t="shared" ref="Q1561" si="58">O1561-P1561</f>
        <v>0</v>
      </c>
      <c r="R1561" s="285" t="s">
        <v>10456</v>
      </c>
      <c r="S1561" s="14">
        <v>44733</v>
      </c>
      <c r="T1561" s="22" t="s">
        <v>11830</v>
      </c>
    </row>
    <row r="1562" spans="1:20" ht="76.5" customHeight="1" x14ac:dyDescent="0.2">
      <c r="A1562" s="289">
        <v>1605</v>
      </c>
      <c r="B1562" s="289" t="s">
        <v>11845</v>
      </c>
      <c r="C1562" s="18"/>
      <c r="D1562" s="85" t="s">
        <v>11847</v>
      </c>
      <c r="E1562" s="22" t="s">
        <v>11444</v>
      </c>
      <c r="F1562" s="85" t="s">
        <v>11972</v>
      </c>
      <c r="G1562" s="285" t="s">
        <v>4296</v>
      </c>
      <c r="H1562" s="285" t="s">
        <v>3793</v>
      </c>
      <c r="I1562" s="289"/>
      <c r="J1562" s="285" t="s">
        <v>10461</v>
      </c>
      <c r="K1562" s="14">
        <v>44784</v>
      </c>
      <c r="L1562" s="289">
        <v>630</v>
      </c>
      <c r="M1562" s="324">
        <v>44782</v>
      </c>
      <c r="N1562" s="40">
        <v>1</v>
      </c>
      <c r="O1562" s="40">
        <v>339567.2</v>
      </c>
      <c r="P1562" s="40">
        <v>339567.2</v>
      </c>
      <c r="Q1562" s="40">
        <f t="shared" ref="Q1562" si="59">O1562-P1562</f>
        <v>0</v>
      </c>
      <c r="R1562" s="285" t="s">
        <v>10456</v>
      </c>
      <c r="S1562" s="14">
        <v>44733</v>
      </c>
      <c r="T1562" s="22" t="s">
        <v>11830</v>
      </c>
    </row>
    <row r="1563" spans="1:20" ht="76.5" customHeight="1" x14ac:dyDescent="0.2">
      <c r="A1563" s="289">
        <v>1606</v>
      </c>
      <c r="B1563" s="289" t="s">
        <v>11846</v>
      </c>
      <c r="C1563" s="18"/>
      <c r="D1563" s="85" t="s">
        <v>11848</v>
      </c>
      <c r="E1563" s="22" t="s">
        <v>11444</v>
      </c>
      <c r="F1563" s="85" t="s">
        <v>11973</v>
      </c>
      <c r="G1563" s="285" t="s">
        <v>4296</v>
      </c>
      <c r="H1563" s="285" t="s">
        <v>3793</v>
      </c>
      <c r="I1563" s="289"/>
      <c r="J1563" s="285" t="s">
        <v>10461</v>
      </c>
      <c r="K1563" s="14">
        <v>44784</v>
      </c>
      <c r="L1563" s="289">
        <v>630</v>
      </c>
      <c r="M1563" s="324">
        <v>44782</v>
      </c>
      <c r="N1563" s="40">
        <v>1</v>
      </c>
      <c r="O1563" s="40">
        <v>1106753.6499999999</v>
      </c>
      <c r="P1563" s="40">
        <v>1106753.6499999999</v>
      </c>
      <c r="Q1563" s="40">
        <f t="shared" ref="Q1563" si="60">O1563-P1563</f>
        <v>0</v>
      </c>
      <c r="R1563" s="285" t="s">
        <v>10456</v>
      </c>
      <c r="S1563" s="14">
        <v>44733</v>
      </c>
      <c r="T1563" s="22" t="s">
        <v>11830</v>
      </c>
    </row>
    <row r="1564" spans="1:20" ht="76.5" customHeight="1" x14ac:dyDescent="0.2">
      <c r="A1564" s="289">
        <v>1607</v>
      </c>
      <c r="B1564" s="289" t="s">
        <v>11849</v>
      </c>
      <c r="C1564" s="18"/>
      <c r="D1564" s="85" t="s">
        <v>11850</v>
      </c>
      <c r="E1564" s="22" t="s">
        <v>11444</v>
      </c>
      <c r="F1564" s="85" t="s">
        <v>11975</v>
      </c>
      <c r="G1564" s="285" t="s">
        <v>4296</v>
      </c>
      <c r="H1564" s="285" t="s">
        <v>3793</v>
      </c>
      <c r="I1564" s="289"/>
      <c r="J1564" s="285" t="s">
        <v>10461</v>
      </c>
      <c r="K1564" s="14">
        <v>44784</v>
      </c>
      <c r="L1564" s="289">
        <v>630</v>
      </c>
      <c r="M1564" s="324">
        <v>44782</v>
      </c>
      <c r="N1564" s="40">
        <v>1</v>
      </c>
      <c r="O1564" s="40">
        <v>166713.66</v>
      </c>
      <c r="P1564" s="40">
        <v>166713.66</v>
      </c>
      <c r="Q1564" s="40">
        <f t="shared" ref="Q1564" si="61">O1564-P1564</f>
        <v>0</v>
      </c>
      <c r="R1564" s="285" t="s">
        <v>10456</v>
      </c>
      <c r="S1564" s="14">
        <v>44733</v>
      </c>
      <c r="T1564" s="22" t="s">
        <v>11830</v>
      </c>
    </row>
    <row r="1565" spans="1:20" ht="76.5" customHeight="1" x14ac:dyDescent="0.2">
      <c r="A1565" s="289">
        <v>1608</v>
      </c>
      <c r="B1565" s="289" t="s">
        <v>11853</v>
      </c>
      <c r="C1565" s="18"/>
      <c r="D1565" s="85" t="s">
        <v>11854</v>
      </c>
      <c r="E1565" s="22" t="s">
        <v>11444</v>
      </c>
      <c r="F1565" s="85"/>
      <c r="G1565" s="285" t="s">
        <v>4296</v>
      </c>
      <c r="H1565" s="285" t="s">
        <v>3793</v>
      </c>
      <c r="I1565" s="289"/>
      <c r="J1565" s="285" t="s">
        <v>10461</v>
      </c>
      <c r="K1565" s="14">
        <v>44802</v>
      </c>
      <c r="L1565" s="289">
        <v>673</v>
      </c>
      <c r="M1565" s="324"/>
      <c r="N1565" s="40">
        <v>4</v>
      </c>
      <c r="O1565" s="40">
        <v>260000</v>
      </c>
      <c r="P1565" s="40">
        <v>260000</v>
      </c>
      <c r="Q1565" s="40">
        <f t="shared" ref="Q1565" si="62">O1565-P1565</f>
        <v>0</v>
      </c>
      <c r="R1565" s="285" t="s">
        <v>11902</v>
      </c>
      <c r="S1565" s="14" t="s">
        <v>11905</v>
      </c>
      <c r="T1565" s="22" t="s">
        <v>11906</v>
      </c>
    </row>
    <row r="1566" spans="1:20" ht="76.5" customHeight="1" x14ac:dyDescent="0.2">
      <c r="A1566" s="289">
        <v>1609</v>
      </c>
      <c r="B1566" s="289" t="s">
        <v>11855</v>
      </c>
      <c r="C1566" s="18"/>
      <c r="D1566" s="85" t="s">
        <v>11856</v>
      </c>
      <c r="E1566" s="22" t="s">
        <v>11444</v>
      </c>
      <c r="F1566" s="85"/>
      <c r="G1566" s="285" t="s">
        <v>4296</v>
      </c>
      <c r="H1566" s="285" t="s">
        <v>3793</v>
      </c>
      <c r="I1566" s="289"/>
      <c r="J1566" s="285" t="s">
        <v>10461</v>
      </c>
      <c r="K1566" s="14">
        <v>44802</v>
      </c>
      <c r="L1566" s="289">
        <v>673</v>
      </c>
      <c r="M1566" s="324"/>
      <c r="N1566" s="40">
        <v>8</v>
      </c>
      <c r="O1566" s="40">
        <v>64000</v>
      </c>
      <c r="P1566" s="40">
        <v>64000</v>
      </c>
      <c r="Q1566" s="40">
        <f t="shared" ref="Q1566" si="63">O1566-P1566</f>
        <v>0</v>
      </c>
      <c r="R1566" s="285" t="s">
        <v>11902</v>
      </c>
      <c r="S1566" s="14" t="s">
        <v>11905</v>
      </c>
      <c r="T1566" s="22" t="s">
        <v>11906</v>
      </c>
    </row>
    <row r="1567" spans="1:20" ht="76.5" customHeight="1" x14ac:dyDescent="0.2">
      <c r="A1567" s="289">
        <v>1610</v>
      </c>
      <c r="B1567" s="289" t="s">
        <v>11858</v>
      </c>
      <c r="C1567" s="18"/>
      <c r="D1567" s="85" t="s">
        <v>11857</v>
      </c>
      <c r="E1567" s="22" t="s">
        <v>11444</v>
      </c>
      <c r="F1567" s="85"/>
      <c r="G1567" s="285" t="s">
        <v>4296</v>
      </c>
      <c r="H1567" s="285" t="s">
        <v>3793</v>
      </c>
      <c r="I1567" s="289"/>
      <c r="J1567" s="285" t="s">
        <v>10461</v>
      </c>
      <c r="K1567" s="14">
        <v>44802</v>
      </c>
      <c r="L1567" s="289">
        <v>673</v>
      </c>
      <c r="M1567" s="324"/>
      <c r="N1567" s="40">
        <v>5</v>
      </c>
      <c r="O1567" s="40">
        <v>438500</v>
      </c>
      <c r="P1567" s="40">
        <v>438500</v>
      </c>
      <c r="Q1567" s="40">
        <f t="shared" ref="Q1567" si="64">O1567-P1567</f>
        <v>0</v>
      </c>
      <c r="R1567" s="285" t="s">
        <v>11902</v>
      </c>
      <c r="S1567" s="14" t="s">
        <v>11905</v>
      </c>
      <c r="T1567" s="22" t="s">
        <v>11906</v>
      </c>
    </row>
    <row r="1568" spans="1:20" ht="76.5" customHeight="1" x14ac:dyDescent="0.2">
      <c r="A1568" s="289">
        <v>1611</v>
      </c>
      <c r="B1568" s="289" t="s">
        <v>11860</v>
      </c>
      <c r="C1568" s="18"/>
      <c r="D1568" s="85" t="s">
        <v>11859</v>
      </c>
      <c r="E1568" s="22" t="s">
        <v>11444</v>
      </c>
      <c r="F1568" s="85"/>
      <c r="G1568" s="285" t="s">
        <v>4296</v>
      </c>
      <c r="H1568" s="285" t="s">
        <v>3793</v>
      </c>
      <c r="I1568" s="289"/>
      <c r="J1568" s="285" t="s">
        <v>10461</v>
      </c>
      <c r="K1568" s="14">
        <v>44802</v>
      </c>
      <c r="L1568" s="289">
        <v>673</v>
      </c>
      <c r="M1568" s="324"/>
      <c r="N1568" s="40">
        <v>7</v>
      </c>
      <c r="O1568" s="40">
        <v>458000</v>
      </c>
      <c r="P1568" s="40">
        <v>458000</v>
      </c>
      <c r="Q1568" s="40">
        <f t="shared" ref="Q1568" si="65">O1568-P1568</f>
        <v>0</v>
      </c>
      <c r="R1568" s="285" t="s">
        <v>11902</v>
      </c>
      <c r="S1568" s="14" t="s">
        <v>11905</v>
      </c>
      <c r="T1568" s="22" t="s">
        <v>11906</v>
      </c>
    </row>
    <row r="1569" spans="1:20" ht="76.5" customHeight="1" x14ac:dyDescent="0.2">
      <c r="A1569" s="289">
        <v>1612</v>
      </c>
      <c r="B1569" s="289" t="s">
        <v>11862</v>
      </c>
      <c r="C1569" s="18"/>
      <c r="D1569" s="85" t="s">
        <v>11861</v>
      </c>
      <c r="E1569" s="22" t="s">
        <v>11444</v>
      </c>
      <c r="F1569" s="85"/>
      <c r="G1569" s="285" t="s">
        <v>4296</v>
      </c>
      <c r="H1569" s="285" t="s">
        <v>3793</v>
      </c>
      <c r="I1569" s="289"/>
      <c r="J1569" s="285" t="s">
        <v>10461</v>
      </c>
      <c r="K1569" s="14">
        <v>44802</v>
      </c>
      <c r="L1569" s="289">
        <v>673</v>
      </c>
      <c r="M1569" s="324"/>
      <c r="N1569" s="40">
        <v>1</v>
      </c>
      <c r="O1569" s="40">
        <v>29500</v>
      </c>
      <c r="P1569" s="40">
        <v>29500</v>
      </c>
      <c r="Q1569" s="40">
        <f t="shared" ref="Q1569" si="66">O1569-P1569</f>
        <v>0</v>
      </c>
      <c r="R1569" s="285" t="s">
        <v>11902</v>
      </c>
      <c r="S1569" s="14" t="s">
        <v>11905</v>
      </c>
      <c r="T1569" s="22" t="s">
        <v>11906</v>
      </c>
    </row>
    <row r="1570" spans="1:20" ht="76.5" customHeight="1" x14ac:dyDescent="0.2">
      <c r="A1570" s="289">
        <v>1613</v>
      </c>
      <c r="B1570" s="289" t="s">
        <v>11863</v>
      </c>
      <c r="C1570" s="18"/>
      <c r="D1570" s="85" t="s">
        <v>11877</v>
      </c>
      <c r="E1570" s="22" t="s">
        <v>11444</v>
      </c>
      <c r="F1570" s="85"/>
      <c r="G1570" s="285" t="s">
        <v>4296</v>
      </c>
      <c r="H1570" s="285" t="s">
        <v>3793</v>
      </c>
      <c r="I1570" s="289"/>
      <c r="J1570" s="285" t="s">
        <v>10461</v>
      </c>
      <c r="K1570" s="14">
        <v>44802</v>
      </c>
      <c r="L1570" s="289">
        <v>675</v>
      </c>
      <c r="M1570" s="15">
        <v>44795</v>
      </c>
      <c r="N1570" s="40">
        <v>110</v>
      </c>
      <c r="O1570" s="40">
        <v>1848000</v>
      </c>
      <c r="P1570" s="40">
        <v>1848000</v>
      </c>
      <c r="Q1570" s="40">
        <f t="shared" ref="Q1570:Q1583" si="67">O1570-P1570</f>
        <v>0</v>
      </c>
      <c r="R1570" s="285" t="s">
        <v>11902</v>
      </c>
      <c r="S1570" s="14" t="s">
        <v>11903</v>
      </c>
      <c r="T1570" s="22" t="s">
        <v>11904</v>
      </c>
    </row>
    <row r="1571" spans="1:20" ht="76.5" customHeight="1" x14ac:dyDescent="0.2">
      <c r="A1571" s="289">
        <v>1614</v>
      </c>
      <c r="B1571" s="289" t="s">
        <v>11864</v>
      </c>
      <c r="C1571" s="18"/>
      <c r="D1571" s="85" t="s">
        <v>11878</v>
      </c>
      <c r="E1571" s="22" t="s">
        <v>11444</v>
      </c>
      <c r="F1571" s="85"/>
      <c r="G1571" s="285" t="s">
        <v>4296</v>
      </c>
      <c r="H1571" s="285" t="s">
        <v>3793</v>
      </c>
      <c r="I1571" s="289"/>
      <c r="J1571" s="285" t="s">
        <v>10461</v>
      </c>
      <c r="K1571" s="14">
        <v>44802</v>
      </c>
      <c r="L1571" s="289">
        <v>675</v>
      </c>
      <c r="M1571" s="15">
        <v>44795</v>
      </c>
      <c r="N1571" s="40">
        <v>22</v>
      </c>
      <c r="O1571" s="40">
        <v>501600</v>
      </c>
      <c r="P1571" s="40">
        <v>501600</v>
      </c>
      <c r="Q1571" s="40">
        <f t="shared" si="67"/>
        <v>0</v>
      </c>
      <c r="R1571" s="285" t="s">
        <v>11902</v>
      </c>
      <c r="S1571" s="14" t="s">
        <v>11903</v>
      </c>
      <c r="T1571" s="22" t="s">
        <v>11904</v>
      </c>
    </row>
    <row r="1572" spans="1:20" ht="76.5" customHeight="1" x14ac:dyDescent="0.2">
      <c r="A1572" s="289">
        <v>1615</v>
      </c>
      <c r="B1572" s="289" t="s">
        <v>11865</v>
      </c>
      <c r="C1572" s="18"/>
      <c r="D1572" s="85" t="s">
        <v>11879</v>
      </c>
      <c r="E1572" s="22" t="s">
        <v>11444</v>
      </c>
      <c r="F1572" s="85"/>
      <c r="G1572" s="285" t="s">
        <v>4296</v>
      </c>
      <c r="H1572" s="285" t="s">
        <v>3793</v>
      </c>
      <c r="I1572" s="289"/>
      <c r="J1572" s="285" t="s">
        <v>10461</v>
      </c>
      <c r="K1572" s="14">
        <v>44802</v>
      </c>
      <c r="L1572" s="289">
        <v>675</v>
      </c>
      <c r="M1572" s="15">
        <v>44795</v>
      </c>
      <c r="N1572" s="40">
        <v>1</v>
      </c>
      <c r="O1572" s="40">
        <v>26400</v>
      </c>
      <c r="P1572" s="40">
        <v>26400</v>
      </c>
      <c r="Q1572" s="40">
        <f t="shared" si="67"/>
        <v>0</v>
      </c>
      <c r="R1572" s="285" t="s">
        <v>11902</v>
      </c>
      <c r="S1572" s="14" t="s">
        <v>11903</v>
      </c>
      <c r="T1572" s="22" t="s">
        <v>11904</v>
      </c>
    </row>
    <row r="1573" spans="1:20" ht="76.5" customHeight="1" x14ac:dyDescent="0.2">
      <c r="A1573" s="289">
        <v>1616</v>
      </c>
      <c r="B1573" s="289" t="s">
        <v>11866</v>
      </c>
      <c r="C1573" s="18"/>
      <c r="D1573" s="85" t="s">
        <v>11880</v>
      </c>
      <c r="E1573" s="22" t="s">
        <v>11444</v>
      </c>
      <c r="F1573" s="85"/>
      <c r="G1573" s="285" t="s">
        <v>4296</v>
      </c>
      <c r="H1573" s="285" t="s">
        <v>3793</v>
      </c>
      <c r="I1573" s="289"/>
      <c r="J1573" s="285" t="s">
        <v>10461</v>
      </c>
      <c r="K1573" s="14">
        <v>44802</v>
      </c>
      <c r="L1573" s="289">
        <v>675</v>
      </c>
      <c r="M1573" s="15">
        <v>44795</v>
      </c>
      <c r="N1573" s="40">
        <v>1</v>
      </c>
      <c r="O1573" s="40">
        <v>26400</v>
      </c>
      <c r="P1573" s="40">
        <v>26400</v>
      </c>
      <c r="Q1573" s="40">
        <f t="shared" si="67"/>
        <v>0</v>
      </c>
      <c r="R1573" s="285" t="s">
        <v>11902</v>
      </c>
      <c r="S1573" s="14" t="s">
        <v>11903</v>
      </c>
      <c r="T1573" s="22" t="s">
        <v>11904</v>
      </c>
    </row>
    <row r="1574" spans="1:20" ht="76.5" customHeight="1" x14ac:dyDescent="0.2">
      <c r="A1574" s="289">
        <v>1617</v>
      </c>
      <c r="B1574" s="289" t="s">
        <v>11867</v>
      </c>
      <c r="C1574" s="18"/>
      <c r="D1574" s="85" t="s">
        <v>11881</v>
      </c>
      <c r="E1574" s="22" t="s">
        <v>11444</v>
      </c>
      <c r="F1574" s="85"/>
      <c r="G1574" s="285" t="s">
        <v>4296</v>
      </c>
      <c r="H1574" s="285" t="s">
        <v>3793</v>
      </c>
      <c r="I1574" s="289"/>
      <c r="J1574" s="285" t="s">
        <v>10461</v>
      </c>
      <c r="K1574" s="14">
        <v>44802</v>
      </c>
      <c r="L1574" s="289">
        <v>675</v>
      </c>
      <c r="M1574" s="15">
        <v>44795</v>
      </c>
      <c r="N1574" s="40">
        <v>9</v>
      </c>
      <c r="O1574" s="40">
        <v>162000</v>
      </c>
      <c r="P1574" s="40">
        <v>162000</v>
      </c>
      <c r="Q1574" s="40">
        <f t="shared" si="67"/>
        <v>0</v>
      </c>
      <c r="R1574" s="285" t="s">
        <v>11902</v>
      </c>
      <c r="S1574" s="14" t="s">
        <v>11903</v>
      </c>
      <c r="T1574" s="22" t="s">
        <v>11904</v>
      </c>
    </row>
    <row r="1575" spans="1:20" ht="76.5" customHeight="1" x14ac:dyDescent="0.2">
      <c r="A1575" s="289">
        <v>1618</v>
      </c>
      <c r="B1575" s="289" t="s">
        <v>11868</v>
      </c>
      <c r="C1575" s="18"/>
      <c r="D1575" s="85" t="s">
        <v>11882</v>
      </c>
      <c r="E1575" s="22" t="s">
        <v>11444</v>
      </c>
      <c r="F1575" s="85"/>
      <c r="G1575" s="285" t="s">
        <v>4296</v>
      </c>
      <c r="H1575" s="285" t="s">
        <v>3793</v>
      </c>
      <c r="I1575" s="289"/>
      <c r="J1575" s="285" t="s">
        <v>10461</v>
      </c>
      <c r="K1575" s="14">
        <v>44802</v>
      </c>
      <c r="L1575" s="289">
        <v>675</v>
      </c>
      <c r="M1575" s="15">
        <v>44795</v>
      </c>
      <c r="N1575" s="40">
        <v>2</v>
      </c>
      <c r="O1575" s="40">
        <v>43200</v>
      </c>
      <c r="P1575" s="40">
        <v>43200</v>
      </c>
      <c r="Q1575" s="40">
        <f t="shared" ref="Q1575" si="68">O1575-P1575</f>
        <v>0</v>
      </c>
      <c r="R1575" s="285" t="s">
        <v>11902</v>
      </c>
      <c r="S1575" s="14" t="s">
        <v>11903</v>
      </c>
      <c r="T1575" s="22" t="s">
        <v>11904</v>
      </c>
    </row>
    <row r="1576" spans="1:20" ht="76.5" customHeight="1" x14ac:dyDescent="0.2">
      <c r="A1576" s="289">
        <v>1619</v>
      </c>
      <c r="B1576" s="289" t="s">
        <v>11869</v>
      </c>
      <c r="C1576" s="18"/>
      <c r="D1576" s="85" t="s">
        <v>11883</v>
      </c>
      <c r="E1576" s="22" t="s">
        <v>11444</v>
      </c>
      <c r="F1576" s="85"/>
      <c r="G1576" s="285" t="s">
        <v>4296</v>
      </c>
      <c r="H1576" s="285" t="s">
        <v>3793</v>
      </c>
      <c r="I1576" s="289"/>
      <c r="J1576" s="285" t="s">
        <v>10461</v>
      </c>
      <c r="K1576" s="14">
        <v>44802</v>
      </c>
      <c r="L1576" s="289">
        <v>675</v>
      </c>
      <c r="M1576" s="15">
        <v>44795</v>
      </c>
      <c r="N1576" s="40">
        <v>36</v>
      </c>
      <c r="O1576" s="40">
        <v>691200</v>
      </c>
      <c r="P1576" s="40">
        <v>691200</v>
      </c>
      <c r="Q1576" s="40">
        <f t="shared" si="67"/>
        <v>0</v>
      </c>
      <c r="R1576" s="285" t="s">
        <v>11902</v>
      </c>
      <c r="S1576" s="14" t="s">
        <v>11903</v>
      </c>
      <c r="T1576" s="22" t="s">
        <v>11904</v>
      </c>
    </row>
    <row r="1577" spans="1:20" ht="76.5" customHeight="1" x14ac:dyDescent="0.2">
      <c r="A1577" s="289">
        <v>1620</v>
      </c>
      <c r="B1577" s="289" t="s">
        <v>11870</v>
      </c>
      <c r="C1577" s="18"/>
      <c r="D1577" s="85" t="s">
        <v>11884</v>
      </c>
      <c r="E1577" s="22" t="s">
        <v>11444</v>
      </c>
      <c r="F1577" s="85"/>
      <c r="G1577" s="285" t="s">
        <v>4296</v>
      </c>
      <c r="H1577" s="285" t="s">
        <v>3793</v>
      </c>
      <c r="I1577" s="289"/>
      <c r="J1577" s="285" t="s">
        <v>10461</v>
      </c>
      <c r="K1577" s="14">
        <v>44802</v>
      </c>
      <c r="L1577" s="289">
        <v>675</v>
      </c>
      <c r="M1577" s="15">
        <v>44795</v>
      </c>
      <c r="N1577" s="40">
        <v>11</v>
      </c>
      <c r="O1577" s="40">
        <v>158400</v>
      </c>
      <c r="P1577" s="40">
        <v>158400</v>
      </c>
      <c r="Q1577" s="40">
        <f t="shared" si="67"/>
        <v>0</v>
      </c>
      <c r="R1577" s="285" t="s">
        <v>11902</v>
      </c>
      <c r="S1577" s="14" t="s">
        <v>11903</v>
      </c>
      <c r="T1577" s="22" t="s">
        <v>11904</v>
      </c>
    </row>
    <row r="1578" spans="1:20" ht="76.5" customHeight="1" x14ac:dyDescent="0.2">
      <c r="A1578" s="289">
        <v>1621</v>
      </c>
      <c r="B1578" s="289" t="s">
        <v>11871</v>
      </c>
      <c r="C1578" s="18"/>
      <c r="D1578" s="85" t="s">
        <v>11885</v>
      </c>
      <c r="E1578" s="22" t="s">
        <v>11444</v>
      </c>
      <c r="F1578" s="85"/>
      <c r="G1578" s="285" t="s">
        <v>4296</v>
      </c>
      <c r="H1578" s="285" t="s">
        <v>3793</v>
      </c>
      <c r="I1578" s="289"/>
      <c r="J1578" s="285" t="s">
        <v>10461</v>
      </c>
      <c r="K1578" s="14">
        <v>44802</v>
      </c>
      <c r="L1578" s="289">
        <v>675</v>
      </c>
      <c r="M1578" s="15">
        <v>44795</v>
      </c>
      <c r="N1578" s="40">
        <v>1</v>
      </c>
      <c r="O1578" s="40">
        <v>17400</v>
      </c>
      <c r="P1578" s="40">
        <v>17400</v>
      </c>
      <c r="Q1578" s="40">
        <f t="shared" si="67"/>
        <v>0</v>
      </c>
      <c r="R1578" s="285" t="s">
        <v>11902</v>
      </c>
      <c r="S1578" s="14" t="s">
        <v>11903</v>
      </c>
      <c r="T1578" s="22" t="s">
        <v>11904</v>
      </c>
    </row>
    <row r="1579" spans="1:20" ht="76.5" customHeight="1" x14ac:dyDescent="0.2">
      <c r="A1579" s="289">
        <v>1622</v>
      </c>
      <c r="B1579" s="289" t="s">
        <v>11872</v>
      </c>
      <c r="C1579" s="18"/>
      <c r="D1579" s="85" t="s">
        <v>11886</v>
      </c>
      <c r="E1579" s="22" t="s">
        <v>11444</v>
      </c>
      <c r="F1579" s="85"/>
      <c r="G1579" s="285" t="s">
        <v>4296</v>
      </c>
      <c r="H1579" s="285" t="s">
        <v>3793</v>
      </c>
      <c r="I1579" s="289"/>
      <c r="J1579" s="285" t="s">
        <v>10461</v>
      </c>
      <c r="K1579" s="14">
        <v>44802</v>
      </c>
      <c r="L1579" s="289">
        <v>675</v>
      </c>
      <c r="M1579" s="15">
        <v>44795</v>
      </c>
      <c r="N1579" s="40">
        <v>4</v>
      </c>
      <c r="O1579" s="40">
        <v>64800</v>
      </c>
      <c r="P1579" s="40">
        <v>64800</v>
      </c>
      <c r="Q1579" s="40">
        <f t="shared" si="67"/>
        <v>0</v>
      </c>
      <c r="R1579" s="285" t="s">
        <v>11902</v>
      </c>
      <c r="S1579" s="14" t="s">
        <v>11903</v>
      </c>
      <c r="T1579" s="22" t="s">
        <v>11904</v>
      </c>
    </row>
    <row r="1580" spans="1:20" ht="76.5" customHeight="1" x14ac:dyDescent="0.2">
      <c r="A1580" s="289">
        <v>1623</v>
      </c>
      <c r="B1580" s="289" t="s">
        <v>11873</v>
      </c>
      <c r="C1580" s="18"/>
      <c r="D1580" s="85" t="s">
        <v>11887</v>
      </c>
      <c r="E1580" s="22" t="s">
        <v>11444</v>
      </c>
      <c r="F1580" s="85"/>
      <c r="G1580" s="285" t="s">
        <v>4296</v>
      </c>
      <c r="H1580" s="285" t="s">
        <v>3793</v>
      </c>
      <c r="I1580" s="289"/>
      <c r="J1580" s="285" t="s">
        <v>10461</v>
      </c>
      <c r="K1580" s="14">
        <v>44802</v>
      </c>
      <c r="L1580" s="289">
        <v>675</v>
      </c>
      <c r="M1580" s="15">
        <v>44795</v>
      </c>
      <c r="N1580" s="40">
        <v>24</v>
      </c>
      <c r="O1580" s="40">
        <v>43200</v>
      </c>
      <c r="P1580" s="40">
        <v>43200</v>
      </c>
      <c r="Q1580" s="40">
        <f t="shared" si="67"/>
        <v>0</v>
      </c>
      <c r="R1580" s="285" t="s">
        <v>11902</v>
      </c>
      <c r="S1580" s="14" t="s">
        <v>11903</v>
      </c>
      <c r="T1580" s="22" t="s">
        <v>11904</v>
      </c>
    </row>
    <row r="1581" spans="1:20" ht="76.5" customHeight="1" x14ac:dyDescent="0.2">
      <c r="A1581" s="289">
        <v>1624</v>
      </c>
      <c r="B1581" s="289" t="s">
        <v>11874</v>
      </c>
      <c r="C1581" s="18"/>
      <c r="D1581" s="85" t="s">
        <v>11888</v>
      </c>
      <c r="E1581" s="22" t="s">
        <v>11444</v>
      </c>
      <c r="F1581" s="85"/>
      <c r="G1581" s="285" t="s">
        <v>4296</v>
      </c>
      <c r="H1581" s="285" t="s">
        <v>3793</v>
      </c>
      <c r="I1581" s="289"/>
      <c r="J1581" s="285" t="s">
        <v>10461</v>
      </c>
      <c r="K1581" s="14">
        <v>44802</v>
      </c>
      <c r="L1581" s="289">
        <v>675</v>
      </c>
      <c r="M1581" s="15">
        <v>44795</v>
      </c>
      <c r="N1581" s="40">
        <v>36</v>
      </c>
      <c r="O1581" s="40">
        <v>47520</v>
      </c>
      <c r="P1581" s="40">
        <v>47520</v>
      </c>
      <c r="Q1581" s="40">
        <f t="shared" si="67"/>
        <v>0</v>
      </c>
      <c r="R1581" s="285" t="s">
        <v>11902</v>
      </c>
      <c r="S1581" s="14" t="s">
        <v>11903</v>
      </c>
      <c r="T1581" s="22" t="s">
        <v>11904</v>
      </c>
    </row>
    <row r="1582" spans="1:20" ht="76.5" customHeight="1" x14ac:dyDescent="0.2">
      <c r="A1582" s="289">
        <v>1625</v>
      </c>
      <c r="B1582" s="289" t="s">
        <v>11875</v>
      </c>
      <c r="C1582" s="18"/>
      <c r="D1582" s="85" t="s">
        <v>11889</v>
      </c>
      <c r="E1582" s="22" t="s">
        <v>11444</v>
      </c>
      <c r="F1582" s="85"/>
      <c r="G1582" s="285" t="s">
        <v>4296</v>
      </c>
      <c r="H1582" s="285" t="s">
        <v>3793</v>
      </c>
      <c r="I1582" s="289"/>
      <c r="J1582" s="285" t="s">
        <v>10461</v>
      </c>
      <c r="K1582" s="14">
        <v>44802</v>
      </c>
      <c r="L1582" s="289">
        <v>675</v>
      </c>
      <c r="M1582" s="15">
        <v>44795</v>
      </c>
      <c r="N1582" s="40">
        <v>36</v>
      </c>
      <c r="O1582" s="40">
        <v>47520</v>
      </c>
      <c r="P1582" s="40">
        <v>47520</v>
      </c>
      <c r="Q1582" s="40">
        <f t="shared" si="67"/>
        <v>0</v>
      </c>
      <c r="R1582" s="285" t="s">
        <v>11902</v>
      </c>
      <c r="S1582" s="14" t="s">
        <v>11903</v>
      </c>
      <c r="T1582" s="22" t="s">
        <v>11904</v>
      </c>
    </row>
    <row r="1583" spans="1:20" ht="76.5" customHeight="1" x14ac:dyDescent="0.2">
      <c r="A1583" s="289">
        <v>1626</v>
      </c>
      <c r="B1583" s="289" t="s">
        <v>11876</v>
      </c>
      <c r="C1583" s="18"/>
      <c r="D1583" s="85" t="s">
        <v>11890</v>
      </c>
      <c r="E1583" s="22" t="s">
        <v>11444</v>
      </c>
      <c r="F1583" s="85"/>
      <c r="G1583" s="285" t="s">
        <v>4296</v>
      </c>
      <c r="H1583" s="285" t="s">
        <v>3793</v>
      </c>
      <c r="I1583" s="289"/>
      <c r="J1583" s="285" t="s">
        <v>10461</v>
      </c>
      <c r="K1583" s="14">
        <v>44802</v>
      </c>
      <c r="L1583" s="289">
        <v>675</v>
      </c>
      <c r="M1583" s="15">
        <v>44795</v>
      </c>
      <c r="N1583" s="40">
        <v>100</v>
      </c>
      <c r="O1583" s="40">
        <v>72000</v>
      </c>
      <c r="P1583" s="40">
        <v>72000</v>
      </c>
      <c r="Q1583" s="40">
        <f t="shared" si="67"/>
        <v>0</v>
      </c>
      <c r="R1583" s="285" t="s">
        <v>11902</v>
      </c>
      <c r="S1583" s="14" t="s">
        <v>11903</v>
      </c>
      <c r="T1583" s="22" t="s">
        <v>11904</v>
      </c>
    </row>
    <row r="1584" spans="1:20" ht="86.25" customHeight="1" x14ac:dyDescent="0.2">
      <c r="A1584" s="289">
        <v>1627</v>
      </c>
      <c r="B1584" s="12" t="s">
        <v>11893</v>
      </c>
      <c r="C1584" s="18"/>
      <c r="D1584" s="85" t="s">
        <v>11891</v>
      </c>
      <c r="E1584" s="22" t="s">
        <v>11444</v>
      </c>
      <c r="F1584" s="85" t="s">
        <v>11895</v>
      </c>
      <c r="G1584" s="285" t="s">
        <v>10465</v>
      </c>
      <c r="H1584" s="289" t="s">
        <v>2207</v>
      </c>
      <c r="I1584" s="289"/>
      <c r="J1584" s="285" t="s">
        <v>10461</v>
      </c>
      <c r="K1584" s="14">
        <v>44785</v>
      </c>
      <c r="L1584" s="289">
        <v>636</v>
      </c>
      <c r="M1584" s="15">
        <v>44784</v>
      </c>
      <c r="N1584" s="40">
        <v>14</v>
      </c>
      <c r="O1584" s="40">
        <v>137527</v>
      </c>
      <c r="P1584" s="40">
        <v>0</v>
      </c>
      <c r="Q1584" s="40">
        <f t="shared" ref="Q1584:Q1585" si="69">O1584-P1584</f>
        <v>137527</v>
      </c>
      <c r="R1584" s="285" t="s">
        <v>11899</v>
      </c>
      <c r="S1584" s="14" t="s">
        <v>11900</v>
      </c>
      <c r="T1584" s="22" t="s">
        <v>11901</v>
      </c>
    </row>
    <row r="1585" spans="1:20" ht="172.5" customHeight="1" x14ac:dyDescent="0.2">
      <c r="A1585" s="289">
        <v>1628</v>
      </c>
      <c r="B1585" s="12" t="s">
        <v>11894</v>
      </c>
      <c r="C1585" s="18"/>
      <c r="D1585" s="85" t="s">
        <v>11892</v>
      </c>
      <c r="E1585" s="22" t="s">
        <v>11444</v>
      </c>
      <c r="F1585" s="279" t="s">
        <v>11896</v>
      </c>
      <c r="G1585" s="285" t="s">
        <v>10465</v>
      </c>
      <c r="H1585" s="289" t="s">
        <v>2207</v>
      </c>
      <c r="I1585" s="289"/>
      <c r="J1585" s="285" t="s">
        <v>10461</v>
      </c>
      <c r="K1585" s="14">
        <v>44785</v>
      </c>
      <c r="L1585" s="289">
        <v>636</v>
      </c>
      <c r="M1585" s="15">
        <v>44784</v>
      </c>
      <c r="N1585" s="40">
        <v>1</v>
      </c>
      <c r="O1585" s="40">
        <v>2051617.8</v>
      </c>
      <c r="P1585" s="40">
        <v>0</v>
      </c>
      <c r="Q1585" s="40">
        <f t="shared" si="69"/>
        <v>2051617.8</v>
      </c>
      <c r="R1585" s="285" t="s">
        <v>10456</v>
      </c>
      <c r="S1585" s="14" t="s">
        <v>11900</v>
      </c>
      <c r="T1585" s="22" t="s">
        <v>11901</v>
      </c>
    </row>
    <row r="1586" spans="1:20" ht="86.25" customHeight="1" x14ac:dyDescent="0.2">
      <c r="A1586" s="289">
        <v>1629</v>
      </c>
      <c r="B1586" s="12" t="s">
        <v>11922</v>
      </c>
      <c r="C1586" s="18"/>
      <c r="D1586" s="85" t="s">
        <v>11927</v>
      </c>
      <c r="E1586" s="22" t="s">
        <v>11444</v>
      </c>
      <c r="F1586" s="85" t="s">
        <v>11926</v>
      </c>
      <c r="G1586" s="285" t="s">
        <v>4946</v>
      </c>
      <c r="H1586" s="285" t="s">
        <v>5127</v>
      </c>
      <c r="I1586" s="289"/>
      <c r="J1586" s="285" t="s">
        <v>10461</v>
      </c>
      <c r="K1586" s="14">
        <v>44831</v>
      </c>
      <c r="L1586" s="289">
        <v>783</v>
      </c>
      <c r="M1586" s="15">
        <v>44783</v>
      </c>
      <c r="N1586" s="40">
        <v>1</v>
      </c>
      <c r="O1586" s="40">
        <v>11000</v>
      </c>
      <c r="P1586" s="40">
        <v>11000</v>
      </c>
      <c r="Q1586" s="40">
        <f t="shared" ref="Q1586" si="70">O1586-P1586</f>
        <v>0</v>
      </c>
      <c r="R1586" s="285" t="s">
        <v>11920</v>
      </c>
      <c r="S1586" s="14">
        <v>44783</v>
      </c>
      <c r="T1586" s="22" t="s">
        <v>11924</v>
      </c>
    </row>
    <row r="1587" spans="1:20" ht="86.25" customHeight="1" x14ac:dyDescent="0.2">
      <c r="A1587" s="289">
        <v>1630</v>
      </c>
      <c r="B1587" s="12" t="s">
        <v>11923</v>
      </c>
      <c r="C1587" s="18"/>
      <c r="D1587" s="85" t="s">
        <v>11925</v>
      </c>
      <c r="E1587" s="22" t="s">
        <v>11444</v>
      </c>
      <c r="F1587" s="85" t="s">
        <v>11928</v>
      </c>
      <c r="G1587" s="285" t="s">
        <v>4946</v>
      </c>
      <c r="H1587" s="285" t="s">
        <v>5127</v>
      </c>
      <c r="I1587" s="289"/>
      <c r="J1587" s="285" t="s">
        <v>10461</v>
      </c>
      <c r="K1587" s="14">
        <v>44831</v>
      </c>
      <c r="L1587" s="289">
        <v>783</v>
      </c>
      <c r="M1587" s="15">
        <v>44783</v>
      </c>
      <c r="N1587" s="40">
        <v>1</v>
      </c>
      <c r="O1587" s="40">
        <v>11380</v>
      </c>
      <c r="P1587" s="40">
        <v>11380</v>
      </c>
      <c r="Q1587" s="40">
        <f t="shared" ref="Q1587" si="71">O1587-P1587</f>
        <v>0</v>
      </c>
      <c r="R1587" s="285" t="s">
        <v>11920</v>
      </c>
      <c r="S1587" s="14">
        <v>44783</v>
      </c>
      <c r="T1587" s="22" t="s">
        <v>11921</v>
      </c>
    </row>
    <row r="1588" spans="1:20" ht="86.25" customHeight="1" x14ac:dyDescent="0.2">
      <c r="A1588" s="289">
        <v>1631</v>
      </c>
      <c r="B1588" s="12" t="s">
        <v>11932</v>
      </c>
      <c r="C1588" s="18"/>
      <c r="D1588" s="85" t="s">
        <v>11933</v>
      </c>
      <c r="E1588" s="22" t="s">
        <v>11444</v>
      </c>
      <c r="F1588" s="85" t="s">
        <v>11934</v>
      </c>
      <c r="G1588" s="285" t="s">
        <v>101</v>
      </c>
      <c r="H1588" s="285" t="s">
        <v>5127</v>
      </c>
      <c r="I1588" s="289"/>
      <c r="J1588" s="285" t="s">
        <v>10461</v>
      </c>
      <c r="K1588" s="14">
        <v>44832</v>
      </c>
      <c r="L1588" s="289">
        <v>799</v>
      </c>
      <c r="M1588" s="15">
        <v>44803</v>
      </c>
      <c r="N1588" s="40">
        <v>2</v>
      </c>
      <c r="O1588" s="40">
        <v>1160000</v>
      </c>
      <c r="P1588" s="40">
        <v>38666.639999999999</v>
      </c>
      <c r="Q1588" s="40">
        <f t="shared" ref="Q1588" si="72">O1588-P1588</f>
        <v>1121333.3600000001</v>
      </c>
      <c r="R1588" s="285" t="s">
        <v>11935</v>
      </c>
      <c r="S1588" s="14">
        <v>44644</v>
      </c>
      <c r="T1588" s="22" t="s">
        <v>11936</v>
      </c>
    </row>
    <row r="1589" spans="1:20" ht="86.25" customHeight="1" x14ac:dyDescent="0.2">
      <c r="A1589" s="289">
        <v>1633</v>
      </c>
      <c r="B1589" s="12" t="s">
        <v>11939</v>
      </c>
      <c r="C1589" s="18"/>
      <c r="D1589" s="85" t="s">
        <v>11938</v>
      </c>
      <c r="E1589" s="22" t="s">
        <v>11444</v>
      </c>
      <c r="F1589" s="85"/>
      <c r="G1589" s="285" t="s">
        <v>10465</v>
      </c>
      <c r="H1589" s="289" t="s">
        <v>2207</v>
      </c>
      <c r="I1589" s="289"/>
      <c r="J1589" s="285" t="s">
        <v>10461</v>
      </c>
      <c r="K1589" s="14">
        <v>44834</v>
      </c>
      <c r="L1589" s="289">
        <v>809</v>
      </c>
      <c r="M1589" s="15"/>
      <c r="N1589" s="40">
        <v>33</v>
      </c>
      <c r="O1589" s="40">
        <v>9004.7099999999991</v>
      </c>
      <c r="P1589" s="40">
        <v>0</v>
      </c>
      <c r="Q1589" s="40">
        <f>O1589-P1589</f>
        <v>9004.7099999999991</v>
      </c>
      <c r="R1589" s="285" t="s">
        <v>10874</v>
      </c>
      <c r="S1589" s="14">
        <v>44656</v>
      </c>
      <c r="T1589" s="22" t="s">
        <v>12011</v>
      </c>
    </row>
    <row r="1590" spans="1:20" ht="86.25" customHeight="1" x14ac:dyDescent="0.2">
      <c r="A1590" s="289">
        <v>1634</v>
      </c>
      <c r="B1590" s="12" t="s">
        <v>11945</v>
      </c>
      <c r="C1590" s="18"/>
      <c r="D1590" s="85" t="s">
        <v>11944</v>
      </c>
      <c r="E1590" s="22" t="s">
        <v>11444</v>
      </c>
      <c r="F1590" s="85"/>
      <c r="G1590" s="285" t="s">
        <v>10465</v>
      </c>
      <c r="H1590" s="289" t="s">
        <v>2207</v>
      </c>
      <c r="I1590" s="289"/>
      <c r="J1590" s="285" t="s">
        <v>10461</v>
      </c>
      <c r="K1590" s="14">
        <v>44834</v>
      </c>
      <c r="L1590" s="289">
        <v>809</v>
      </c>
      <c r="M1590" s="15"/>
      <c r="N1590" s="40">
        <v>2</v>
      </c>
      <c r="O1590" s="40">
        <v>246760</v>
      </c>
      <c r="P1590" s="40">
        <v>0</v>
      </c>
      <c r="Q1590" s="40">
        <f>O1590-P1590</f>
        <v>246760</v>
      </c>
      <c r="R1590" s="285" t="s">
        <v>10874</v>
      </c>
      <c r="S1590" s="14">
        <v>44803</v>
      </c>
      <c r="T1590" s="22" t="s">
        <v>7753</v>
      </c>
    </row>
    <row r="1591" spans="1:20" ht="107.25" customHeight="1" x14ac:dyDescent="0.2">
      <c r="A1591" s="289">
        <v>1635</v>
      </c>
      <c r="B1591" s="12" t="s">
        <v>11950</v>
      </c>
      <c r="C1591" s="18"/>
      <c r="D1591" s="85" t="s">
        <v>11947</v>
      </c>
      <c r="E1591" s="22" t="s">
        <v>11444</v>
      </c>
      <c r="F1591" s="85"/>
      <c r="G1591" s="285" t="s">
        <v>10465</v>
      </c>
      <c r="H1591" s="289" t="s">
        <v>2207</v>
      </c>
      <c r="I1591" s="289"/>
      <c r="J1591" s="285" t="s">
        <v>10461</v>
      </c>
      <c r="K1591" s="14">
        <v>44834</v>
      </c>
      <c r="L1591" s="289">
        <v>809</v>
      </c>
      <c r="M1591" s="15"/>
      <c r="N1591" s="40">
        <v>1</v>
      </c>
      <c r="O1591" s="40">
        <v>185070</v>
      </c>
      <c r="P1591" s="40">
        <v>0</v>
      </c>
      <c r="Q1591" s="40">
        <f>O1591-P1591</f>
        <v>185070</v>
      </c>
      <c r="R1591" s="285" t="s">
        <v>10874</v>
      </c>
      <c r="S1591" s="14">
        <v>44803</v>
      </c>
      <c r="T1591" s="22" t="s">
        <v>7753</v>
      </c>
    </row>
    <row r="1592" spans="1:20" ht="86.25" customHeight="1" x14ac:dyDescent="0.2">
      <c r="A1592" s="289">
        <v>1636</v>
      </c>
      <c r="B1592" s="12" t="s">
        <v>11979</v>
      </c>
      <c r="C1592" s="18"/>
      <c r="D1592" s="85" t="s">
        <v>11980</v>
      </c>
      <c r="E1592" s="22" t="s">
        <v>11444</v>
      </c>
      <c r="F1592" s="85" t="s">
        <v>11981</v>
      </c>
      <c r="G1592" s="285" t="s">
        <v>101</v>
      </c>
      <c r="H1592" s="285" t="s">
        <v>5127</v>
      </c>
      <c r="I1592" s="289"/>
      <c r="J1592" s="285" t="s">
        <v>10461</v>
      </c>
      <c r="K1592" s="14">
        <v>44847</v>
      </c>
      <c r="L1592" s="289">
        <v>874</v>
      </c>
      <c r="M1592" s="15">
        <v>44833</v>
      </c>
      <c r="N1592" s="40">
        <v>1</v>
      </c>
      <c r="O1592" s="40">
        <v>730000</v>
      </c>
      <c r="P1592" s="40">
        <v>18249.990000000002</v>
      </c>
      <c r="Q1592" s="40">
        <f t="shared" ref="Q1592" si="73">O1592-P1592</f>
        <v>711750.01</v>
      </c>
      <c r="R1592" s="285" t="s">
        <v>11982</v>
      </c>
      <c r="S1592" s="14">
        <v>44648</v>
      </c>
      <c r="T1592" s="22" t="s">
        <v>11983</v>
      </c>
    </row>
    <row r="1593" spans="1:20" ht="40.5" customHeight="1" x14ac:dyDescent="0.2">
      <c r="A1593" s="30">
        <v>1637</v>
      </c>
      <c r="B1593" s="42" t="s">
        <v>11984</v>
      </c>
      <c r="C1593" s="50"/>
      <c r="D1593" s="85" t="s">
        <v>11987</v>
      </c>
      <c r="E1593" s="119" t="s">
        <v>11444</v>
      </c>
      <c r="F1593" s="278" t="s">
        <v>11985</v>
      </c>
      <c r="G1593" s="49" t="s">
        <v>4946</v>
      </c>
      <c r="H1593" s="49" t="s">
        <v>5127</v>
      </c>
      <c r="I1593" s="30"/>
      <c r="J1593" s="49" t="s">
        <v>10461</v>
      </c>
      <c r="K1593" s="53">
        <v>44847</v>
      </c>
      <c r="L1593" s="30">
        <v>873</v>
      </c>
      <c r="M1593" s="51">
        <v>44830</v>
      </c>
      <c r="N1593" s="100">
        <v>1</v>
      </c>
      <c r="O1593" s="100">
        <v>80900</v>
      </c>
      <c r="P1593" s="100">
        <v>80900</v>
      </c>
      <c r="Q1593" s="100">
        <f t="shared" ref="Q1593:Q1594" si="74">O1593-P1593</f>
        <v>0</v>
      </c>
      <c r="R1593" s="49" t="s">
        <v>11596</v>
      </c>
      <c r="S1593" s="53">
        <v>44819</v>
      </c>
      <c r="T1593" s="119" t="s">
        <v>11986</v>
      </c>
    </row>
    <row r="1594" spans="1:20" ht="40.5" customHeight="1" x14ac:dyDescent="0.2">
      <c r="A1594" s="289">
        <v>1638</v>
      </c>
      <c r="B1594" s="12" t="s">
        <v>11989</v>
      </c>
      <c r="C1594" s="18"/>
      <c r="D1594" s="85" t="s">
        <v>11988</v>
      </c>
      <c r="E1594" s="22" t="s">
        <v>11444</v>
      </c>
      <c r="F1594" s="85" t="s">
        <v>11990</v>
      </c>
      <c r="G1594" s="285" t="s">
        <v>8293</v>
      </c>
      <c r="H1594" s="285" t="s">
        <v>5127</v>
      </c>
      <c r="I1594" s="289"/>
      <c r="J1594" s="285" t="s">
        <v>10461</v>
      </c>
      <c r="K1594" s="14">
        <v>44847</v>
      </c>
      <c r="L1594" s="289">
        <v>872</v>
      </c>
      <c r="M1594" s="15">
        <v>44802</v>
      </c>
      <c r="N1594" s="40">
        <v>1</v>
      </c>
      <c r="O1594" s="40">
        <v>35000</v>
      </c>
      <c r="P1594" s="40">
        <v>35000</v>
      </c>
      <c r="Q1594" s="40">
        <f t="shared" si="74"/>
        <v>0</v>
      </c>
      <c r="R1594" s="285" t="s">
        <v>11596</v>
      </c>
      <c r="S1594" s="14">
        <v>44801</v>
      </c>
      <c r="T1594" s="22" t="s">
        <v>11991</v>
      </c>
    </row>
    <row r="1595" spans="1:20" ht="48.75" customHeight="1" x14ac:dyDescent="0.2">
      <c r="A1595" s="289">
        <v>1639</v>
      </c>
      <c r="B1595" s="12" t="s">
        <v>12104</v>
      </c>
      <c r="C1595" s="18"/>
      <c r="D1595" s="85" t="s">
        <v>3802</v>
      </c>
      <c r="E1595" s="22" t="s">
        <v>11444</v>
      </c>
      <c r="F1595" s="85" t="s">
        <v>12140</v>
      </c>
      <c r="G1595" s="285" t="s">
        <v>4296</v>
      </c>
      <c r="H1595" s="285" t="s">
        <v>3793</v>
      </c>
      <c r="I1595" s="289"/>
      <c r="J1595" s="285" t="s">
        <v>10461</v>
      </c>
      <c r="K1595" s="14">
        <v>44881</v>
      </c>
      <c r="L1595" s="289">
        <v>1040</v>
      </c>
      <c r="M1595" s="15">
        <v>44826</v>
      </c>
      <c r="N1595" s="40">
        <v>1</v>
      </c>
      <c r="O1595" s="40">
        <v>12080</v>
      </c>
      <c r="P1595" s="40">
        <v>12080</v>
      </c>
      <c r="Q1595" s="40">
        <f>O1595-P1595</f>
        <v>0</v>
      </c>
      <c r="R1595" s="285" t="s">
        <v>12149</v>
      </c>
      <c r="S1595" s="14" t="s">
        <v>12150</v>
      </c>
      <c r="T1595" s="14" t="s">
        <v>12151</v>
      </c>
    </row>
    <row r="1596" spans="1:20" ht="79.900000000000006" customHeight="1" x14ac:dyDescent="0.2">
      <c r="A1596" s="289">
        <v>1640</v>
      </c>
      <c r="B1596" s="12" t="s">
        <v>12133</v>
      </c>
      <c r="C1596" s="18"/>
      <c r="D1596" s="85" t="s">
        <v>7998</v>
      </c>
      <c r="E1596" s="22" t="s">
        <v>11444</v>
      </c>
      <c r="F1596" s="85" t="s">
        <v>12144</v>
      </c>
      <c r="G1596" s="285" t="s">
        <v>7917</v>
      </c>
      <c r="H1596" s="285" t="s">
        <v>5127</v>
      </c>
      <c r="I1596" s="289"/>
      <c r="J1596" s="285" t="s">
        <v>10461</v>
      </c>
      <c r="K1596" s="14">
        <v>44887</v>
      </c>
      <c r="L1596" s="289">
        <v>1056</v>
      </c>
      <c r="M1596" s="15">
        <v>44873</v>
      </c>
      <c r="N1596" s="40">
        <v>2</v>
      </c>
      <c r="O1596" s="40">
        <v>34918</v>
      </c>
      <c r="P1596" s="40">
        <v>0</v>
      </c>
      <c r="Q1596" s="40">
        <v>34918</v>
      </c>
      <c r="R1596" s="285" t="s">
        <v>10501</v>
      </c>
      <c r="S1596" s="14">
        <v>44855</v>
      </c>
      <c r="T1596" s="22" t="s">
        <v>1029</v>
      </c>
    </row>
    <row r="1597" spans="1:20" ht="49.5" customHeight="1" x14ac:dyDescent="0.2">
      <c r="A1597" s="289">
        <v>1641</v>
      </c>
      <c r="B1597" s="12" t="s">
        <v>12118</v>
      </c>
      <c r="C1597" s="18"/>
      <c r="D1597" s="85" t="s">
        <v>12120</v>
      </c>
      <c r="E1597" s="22" t="s">
        <v>11444</v>
      </c>
      <c r="F1597" s="85" t="s">
        <v>12119</v>
      </c>
      <c r="G1597" s="285" t="s">
        <v>10465</v>
      </c>
      <c r="H1597" s="289" t="s">
        <v>2207</v>
      </c>
      <c r="I1597" s="289"/>
      <c r="J1597" s="285" t="s">
        <v>10461</v>
      </c>
      <c r="K1597" s="14">
        <v>44867</v>
      </c>
      <c r="L1597" s="289">
        <v>981</v>
      </c>
      <c r="M1597" s="15"/>
      <c r="N1597" s="40">
        <v>4</v>
      </c>
      <c r="O1597" s="40">
        <v>59877.36</v>
      </c>
      <c r="P1597" s="40">
        <v>0</v>
      </c>
      <c r="Q1597" s="40">
        <f t="shared" ref="Q1597:Q1599" si="75">O1597-P1597</f>
        <v>59877.36</v>
      </c>
      <c r="R1597" s="285" t="s">
        <v>10874</v>
      </c>
      <c r="S1597" s="14">
        <v>44847</v>
      </c>
      <c r="T1597" s="22" t="s">
        <v>12110</v>
      </c>
    </row>
    <row r="1598" spans="1:20" ht="84.6" customHeight="1" x14ac:dyDescent="0.2">
      <c r="A1598" s="289">
        <v>1642</v>
      </c>
      <c r="B1598" s="12" t="s">
        <v>12156</v>
      </c>
      <c r="C1598" s="18"/>
      <c r="D1598" s="85" t="s">
        <v>12157</v>
      </c>
      <c r="E1598" s="22" t="s">
        <v>11444</v>
      </c>
      <c r="F1598" s="85" t="s">
        <v>12158</v>
      </c>
      <c r="G1598" s="285" t="s">
        <v>10465</v>
      </c>
      <c r="H1598" s="289" t="s">
        <v>2207</v>
      </c>
      <c r="I1598" s="289"/>
      <c r="J1598" s="285" t="s">
        <v>10461</v>
      </c>
      <c r="K1598" s="14">
        <v>44893</v>
      </c>
      <c r="L1598" s="289">
        <v>1082</v>
      </c>
      <c r="M1598" s="15"/>
      <c r="N1598" s="40">
        <v>1</v>
      </c>
      <c r="O1598" s="40">
        <v>14804.63</v>
      </c>
      <c r="P1598" s="40">
        <v>0</v>
      </c>
      <c r="Q1598" s="40">
        <f t="shared" si="75"/>
        <v>14804.63</v>
      </c>
      <c r="R1598" s="285" t="s">
        <v>12160</v>
      </c>
      <c r="S1598" s="14">
        <v>44746</v>
      </c>
      <c r="T1598" s="22" t="s">
        <v>12159</v>
      </c>
    </row>
    <row r="1599" spans="1:20" ht="105" customHeight="1" x14ac:dyDescent="0.2">
      <c r="A1599" s="289">
        <v>1643</v>
      </c>
      <c r="B1599" s="12" t="s">
        <v>12161</v>
      </c>
      <c r="C1599" s="18"/>
      <c r="D1599" s="85" t="s">
        <v>12162</v>
      </c>
      <c r="E1599" s="22" t="s">
        <v>11444</v>
      </c>
      <c r="F1599" s="85" t="s">
        <v>12166</v>
      </c>
      <c r="G1599" s="285" t="s">
        <v>10465</v>
      </c>
      <c r="H1599" s="285" t="s">
        <v>10784</v>
      </c>
      <c r="I1599" s="289"/>
      <c r="J1599" s="285" t="s">
        <v>10461</v>
      </c>
      <c r="K1599" s="14">
        <v>44894</v>
      </c>
      <c r="L1599" s="289">
        <v>1092</v>
      </c>
      <c r="M1599" s="15">
        <v>44876</v>
      </c>
      <c r="N1599" s="40">
        <v>1</v>
      </c>
      <c r="O1599" s="40">
        <v>129671</v>
      </c>
      <c r="P1599" s="40">
        <v>0</v>
      </c>
      <c r="Q1599" s="40">
        <f t="shared" si="75"/>
        <v>129671</v>
      </c>
      <c r="R1599" s="285" t="s">
        <v>7630</v>
      </c>
      <c r="S1599" s="14" t="s">
        <v>12164</v>
      </c>
      <c r="T1599" s="22" t="s">
        <v>12163</v>
      </c>
    </row>
    <row r="1600" spans="1:20" ht="117" customHeight="1" x14ac:dyDescent="0.2">
      <c r="A1600" s="289">
        <v>1644</v>
      </c>
      <c r="B1600" s="12" t="s">
        <v>12165</v>
      </c>
      <c r="C1600" s="18"/>
      <c r="D1600" s="85" t="s">
        <v>12162</v>
      </c>
      <c r="E1600" s="22" t="s">
        <v>11444</v>
      </c>
      <c r="F1600" s="85" t="s">
        <v>12167</v>
      </c>
      <c r="G1600" s="285" t="s">
        <v>10465</v>
      </c>
      <c r="H1600" s="285" t="s">
        <v>10784</v>
      </c>
      <c r="I1600" s="289"/>
      <c r="J1600" s="285" t="s">
        <v>10461</v>
      </c>
      <c r="K1600" s="14">
        <v>44894</v>
      </c>
      <c r="L1600" s="289">
        <v>1092</v>
      </c>
      <c r="M1600" s="15">
        <v>44876</v>
      </c>
      <c r="N1600" s="40">
        <v>1</v>
      </c>
      <c r="O1600" s="40">
        <v>129671</v>
      </c>
      <c r="P1600" s="40">
        <v>0</v>
      </c>
      <c r="Q1600" s="40">
        <f t="shared" ref="Q1600:Q1606" si="76">O1600-P1600</f>
        <v>129671</v>
      </c>
      <c r="R1600" s="285" t="s">
        <v>7630</v>
      </c>
      <c r="S1600" s="14" t="s">
        <v>12164</v>
      </c>
      <c r="T1600" s="22" t="s">
        <v>12163</v>
      </c>
    </row>
    <row r="1601" spans="1:20" ht="46.9" customHeight="1" x14ac:dyDescent="0.2">
      <c r="A1601" s="289">
        <v>1645</v>
      </c>
      <c r="B1601" s="12" t="s">
        <v>12209</v>
      </c>
      <c r="C1601" s="18"/>
      <c r="D1601" s="85" t="s">
        <v>12210</v>
      </c>
      <c r="E1601" s="22" t="s">
        <v>11444</v>
      </c>
      <c r="F1601" s="85"/>
      <c r="G1601" s="285" t="s">
        <v>7982</v>
      </c>
      <c r="H1601" s="285" t="s">
        <v>5127</v>
      </c>
      <c r="I1601" s="289"/>
      <c r="J1601" s="285" t="s">
        <v>10461</v>
      </c>
      <c r="K1601" s="14">
        <v>44908</v>
      </c>
      <c r="L1601" s="289">
        <v>1155</v>
      </c>
      <c r="M1601" s="15">
        <v>44881</v>
      </c>
      <c r="N1601" s="40">
        <v>2</v>
      </c>
      <c r="O1601" s="40">
        <v>27900</v>
      </c>
      <c r="P1601" s="40">
        <v>0</v>
      </c>
      <c r="Q1601" s="40">
        <f t="shared" si="76"/>
        <v>27900</v>
      </c>
      <c r="R1601" s="285" t="s">
        <v>12211</v>
      </c>
      <c r="S1601" s="14">
        <v>44876</v>
      </c>
      <c r="T1601" s="22" t="s">
        <v>12212</v>
      </c>
    </row>
    <row r="1602" spans="1:20" ht="56.45" customHeight="1" x14ac:dyDescent="0.2">
      <c r="A1602" s="289">
        <v>1646</v>
      </c>
      <c r="B1602" s="12" t="s">
        <v>12217</v>
      </c>
      <c r="C1602" s="18"/>
      <c r="D1602" s="85" t="s">
        <v>12218</v>
      </c>
      <c r="E1602" s="22" t="s">
        <v>11444</v>
      </c>
      <c r="F1602" s="85"/>
      <c r="G1602" s="285" t="s">
        <v>7981</v>
      </c>
      <c r="H1602" s="285" t="s">
        <v>5127</v>
      </c>
      <c r="I1602" s="289"/>
      <c r="J1602" s="285" t="s">
        <v>10461</v>
      </c>
      <c r="K1602" s="14">
        <v>44908</v>
      </c>
      <c r="L1602" s="289">
        <v>1156</v>
      </c>
      <c r="M1602" s="15">
        <v>44897</v>
      </c>
      <c r="N1602" s="40">
        <v>1</v>
      </c>
      <c r="O1602" s="40">
        <v>20150</v>
      </c>
      <c r="P1602" s="40">
        <v>0</v>
      </c>
      <c r="Q1602" s="40">
        <f t="shared" si="76"/>
        <v>20150</v>
      </c>
      <c r="R1602" s="285" t="s">
        <v>12211</v>
      </c>
      <c r="S1602" s="14">
        <v>44862</v>
      </c>
      <c r="T1602" s="22" t="s">
        <v>1029</v>
      </c>
    </row>
    <row r="1603" spans="1:20" ht="56.45" customHeight="1" x14ac:dyDescent="0.2">
      <c r="A1603" s="289">
        <v>1647</v>
      </c>
      <c r="B1603" s="12" t="s">
        <v>12219</v>
      </c>
      <c r="C1603" s="18"/>
      <c r="D1603" s="85" t="s">
        <v>12220</v>
      </c>
      <c r="E1603" s="22" t="s">
        <v>11444</v>
      </c>
      <c r="F1603" s="85"/>
      <c r="G1603" s="285" t="s">
        <v>101</v>
      </c>
      <c r="H1603" s="285" t="s">
        <v>5127</v>
      </c>
      <c r="I1603" s="289"/>
      <c r="J1603" s="285" t="s">
        <v>10461</v>
      </c>
      <c r="K1603" s="14">
        <v>44908</v>
      </c>
      <c r="L1603" s="289">
        <v>1157</v>
      </c>
      <c r="M1603" s="15">
        <v>44890</v>
      </c>
      <c r="N1603" s="40">
        <v>1</v>
      </c>
      <c r="O1603" s="40">
        <v>2330000</v>
      </c>
      <c r="P1603" s="40">
        <v>19416.669999999998</v>
      </c>
      <c r="Q1603" s="40">
        <f t="shared" si="76"/>
        <v>2310583.33</v>
      </c>
      <c r="R1603" s="285" t="s">
        <v>12211</v>
      </c>
      <c r="S1603" s="14">
        <v>44862</v>
      </c>
      <c r="T1603" s="22" t="s">
        <v>12251</v>
      </c>
    </row>
    <row r="1604" spans="1:20" ht="56.45" customHeight="1" x14ac:dyDescent="0.2">
      <c r="A1604" s="289">
        <v>1648</v>
      </c>
      <c r="B1604" s="12" t="s">
        <v>12231</v>
      </c>
      <c r="C1604" s="18"/>
      <c r="D1604" s="85" t="s">
        <v>12232</v>
      </c>
      <c r="E1604" s="22" t="s">
        <v>11444</v>
      </c>
      <c r="F1604" s="85"/>
      <c r="G1604" s="285" t="s">
        <v>7983</v>
      </c>
      <c r="H1604" s="285" t="s">
        <v>5127</v>
      </c>
      <c r="I1604" s="289"/>
      <c r="J1604" s="285" t="s">
        <v>10461</v>
      </c>
      <c r="K1604" s="14">
        <v>44911</v>
      </c>
      <c r="L1604" s="289">
        <v>1179</v>
      </c>
      <c r="M1604" s="15">
        <v>44902</v>
      </c>
      <c r="N1604" s="40">
        <v>1</v>
      </c>
      <c r="O1604" s="40">
        <v>27700</v>
      </c>
      <c r="P1604" s="40">
        <v>27700</v>
      </c>
      <c r="Q1604" s="40">
        <f t="shared" si="76"/>
        <v>0</v>
      </c>
      <c r="R1604" s="285" t="s">
        <v>12276</v>
      </c>
      <c r="S1604" s="14">
        <v>44888</v>
      </c>
      <c r="T1604" s="22" t="s">
        <v>12233</v>
      </c>
    </row>
    <row r="1605" spans="1:20" ht="56.45" customHeight="1" x14ac:dyDescent="0.2">
      <c r="A1605" s="289">
        <v>1649</v>
      </c>
      <c r="B1605" s="12" t="s">
        <v>12273</v>
      </c>
      <c r="C1605" s="18"/>
      <c r="D1605" s="85" t="s">
        <v>12274</v>
      </c>
      <c r="E1605" s="22" t="s">
        <v>11444</v>
      </c>
      <c r="F1605" s="85"/>
      <c r="G1605" s="285" t="s">
        <v>7977</v>
      </c>
      <c r="H1605" s="285" t="s">
        <v>5127</v>
      </c>
      <c r="I1605" s="289"/>
      <c r="J1605" s="285" t="s">
        <v>10461</v>
      </c>
      <c r="K1605" s="14">
        <v>44914</v>
      </c>
      <c r="L1605" s="289">
        <v>1186</v>
      </c>
      <c r="M1605" s="15">
        <v>44867</v>
      </c>
      <c r="N1605" s="40">
        <v>1</v>
      </c>
      <c r="O1605" s="40">
        <v>41000</v>
      </c>
      <c r="P1605" s="40">
        <v>41000</v>
      </c>
      <c r="Q1605" s="40">
        <f t="shared" si="76"/>
        <v>0</v>
      </c>
      <c r="R1605" s="285" t="s">
        <v>12211</v>
      </c>
      <c r="S1605" s="14">
        <v>44867</v>
      </c>
      <c r="T1605" s="22" t="s">
        <v>12275</v>
      </c>
    </row>
    <row r="1606" spans="1:20" ht="56.45" customHeight="1" x14ac:dyDescent="0.2">
      <c r="A1606" s="289">
        <v>1650</v>
      </c>
      <c r="B1606" s="12" t="s">
        <v>12277</v>
      </c>
      <c r="C1606" s="18"/>
      <c r="D1606" s="85" t="s">
        <v>12278</v>
      </c>
      <c r="E1606" s="22" t="s">
        <v>11444</v>
      </c>
      <c r="F1606" s="85"/>
      <c r="G1606" s="285" t="s">
        <v>8293</v>
      </c>
      <c r="H1606" s="285" t="s">
        <v>5127</v>
      </c>
      <c r="I1606" s="289"/>
      <c r="J1606" s="285" t="s">
        <v>10461</v>
      </c>
      <c r="K1606" s="14">
        <v>44914</v>
      </c>
      <c r="L1606" s="289">
        <v>1185</v>
      </c>
      <c r="M1606" s="15">
        <v>44902</v>
      </c>
      <c r="N1606" s="40">
        <v>1</v>
      </c>
      <c r="O1606" s="40">
        <v>254640</v>
      </c>
      <c r="P1606" s="40">
        <v>0</v>
      </c>
      <c r="Q1606" s="40">
        <f t="shared" si="76"/>
        <v>254640</v>
      </c>
      <c r="R1606" s="285" t="s">
        <v>12279</v>
      </c>
      <c r="S1606" s="14">
        <v>44880</v>
      </c>
      <c r="T1606" s="22" t="s">
        <v>12280</v>
      </c>
    </row>
    <row r="1607" spans="1:20" ht="56.45" customHeight="1" x14ac:dyDescent="0.2">
      <c r="A1607" s="289">
        <v>1651</v>
      </c>
      <c r="B1607" s="12" t="s">
        <v>12293</v>
      </c>
      <c r="C1607" s="18"/>
      <c r="D1607" s="85" t="s">
        <v>2294</v>
      </c>
      <c r="E1607" s="22" t="s">
        <v>11444</v>
      </c>
      <c r="F1607" s="85"/>
      <c r="G1607" s="285" t="s">
        <v>10465</v>
      </c>
      <c r="H1607" s="285" t="s">
        <v>10784</v>
      </c>
      <c r="I1607" s="289"/>
      <c r="J1607" s="285" t="s">
        <v>10461</v>
      </c>
      <c r="K1607" s="14" t="s">
        <v>12354</v>
      </c>
      <c r="L1607" s="289" t="s">
        <v>12355</v>
      </c>
      <c r="M1607" s="15"/>
      <c r="N1607" s="40">
        <f>72-33-38</f>
        <v>1</v>
      </c>
      <c r="O1607" s="40">
        <f>42370.44-17831.98-24130.78</f>
        <v>407.68000000000393</v>
      </c>
      <c r="P1607" s="40">
        <v>0</v>
      </c>
      <c r="Q1607" s="40">
        <f t="shared" ref="Q1607" si="77">O1607-P1607</f>
        <v>407.68000000000393</v>
      </c>
      <c r="R1607" s="285" t="s">
        <v>10874</v>
      </c>
      <c r="S1607" s="14" t="s">
        <v>12306</v>
      </c>
      <c r="T1607" s="22" t="s">
        <v>12305</v>
      </c>
    </row>
    <row r="1608" spans="1:20" ht="56.45" customHeight="1" x14ac:dyDescent="0.2">
      <c r="A1608" s="289">
        <v>1651</v>
      </c>
      <c r="B1608" s="12" t="s">
        <v>12295</v>
      </c>
      <c r="C1608" s="18"/>
      <c r="D1608" s="85" t="s">
        <v>12298</v>
      </c>
      <c r="E1608" s="22" t="s">
        <v>11444</v>
      </c>
      <c r="F1608" s="85"/>
      <c r="G1608" s="285" t="s">
        <v>10465</v>
      </c>
      <c r="H1608" s="285" t="s">
        <v>10784</v>
      </c>
      <c r="I1608" s="289"/>
      <c r="J1608" s="285" t="s">
        <v>10461</v>
      </c>
      <c r="K1608" s="14">
        <v>44914</v>
      </c>
      <c r="L1608" s="289">
        <v>1187</v>
      </c>
      <c r="M1608" s="15"/>
      <c r="N1608" s="40">
        <v>15</v>
      </c>
      <c r="O1608" s="40">
        <v>4198.5</v>
      </c>
      <c r="P1608" s="40">
        <v>0</v>
      </c>
      <c r="Q1608" s="40">
        <f t="shared" ref="Q1608" si="78">O1608-P1608</f>
        <v>4198.5</v>
      </c>
      <c r="R1608" s="285" t="s">
        <v>10874</v>
      </c>
      <c r="S1608" s="14">
        <v>44890</v>
      </c>
      <c r="T1608" s="22" t="s">
        <v>12294</v>
      </c>
    </row>
    <row r="1609" spans="1:20" ht="56.45" customHeight="1" x14ac:dyDescent="0.2">
      <c r="A1609" s="289">
        <v>1651</v>
      </c>
      <c r="B1609" s="12" t="s">
        <v>12296</v>
      </c>
      <c r="C1609" s="18"/>
      <c r="D1609" s="85" t="s">
        <v>12299</v>
      </c>
      <c r="E1609" s="22" t="s">
        <v>11444</v>
      </c>
      <c r="F1609" s="85"/>
      <c r="G1609" s="285" t="s">
        <v>10465</v>
      </c>
      <c r="H1609" s="285" t="s">
        <v>10784</v>
      </c>
      <c r="I1609" s="289"/>
      <c r="J1609" s="285" t="s">
        <v>10461</v>
      </c>
      <c r="K1609" s="14">
        <v>44914</v>
      </c>
      <c r="L1609" s="289">
        <v>1187</v>
      </c>
      <c r="M1609" s="15"/>
      <c r="N1609" s="40">
        <v>15</v>
      </c>
      <c r="O1609" s="40">
        <v>4198.5</v>
      </c>
      <c r="P1609" s="40">
        <v>0</v>
      </c>
      <c r="Q1609" s="40">
        <f t="shared" ref="Q1609" si="79">O1609-P1609</f>
        <v>4198.5</v>
      </c>
      <c r="R1609" s="285" t="s">
        <v>10874</v>
      </c>
      <c r="S1609" s="14">
        <v>44890</v>
      </c>
      <c r="T1609" s="22" t="s">
        <v>12294</v>
      </c>
    </row>
    <row r="1610" spans="1:20" ht="56.45" customHeight="1" x14ac:dyDescent="0.2">
      <c r="A1610" s="289">
        <v>1651</v>
      </c>
      <c r="B1610" s="12" t="s">
        <v>12297</v>
      </c>
      <c r="C1610" s="18"/>
      <c r="D1610" s="85" t="s">
        <v>12300</v>
      </c>
      <c r="E1610" s="22" t="s">
        <v>11444</v>
      </c>
      <c r="F1610" s="85"/>
      <c r="G1610" s="285" t="s">
        <v>10465</v>
      </c>
      <c r="H1610" s="285" t="s">
        <v>10784</v>
      </c>
      <c r="I1610" s="289"/>
      <c r="J1610" s="285" t="s">
        <v>10461</v>
      </c>
      <c r="K1610" s="14">
        <v>44914</v>
      </c>
      <c r="L1610" s="289">
        <v>1187</v>
      </c>
      <c r="M1610" s="15"/>
      <c r="N1610" s="40">
        <v>55</v>
      </c>
      <c r="O1610" s="40">
        <v>15394.5</v>
      </c>
      <c r="P1610" s="40">
        <v>0</v>
      </c>
      <c r="Q1610" s="40">
        <f t="shared" ref="Q1610" si="80">O1610-P1610</f>
        <v>15394.5</v>
      </c>
      <c r="R1610" s="285" t="s">
        <v>10874</v>
      </c>
      <c r="S1610" s="14">
        <v>44890</v>
      </c>
      <c r="T1610" s="22" t="s">
        <v>12294</v>
      </c>
    </row>
    <row r="1611" spans="1:20" ht="56.45" customHeight="1" x14ac:dyDescent="0.2">
      <c r="A1611" s="289">
        <v>1652</v>
      </c>
      <c r="B1611" s="12" t="s">
        <v>12316</v>
      </c>
      <c r="C1611" s="18"/>
      <c r="D1611" s="85" t="s">
        <v>12317</v>
      </c>
      <c r="E1611" s="22" t="s">
        <v>11444</v>
      </c>
      <c r="F1611" s="85"/>
      <c r="G1611" s="285" t="s">
        <v>10465</v>
      </c>
      <c r="H1611" s="285" t="s">
        <v>10784</v>
      </c>
      <c r="I1611" s="289"/>
      <c r="J1611" s="285" t="s">
        <v>10461</v>
      </c>
      <c r="K1611" s="226">
        <v>44918</v>
      </c>
      <c r="L1611" s="224">
        <v>1206</v>
      </c>
      <c r="M1611" s="15"/>
      <c r="N1611" s="40">
        <v>21</v>
      </c>
      <c r="O1611" s="40">
        <v>8720</v>
      </c>
      <c r="P1611" s="40">
        <v>0</v>
      </c>
      <c r="Q1611" s="40">
        <f t="shared" ref="Q1611" si="81">O1611-P1611</f>
        <v>8720</v>
      </c>
      <c r="R1611" s="285" t="s">
        <v>10874</v>
      </c>
      <c r="S1611" s="14">
        <v>44903</v>
      </c>
      <c r="T1611" s="22" t="s">
        <v>11567</v>
      </c>
    </row>
    <row r="1612" spans="1:20" ht="81" customHeight="1" x14ac:dyDescent="0.2">
      <c r="A1612" s="289">
        <v>1653</v>
      </c>
      <c r="B1612" s="12" t="s">
        <v>12375</v>
      </c>
      <c r="C1612" s="18"/>
      <c r="D1612" s="85" t="s">
        <v>12372</v>
      </c>
      <c r="E1612" s="22" t="s">
        <v>11444</v>
      </c>
      <c r="F1612" s="85" t="s">
        <v>12373</v>
      </c>
      <c r="G1612" s="285" t="s">
        <v>7983</v>
      </c>
      <c r="H1612" s="285" t="s">
        <v>5127</v>
      </c>
      <c r="I1612" s="289"/>
      <c r="J1612" s="285" t="s">
        <v>10461</v>
      </c>
      <c r="K1612" s="226">
        <v>44924</v>
      </c>
      <c r="L1612" s="224">
        <v>1243</v>
      </c>
      <c r="M1612" s="15">
        <v>44887</v>
      </c>
      <c r="N1612" s="40">
        <v>1</v>
      </c>
      <c r="O1612" s="40">
        <v>140000</v>
      </c>
      <c r="P1612" s="40">
        <v>0</v>
      </c>
      <c r="Q1612" s="40">
        <f t="shared" ref="Q1612" si="82">O1612-P1612</f>
        <v>140000</v>
      </c>
      <c r="R1612" s="285" t="s">
        <v>12282</v>
      </c>
      <c r="S1612" s="14">
        <v>44887</v>
      </c>
      <c r="T1612" s="22" t="s">
        <v>12374</v>
      </c>
    </row>
    <row r="1613" spans="1:20" ht="81" customHeight="1" x14ac:dyDescent="0.2">
      <c r="A1613" s="289">
        <v>1654</v>
      </c>
      <c r="B1613" s="12" t="s">
        <v>12401</v>
      </c>
      <c r="C1613" s="18"/>
      <c r="D1613" s="85" t="s">
        <v>12402</v>
      </c>
      <c r="E1613" s="22" t="s">
        <v>11444</v>
      </c>
      <c r="F1613" s="85" t="s">
        <v>12403</v>
      </c>
      <c r="G1613" s="285" t="s">
        <v>8661</v>
      </c>
      <c r="H1613" s="285" t="s">
        <v>5127</v>
      </c>
      <c r="I1613" s="289"/>
      <c r="J1613" s="285" t="s">
        <v>10461</v>
      </c>
      <c r="K1613" s="226"/>
      <c r="L1613" s="224"/>
      <c r="M1613" s="15">
        <v>44916</v>
      </c>
      <c r="N1613" s="40">
        <v>1</v>
      </c>
      <c r="O1613" s="40">
        <v>28800</v>
      </c>
      <c r="P1613" s="40">
        <v>0</v>
      </c>
      <c r="Q1613" s="40">
        <f t="shared" ref="Q1613" si="83">O1613-P1613</f>
        <v>28800</v>
      </c>
      <c r="R1613" s="285" t="s">
        <v>12405</v>
      </c>
      <c r="S1613" s="14">
        <v>44910</v>
      </c>
      <c r="T1613" s="22" t="s">
        <v>12404</v>
      </c>
    </row>
    <row r="1614" spans="1:20" x14ac:dyDescent="0.2">
      <c r="N1614" s="108">
        <f>SUM(N6:N1613)</f>
        <v>5858</v>
      </c>
      <c r="O1614" s="101">
        <f>SUM(O6:O1613)</f>
        <v>72858295.779999986</v>
      </c>
    </row>
  </sheetData>
  <mergeCells count="28">
    <mergeCell ref="H3:H4"/>
    <mergeCell ref="B3:B4"/>
    <mergeCell ref="D3:D4"/>
    <mergeCell ref="F3:F4"/>
    <mergeCell ref="G3:G4"/>
    <mergeCell ref="E3:E4"/>
    <mergeCell ref="M3:M4"/>
    <mergeCell ref="A1:B1"/>
    <mergeCell ref="N3:N4"/>
    <mergeCell ref="A2:H2"/>
    <mergeCell ref="A3:A4"/>
    <mergeCell ref="C3:C4"/>
    <mergeCell ref="I3:I4"/>
    <mergeCell ref="J3:L3"/>
    <mergeCell ref="R3:T3"/>
    <mergeCell ref="O3:Q3"/>
    <mergeCell ref="S1279:S1280"/>
    <mergeCell ref="T1279:T1280"/>
    <mergeCell ref="C1279:C1280"/>
    <mergeCell ref="J1279:J1280"/>
    <mergeCell ref="K1279:K1280"/>
    <mergeCell ref="L1279:L1280"/>
    <mergeCell ref="M1279:M1280"/>
    <mergeCell ref="R1279:R1280"/>
    <mergeCell ref="D1279:D1280"/>
    <mergeCell ref="E1279:E1280"/>
    <mergeCell ref="F1279:F1280"/>
    <mergeCell ref="H1279:H1280"/>
  </mergeCells>
  <phoneticPr fontId="3" type="noConversion"/>
  <pageMargins left="0" right="0" top="0.78740157480314965" bottom="0" header="0.51181102362204722" footer="0.51181102362204722"/>
  <pageSetup paperSize="9" scale="95" fitToHeight="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48"/>
  <sheetViews>
    <sheetView zoomScaleNormal="100" workbookViewId="0">
      <pane ySplit="7" topLeftCell="A38" activePane="bottomLeft" state="frozen"/>
      <selection pane="bottomLeft" activeCell="AL48" sqref="AL48"/>
    </sheetView>
  </sheetViews>
  <sheetFormatPr defaultColWidth="9.140625" defaultRowHeight="12.75" x14ac:dyDescent="0.2"/>
  <cols>
    <col min="1" max="1" width="5.85546875" style="3" customWidth="1"/>
    <col min="2" max="2" width="9.7109375" style="3" customWidth="1"/>
    <col min="3" max="3" width="36" style="3" customWidth="1"/>
    <col min="4" max="4" width="17.140625" style="144" customWidth="1"/>
    <col min="5" max="5" width="15.28515625" style="144" customWidth="1"/>
    <col min="6" max="6" width="11.5703125" style="3" customWidth="1"/>
    <col min="7" max="7" width="12.140625" style="3" customWidth="1"/>
    <col min="8" max="8" width="9.7109375" style="3" customWidth="1"/>
    <col min="9" max="9" width="8.7109375" style="3" customWidth="1"/>
    <col min="10" max="10" width="10.42578125" style="3" customWidth="1"/>
    <col min="11" max="11" width="12.7109375" style="3" customWidth="1"/>
    <col min="12" max="12" width="12.140625" style="3" customWidth="1"/>
    <col min="13" max="13" width="15" style="3" customWidth="1"/>
    <col min="14" max="14" width="14" style="3" customWidth="1"/>
    <col min="15" max="18" width="15.28515625" style="3" customWidth="1"/>
    <col min="19" max="19" width="16.5703125" style="3" customWidth="1"/>
    <col min="20" max="21" width="15.28515625" style="3" customWidth="1"/>
    <col min="22" max="22" width="17.42578125" style="3" customWidth="1"/>
    <col min="23" max="37" width="16.28515625" style="3" customWidth="1"/>
    <col min="38" max="43" width="15.28515625" style="3" customWidth="1"/>
    <col min="44" max="16384" width="9.140625" style="3"/>
  </cols>
  <sheetData>
    <row r="2" spans="1:43" ht="15.75" x14ac:dyDescent="0.25">
      <c r="A2" s="293" t="s">
        <v>1775</v>
      </c>
      <c r="B2" s="293"/>
      <c r="C2" s="112"/>
      <c r="D2" s="145"/>
      <c r="E2" s="145"/>
      <c r="F2" s="19"/>
      <c r="G2" s="39"/>
      <c r="H2" s="39"/>
      <c r="I2" s="43"/>
      <c r="J2" s="108"/>
      <c r="K2" s="108"/>
      <c r="L2" s="108"/>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3" ht="15.75" x14ac:dyDescent="0.2">
      <c r="A3" s="318" t="s">
        <v>9281</v>
      </c>
      <c r="B3" s="318"/>
      <c r="C3" s="318"/>
      <c r="D3" s="319"/>
      <c r="E3" s="319"/>
      <c r="F3" s="19"/>
      <c r="G3" s="39"/>
      <c r="H3" s="39"/>
      <c r="I3" s="43"/>
      <c r="J3" s="108"/>
      <c r="K3" s="108"/>
      <c r="L3" s="108"/>
      <c r="M3" s="39"/>
      <c r="N3" s="39"/>
      <c r="O3" s="39"/>
      <c r="P3" s="39"/>
      <c r="Q3" s="39"/>
      <c r="R3" s="39"/>
      <c r="S3" s="39"/>
      <c r="T3" s="39"/>
      <c r="U3" s="39"/>
      <c r="V3" s="39"/>
      <c r="W3" s="39"/>
      <c r="X3" s="39"/>
      <c r="Y3" s="39"/>
      <c r="Z3" s="39"/>
      <c r="AA3" s="39"/>
      <c r="AB3" s="39"/>
      <c r="AC3" s="39"/>
      <c r="AD3" s="39"/>
      <c r="AE3" s="39"/>
      <c r="AF3" s="39"/>
      <c r="AG3" s="39"/>
      <c r="AH3" s="39"/>
      <c r="AI3" s="39"/>
      <c r="AJ3" s="39"/>
      <c r="AK3" s="39"/>
      <c r="AL3" s="39"/>
    </row>
    <row r="4" spans="1:43" x14ac:dyDescent="0.2">
      <c r="A4" s="39"/>
      <c r="B4" s="19" t="s">
        <v>3211</v>
      </c>
      <c r="C4" s="19"/>
      <c r="D4" s="177"/>
      <c r="E4" s="177"/>
      <c r="F4" s="19"/>
      <c r="G4" s="39"/>
      <c r="H4" s="39"/>
      <c r="I4" s="43"/>
      <c r="J4" s="108"/>
      <c r="K4" s="108"/>
      <c r="L4" s="108"/>
      <c r="M4" s="39"/>
      <c r="N4" s="39"/>
      <c r="O4" s="39"/>
      <c r="P4" s="39"/>
      <c r="Q4" s="39"/>
      <c r="R4" s="39"/>
      <c r="S4" s="39"/>
      <c r="T4" s="39"/>
      <c r="U4" s="39"/>
      <c r="V4" s="39"/>
      <c r="W4" s="39"/>
      <c r="X4" s="39"/>
      <c r="Y4" s="39"/>
      <c r="Z4" s="39"/>
      <c r="AA4" s="39"/>
      <c r="AB4" s="39"/>
      <c r="AC4" s="39"/>
      <c r="AD4" s="39"/>
      <c r="AE4" s="39"/>
      <c r="AF4" s="39"/>
      <c r="AG4" s="39"/>
      <c r="AH4" s="39"/>
      <c r="AI4" s="39"/>
      <c r="AJ4" s="39"/>
      <c r="AK4" s="39"/>
      <c r="AL4" s="39"/>
    </row>
    <row r="5" spans="1:43" ht="54.75" customHeight="1" x14ac:dyDescent="0.2">
      <c r="A5" s="316" t="s">
        <v>3972</v>
      </c>
      <c r="B5" s="316" t="s">
        <v>6165</v>
      </c>
      <c r="C5" s="316" t="s">
        <v>9239</v>
      </c>
      <c r="D5" s="316" t="s">
        <v>2631</v>
      </c>
      <c r="E5" s="316" t="s">
        <v>2417</v>
      </c>
      <c r="F5" s="316" t="s">
        <v>2418</v>
      </c>
      <c r="G5" s="316" t="s">
        <v>9238</v>
      </c>
      <c r="H5" s="316"/>
      <c r="I5" s="316"/>
      <c r="J5" s="316" t="s">
        <v>9236</v>
      </c>
      <c r="K5" s="317" t="s">
        <v>10659</v>
      </c>
      <c r="L5" s="317"/>
      <c r="M5" s="317"/>
      <c r="N5" s="317" t="s">
        <v>10660</v>
      </c>
      <c r="O5" s="317"/>
      <c r="P5" s="317"/>
      <c r="Q5" s="316" t="s">
        <v>10661</v>
      </c>
      <c r="R5" s="316"/>
      <c r="S5" s="198"/>
      <c r="T5" s="316" t="s">
        <v>10697</v>
      </c>
      <c r="U5" s="316"/>
      <c r="V5" s="316"/>
      <c r="W5" s="316" t="s">
        <v>10771</v>
      </c>
      <c r="X5" s="316"/>
      <c r="Y5" s="316"/>
      <c r="Z5" s="316" t="s">
        <v>10771</v>
      </c>
      <c r="AA5" s="316"/>
      <c r="AB5" s="316"/>
      <c r="AC5" s="316" t="s">
        <v>10858</v>
      </c>
      <c r="AD5" s="316"/>
      <c r="AE5" s="316"/>
      <c r="AF5" s="316" t="s">
        <v>10910</v>
      </c>
      <c r="AG5" s="316"/>
      <c r="AH5" s="316"/>
      <c r="AI5" s="316" t="s">
        <v>11325</v>
      </c>
      <c r="AJ5" s="316"/>
      <c r="AK5" s="316"/>
      <c r="AL5" s="316" t="s">
        <v>9351</v>
      </c>
      <c r="AM5" s="316"/>
      <c r="AN5" s="316"/>
      <c r="AO5" s="316" t="s">
        <v>6338</v>
      </c>
      <c r="AP5" s="316"/>
      <c r="AQ5" s="316"/>
    </row>
    <row r="6" spans="1:43" ht="29.25" customHeight="1" x14ac:dyDescent="0.2">
      <c r="A6" s="316"/>
      <c r="B6" s="316"/>
      <c r="C6" s="316"/>
      <c r="D6" s="316"/>
      <c r="E6" s="316"/>
      <c r="F6" s="316"/>
      <c r="G6" s="198" t="s">
        <v>3771</v>
      </c>
      <c r="H6" s="198" t="s">
        <v>1598</v>
      </c>
      <c r="I6" s="22" t="s">
        <v>3131</v>
      </c>
      <c r="J6" s="316"/>
      <c r="K6" s="24" t="s">
        <v>6197</v>
      </c>
      <c r="L6" s="24" t="s">
        <v>9243</v>
      </c>
      <c r="M6" s="198" t="s">
        <v>9234</v>
      </c>
      <c r="N6" s="198" t="s">
        <v>10485</v>
      </c>
      <c r="O6" s="8" t="s">
        <v>9349</v>
      </c>
      <c r="P6" s="8" t="s">
        <v>9350</v>
      </c>
      <c r="Q6" s="8" t="s">
        <v>9349</v>
      </c>
      <c r="R6" s="8" t="s">
        <v>9350</v>
      </c>
      <c r="S6" s="8" t="s">
        <v>10675</v>
      </c>
      <c r="T6" s="8" t="s">
        <v>9349</v>
      </c>
      <c r="U6" s="8" t="s">
        <v>9350</v>
      </c>
      <c r="V6" s="8" t="s">
        <v>10698</v>
      </c>
      <c r="W6" s="200" t="s">
        <v>9349</v>
      </c>
      <c r="X6" s="200" t="s">
        <v>9350</v>
      </c>
      <c r="Y6" s="200" t="s">
        <v>10772</v>
      </c>
      <c r="Z6" s="201" t="s">
        <v>9349</v>
      </c>
      <c r="AA6" s="201" t="s">
        <v>9350</v>
      </c>
      <c r="AB6" s="201" t="s">
        <v>10777</v>
      </c>
      <c r="AC6" s="202" t="s">
        <v>9349</v>
      </c>
      <c r="AD6" s="202" t="s">
        <v>9350</v>
      </c>
      <c r="AE6" s="202" t="s">
        <v>10859</v>
      </c>
      <c r="AF6" s="205" t="s">
        <v>9349</v>
      </c>
      <c r="AG6" s="205" t="s">
        <v>9350</v>
      </c>
      <c r="AH6" s="205" t="s">
        <v>10859</v>
      </c>
      <c r="AI6" s="207" t="s">
        <v>9349</v>
      </c>
      <c r="AJ6" s="207" t="s">
        <v>9350</v>
      </c>
      <c r="AK6" s="207" t="s">
        <v>10859</v>
      </c>
      <c r="AL6" s="8" t="s">
        <v>3771</v>
      </c>
      <c r="AM6" s="8" t="s">
        <v>1598</v>
      </c>
      <c r="AN6" s="8" t="s">
        <v>3131</v>
      </c>
      <c r="AO6" s="8" t="s">
        <v>3771</v>
      </c>
      <c r="AP6" s="8" t="s">
        <v>1598</v>
      </c>
      <c r="AQ6" s="8" t="s">
        <v>3131</v>
      </c>
    </row>
    <row r="7" spans="1:43" x14ac:dyDescent="0.2">
      <c r="A7" s="20">
        <v>1</v>
      </c>
      <c r="B7" s="20">
        <v>2</v>
      </c>
      <c r="C7" s="20">
        <v>4</v>
      </c>
      <c r="D7" s="37">
        <v>5</v>
      </c>
      <c r="E7" s="37">
        <v>6</v>
      </c>
      <c r="F7" s="20">
        <v>7</v>
      </c>
      <c r="G7" s="20">
        <v>8</v>
      </c>
      <c r="H7" s="20">
        <v>9</v>
      </c>
      <c r="I7" s="60" t="s">
        <v>2385</v>
      </c>
      <c r="J7" s="60" t="s">
        <v>4047</v>
      </c>
      <c r="K7" s="20">
        <v>13</v>
      </c>
      <c r="L7" s="20">
        <v>14</v>
      </c>
      <c r="M7" s="20">
        <v>15</v>
      </c>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v>16</v>
      </c>
      <c r="AP7" s="20">
        <v>17</v>
      </c>
      <c r="AQ7" s="20">
        <v>18</v>
      </c>
    </row>
    <row r="8" spans="1:43" ht="45.75" customHeight="1" x14ac:dyDescent="0.2">
      <c r="A8" s="123">
        <v>1</v>
      </c>
      <c r="B8" s="123" t="s">
        <v>10340</v>
      </c>
      <c r="C8" s="124" t="s">
        <v>9822</v>
      </c>
      <c r="D8" s="127" t="s">
        <v>10666</v>
      </c>
      <c r="E8" s="123" t="s">
        <v>2042</v>
      </c>
      <c r="F8" s="123" t="s">
        <v>2207</v>
      </c>
      <c r="G8" s="123" t="s">
        <v>3136</v>
      </c>
      <c r="H8" s="125">
        <v>44161</v>
      </c>
      <c r="I8" s="126">
        <v>996</v>
      </c>
      <c r="J8" s="125">
        <v>44158</v>
      </c>
      <c r="K8" s="149">
        <v>1458.2</v>
      </c>
      <c r="L8" s="129">
        <v>2500</v>
      </c>
      <c r="M8" s="129">
        <f>K8*L8</f>
        <v>3645500</v>
      </c>
      <c r="N8" s="148">
        <v>183.6</v>
      </c>
      <c r="O8" s="148">
        <v>203.4</v>
      </c>
      <c r="P8" s="194">
        <v>508500</v>
      </c>
      <c r="Q8" s="148"/>
      <c r="R8" s="148"/>
      <c r="S8" s="148"/>
      <c r="T8" s="148"/>
      <c r="U8" s="148"/>
      <c r="V8" s="148">
        <v>183.6</v>
      </c>
      <c r="W8" s="148"/>
      <c r="X8" s="148"/>
      <c r="Y8" s="148"/>
      <c r="Z8" s="148"/>
      <c r="AA8" s="148"/>
      <c r="AB8" s="148"/>
      <c r="AC8" s="148"/>
      <c r="AD8" s="148"/>
      <c r="AE8" s="148">
        <v>183.6</v>
      </c>
      <c r="AF8" s="148"/>
      <c r="AG8" s="148">
        <f>AH8*L8</f>
        <v>459000</v>
      </c>
      <c r="AH8" s="148">
        <v>183.6</v>
      </c>
      <c r="AI8" s="148">
        <v>183.6</v>
      </c>
      <c r="AJ8" s="148">
        <f>AI8*L8</f>
        <v>459000</v>
      </c>
      <c r="AK8" s="148">
        <f>AH8-AI8</f>
        <v>0</v>
      </c>
      <c r="AL8" s="129" t="s">
        <v>3136</v>
      </c>
      <c r="AM8" s="125" t="s">
        <v>10596</v>
      </c>
      <c r="AN8" s="123" t="s">
        <v>10597</v>
      </c>
      <c r="AO8" s="123" t="s">
        <v>7155</v>
      </c>
      <c r="AP8" s="125">
        <v>44158</v>
      </c>
      <c r="AQ8" s="123" t="s">
        <v>10341</v>
      </c>
    </row>
    <row r="9" spans="1:43" ht="22.5" customHeight="1" x14ac:dyDescent="0.2">
      <c r="A9" s="123">
        <v>2</v>
      </c>
      <c r="B9" s="123" t="s">
        <v>10445</v>
      </c>
      <c r="C9" s="127" t="s">
        <v>9282</v>
      </c>
      <c r="D9" s="195" t="s">
        <v>10665</v>
      </c>
      <c r="E9" s="196" t="s">
        <v>2042</v>
      </c>
      <c r="F9" s="196" t="s">
        <v>2207</v>
      </c>
      <c r="G9" s="123" t="s">
        <v>3136</v>
      </c>
      <c r="H9" s="125">
        <v>44173</v>
      </c>
      <c r="I9" s="126">
        <v>1023</v>
      </c>
      <c r="J9" s="125">
        <v>44165</v>
      </c>
      <c r="K9" s="197">
        <v>693.8</v>
      </c>
      <c r="L9" s="155">
        <v>3200</v>
      </c>
      <c r="M9" s="155">
        <f>K9*L9</f>
        <v>2220160</v>
      </c>
      <c r="N9" s="148">
        <v>693.8</v>
      </c>
      <c r="O9" s="148"/>
      <c r="P9" s="194"/>
      <c r="Q9" s="156">
        <v>693.8</v>
      </c>
      <c r="R9" s="156">
        <v>2220160</v>
      </c>
      <c r="S9" s="156">
        <f>K9-Q9</f>
        <v>0</v>
      </c>
      <c r="T9" s="156"/>
      <c r="U9" s="156"/>
      <c r="V9" s="156">
        <v>0</v>
      </c>
      <c r="W9" s="156"/>
      <c r="X9" s="156"/>
      <c r="Y9" s="156"/>
      <c r="Z9" s="156"/>
      <c r="AA9" s="156"/>
      <c r="AB9" s="156"/>
      <c r="AC9" s="156"/>
      <c r="AD9" s="156"/>
      <c r="AE9" s="156">
        <v>0</v>
      </c>
      <c r="AF9" s="156"/>
      <c r="AG9" s="156"/>
      <c r="AH9" s="156"/>
      <c r="AI9" s="156"/>
      <c r="AJ9" s="156"/>
      <c r="AK9" s="156"/>
      <c r="AL9" s="129" t="s">
        <v>3136</v>
      </c>
      <c r="AM9" s="125">
        <v>44245</v>
      </c>
      <c r="AN9" s="123">
        <v>129</v>
      </c>
      <c r="AO9" s="123" t="s">
        <v>10456</v>
      </c>
      <c r="AP9" s="125">
        <v>44162</v>
      </c>
      <c r="AQ9" s="123" t="s">
        <v>10446</v>
      </c>
    </row>
    <row r="10" spans="1:43" ht="22.5" customHeight="1" x14ac:dyDescent="0.2">
      <c r="A10" s="123">
        <v>3</v>
      </c>
      <c r="B10" s="123" t="s">
        <v>10466</v>
      </c>
      <c r="C10" s="127" t="s">
        <v>10467</v>
      </c>
      <c r="D10" s="127"/>
      <c r="E10" s="196" t="s">
        <v>2042</v>
      </c>
      <c r="F10" s="196" t="s">
        <v>2207</v>
      </c>
      <c r="G10" s="123" t="s">
        <v>3136</v>
      </c>
      <c r="H10" s="125">
        <v>44183</v>
      </c>
      <c r="I10" s="126">
        <v>1062</v>
      </c>
      <c r="J10" s="125">
        <v>44172</v>
      </c>
      <c r="K10" s="197">
        <v>4996.3</v>
      </c>
      <c r="L10" s="155">
        <v>2668.5839999999998</v>
      </c>
      <c r="M10" s="155">
        <f>K10*L10</f>
        <v>13333046.2392</v>
      </c>
      <c r="N10" s="148">
        <v>1650.56</v>
      </c>
      <c r="O10" s="148">
        <v>3345.74</v>
      </c>
      <c r="P10" s="194">
        <v>8928354.8699999992</v>
      </c>
      <c r="Q10" s="156">
        <v>1650.56</v>
      </c>
      <c r="R10" s="156">
        <v>4404691.37</v>
      </c>
      <c r="S10" s="156">
        <f>Q10-N10</f>
        <v>0</v>
      </c>
      <c r="T10" s="156"/>
      <c r="U10" s="156"/>
      <c r="V10" s="156">
        <v>0</v>
      </c>
      <c r="W10" s="156"/>
      <c r="X10" s="156"/>
      <c r="Y10" s="156"/>
      <c r="Z10" s="156"/>
      <c r="AA10" s="156"/>
      <c r="AB10" s="156"/>
      <c r="AC10" s="156"/>
      <c r="AD10" s="156"/>
      <c r="AE10" s="156">
        <v>0</v>
      </c>
      <c r="AF10" s="156"/>
      <c r="AG10" s="156"/>
      <c r="AH10" s="156"/>
      <c r="AI10" s="156"/>
      <c r="AJ10" s="156"/>
      <c r="AK10" s="156"/>
      <c r="AL10" s="129" t="s">
        <v>3136</v>
      </c>
      <c r="AM10" s="125" t="s">
        <v>10683</v>
      </c>
      <c r="AN10" s="123" t="s">
        <v>10684</v>
      </c>
      <c r="AO10" s="123" t="s">
        <v>10456</v>
      </c>
      <c r="AP10" s="125">
        <v>44169</v>
      </c>
      <c r="AQ10" s="123" t="s">
        <v>10464</v>
      </c>
    </row>
    <row r="11" spans="1:43" ht="22.5" customHeight="1" x14ac:dyDescent="0.2">
      <c r="A11" s="123">
        <v>4</v>
      </c>
      <c r="B11" s="123" t="s">
        <v>10505</v>
      </c>
      <c r="C11" s="127" t="s">
        <v>9282</v>
      </c>
      <c r="D11" s="127"/>
      <c r="E11" s="196" t="s">
        <v>2042</v>
      </c>
      <c r="F11" s="196" t="s">
        <v>2207</v>
      </c>
      <c r="G11" s="123" t="s">
        <v>3136</v>
      </c>
      <c r="H11" s="125">
        <v>44193</v>
      </c>
      <c r="I11" s="126">
        <v>1112</v>
      </c>
      <c r="J11" s="125">
        <v>44183</v>
      </c>
      <c r="K11" s="197">
        <v>1187.3499999999999</v>
      </c>
      <c r="L11" s="155">
        <v>2784</v>
      </c>
      <c r="M11" s="155">
        <f>K11*L11</f>
        <v>3305582.4</v>
      </c>
      <c r="N11" s="148">
        <v>977.35</v>
      </c>
      <c r="O11" s="148">
        <v>210</v>
      </c>
      <c r="P11" s="194">
        <v>584640</v>
      </c>
      <c r="Q11" s="156">
        <v>977.35</v>
      </c>
      <c r="R11" s="156">
        <v>2720942.4</v>
      </c>
      <c r="S11" s="156">
        <f>Q11-N11</f>
        <v>0</v>
      </c>
      <c r="T11" s="156"/>
      <c r="U11" s="156"/>
      <c r="V11" s="156">
        <v>0</v>
      </c>
      <c r="W11" s="156"/>
      <c r="X11" s="156"/>
      <c r="Y11" s="156"/>
      <c r="Z11" s="156"/>
      <c r="AA11" s="156"/>
      <c r="AB11" s="156"/>
      <c r="AC11" s="156"/>
      <c r="AD11" s="156"/>
      <c r="AE11" s="156">
        <v>0</v>
      </c>
      <c r="AF11" s="156"/>
      <c r="AG11" s="156"/>
      <c r="AH11" s="156"/>
      <c r="AI11" s="156"/>
      <c r="AJ11" s="156"/>
      <c r="AK11" s="156"/>
      <c r="AL11" s="129" t="s">
        <v>3136</v>
      </c>
      <c r="AM11" s="125" t="s">
        <v>10683</v>
      </c>
      <c r="AN11" s="123" t="s">
        <v>10684</v>
      </c>
      <c r="AO11" s="123" t="s">
        <v>10456</v>
      </c>
      <c r="AP11" s="125">
        <v>44158</v>
      </c>
      <c r="AQ11" s="123" t="s">
        <v>10547</v>
      </c>
    </row>
    <row r="12" spans="1:43" ht="22.5" customHeight="1" x14ac:dyDescent="0.2">
      <c r="A12" s="123">
        <v>5</v>
      </c>
      <c r="B12" s="123" t="s">
        <v>10593</v>
      </c>
      <c r="C12" s="127" t="s">
        <v>10467</v>
      </c>
      <c r="D12" s="127"/>
      <c r="E12" s="196" t="s">
        <v>2042</v>
      </c>
      <c r="F12" s="196" t="s">
        <v>2207</v>
      </c>
      <c r="G12" s="123" t="s">
        <v>3136</v>
      </c>
      <c r="H12" s="125">
        <v>44195</v>
      </c>
      <c r="I12" s="126">
        <v>1136</v>
      </c>
      <c r="J12" s="125">
        <v>44195</v>
      </c>
      <c r="K12" s="197">
        <v>927.18399999999997</v>
      </c>
      <c r="L12" s="155">
        <f>M12/K12</f>
        <v>2668.58294577991</v>
      </c>
      <c r="M12" s="155">
        <v>2474267.41</v>
      </c>
      <c r="N12" s="148"/>
      <c r="O12" s="148"/>
      <c r="P12" s="148"/>
      <c r="Q12" s="197">
        <v>927.18399999999997</v>
      </c>
      <c r="R12" s="155">
        <v>2474267.41</v>
      </c>
      <c r="S12" s="156">
        <f>K12-Q12</f>
        <v>0</v>
      </c>
      <c r="T12" s="156"/>
      <c r="U12" s="156"/>
      <c r="V12" s="156">
        <v>0</v>
      </c>
      <c r="W12" s="156"/>
      <c r="X12" s="156"/>
      <c r="Y12" s="156"/>
      <c r="Z12" s="156"/>
      <c r="AA12" s="156"/>
      <c r="AB12" s="156"/>
      <c r="AC12" s="156"/>
      <c r="AD12" s="156"/>
      <c r="AE12" s="156">
        <v>0</v>
      </c>
      <c r="AF12" s="156"/>
      <c r="AG12" s="156"/>
      <c r="AH12" s="156"/>
      <c r="AI12" s="156"/>
      <c r="AJ12" s="156"/>
      <c r="AK12" s="156"/>
      <c r="AL12" s="129" t="s">
        <v>3136</v>
      </c>
      <c r="AM12" s="125">
        <v>44245</v>
      </c>
      <c r="AN12" s="123">
        <v>129</v>
      </c>
      <c r="AO12" s="123" t="s">
        <v>10456</v>
      </c>
      <c r="AP12" s="125">
        <v>44169</v>
      </c>
      <c r="AQ12" s="123" t="s">
        <v>10464</v>
      </c>
    </row>
    <row r="13" spans="1:43" ht="22.5" customHeight="1" x14ac:dyDescent="0.2">
      <c r="A13" s="123">
        <v>6</v>
      </c>
      <c r="B13" s="123" t="s">
        <v>10594</v>
      </c>
      <c r="C13" s="127" t="s">
        <v>10467</v>
      </c>
      <c r="D13" s="127"/>
      <c r="E13" s="196" t="s">
        <v>2042</v>
      </c>
      <c r="F13" s="196" t="s">
        <v>2207</v>
      </c>
      <c r="G13" s="123" t="s">
        <v>3136</v>
      </c>
      <c r="H13" s="125">
        <v>44215</v>
      </c>
      <c r="I13" s="126">
        <v>13</v>
      </c>
      <c r="J13" s="125">
        <v>43841</v>
      </c>
      <c r="K13" s="197">
        <v>1091.75</v>
      </c>
      <c r="L13" s="155">
        <f>M13/K13</f>
        <v>2668.5800045798032</v>
      </c>
      <c r="M13" s="155">
        <v>2913422.22</v>
      </c>
      <c r="N13" s="148"/>
      <c r="O13" s="148"/>
      <c r="P13" s="148"/>
      <c r="Q13" s="156">
        <v>1091.75</v>
      </c>
      <c r="R13" s="156">
        <v>2913422.22</v>
      </c>
      <c r="S13" s="156">
        <f>K13-Q13</f>
        <v>0</v>
      </c>
      <c r="T13" s="156"/>
      <c r="U13" s="156"/>
      <c r="V13" s="156">
        <v>0</v>
      </c>
      <c r="W13" s="156"/>
      <c r="X13" s="156"/>
      <c r="Y13" s="156"/>
      <c r="Z13" s="156"/>
      <c r="AA13" s="156"/>
      <c r="AB13" s="156"/>
      <c r="AC13" s="156"/>
      <c r="AD13" s="156"/>
      <c r="AE13" s="156">
        <v>0</v>
      </c>
      <c r="AF13" s="156"/>
      <c r="AG13" s="156"/>
      <c r="AH13" s="156"/>
      <c r="AI13" s="156"/>
      <c r="AJ13" s="156"/>
      <c r="AK13" s="156"/>
      <c r="AL13" s="129" t="s">
        <v>3136</v>
      </c>
      <c r="AM13" s="125">
        <v>44245</v>
      </c>
      <c r="AN13" s="123">
        <v>129</v>
      </c>
      <c r="AO13" s="123" t="s">
        <v>10456</v>
      </c>
      <c r="AP13" s="125">
        <v>44169</v>
      </c>
      <c r="AQ13" s="123" t="s">
        <v>10464</v>
      </c>
    </row>
    <row r="14" spans="1:43" ht="22.5" customHeight="1" x14ac:dyDescent="0.2">
      <c r="A14" s="123">
        <v>7</v>
      </c>
      <c r="B14" s="123" t="s">
        <v>10662</v>
      </c>
      <c r="C14" s="127" t="s">
        <v>10467</v>
      </c>
      <c r="D14" s="127"/>
      <c r="E14" s="123" t="s">
        <v>2042</v>
      </c>
      <c r="F14" s="123" t="s">
        <v>2207</v>
      </c>
      <c r="G14" s="123" t="s">
        <v>3136</v>
      </c>
      <c r="H14" s="125">
        <v>44228</v>
      </c>
      <c r="I14" s="126">
        <v>51</v>
      </c>
      <c r="J14" s="125">
        <v>44216</v>
      </c>
      <c r="K14" s="130">
        <v>3949.7660000000001</v>
      </c>
      <c r="L14" s="155">
        <f>M14/K14</f>
        <v>2668.5799994227509</v>
      </c>
      <c r="M14" s="129">
        <v>10540266.550000001</v>
      </c>
      <c r="N14" s="129"/>
      <c r="O14" s="148"/>
      <c r="P14" s="148"/>
      <c r="Q14" s="148">
        <v>3949.7660000000001</v>
      </c>
      <c r="R14" s="148">
        <v>10540266.550000001</v>
      </c>
      <c r="S14" s="148">
        <f>K14-Q14</f>
        <v>0</v>
      </c>
      <c r="T14" s="148"/>
      <c r="U14" s="148"/>
      <c r="V14" s="148">
        <v>0</v>
      </c>
      <c r="W14" s="148"/>
      <c r="X14" s="148"/>
      <c r="Y14" s="148"/>
      <c r="Z14" s="148"/>
      <c r="AA14" s="148"/>
      <c r="AB14" s="148"/>
      <c r="AC14" s="148"/>
      <c r="AD14" s="148"/>
      <c r="AE14" s="148">
        <v>0</v>
      </c>
      <c r="AF14" s="148"/>
      <c r="AG14" s="148"/>
      <c r="AH14" s="148"/>
      <c r="AI14" s="148"/>
      <c r="AJ14" s="148"/>
      <c r="AK14" s="148"/>
      <c r="AL14" s="129" t="s">
        <v>3136</v>
      </c>
      <c r="AM14" s="125">
        <v>44245</v>
      </c>
      <c r="AN14" s="123">
        <v>129</v>
      </c>
      <c r="AO14" s="123" t="s">
        <v>10456</v>
      </c>
      <c r="AP14" s="125">
        <v>44210</v>
      </c>
      <c r="AQ14" s="123" t="s">
        <v>10676</v>
      </c>
    </row>
    <row r="15" spans="1:43" ht="22.5" customHeight="1" x14ac:dyDescent="0.2">
      <c r="A15" s="123">
        <v>8</v>
      </c>
      <c r="B15" s="123" t="s">
        <v>10663</v>
      </c>
      <c r="C15" s="127" t="s">
        <v>9367</v>
      </c>
      <c r="D15" s="127" t="s">
        <v>10664</v>
      </c>
      <c r="E15" s="123" t="s">
        <v>2042</v>
      </c>
      <c r="F15" s="123" t="s">
        <v>2207</v>
      </c>
      <c r="G15" s="123" t="s">
        <v>3136</v>
      </c>
      <c r="H15" s="125">
        <v>44228</v>
      </c>
      <c r="I15" s="126">
        <v>51</v>
      </c>
      <c r="J15" s="190">
        <v>44217</v>
      </c>
      <c r="K15" s="197">
        <v>3931.45</v>
      </c>
      <c r="L15" s="155">
        <f>M15/K15</f>
        <v>3700</v>
      </c>
      <c r="M15" s="155">
        <v>14546365</v>
      </c>
      <c r="N15" s="155"/>
      <c r="O15" s="156"/>
      <c r="P15" s="156"/>
      <c r="Q15" s="156">
        <v>2061.62</v>
      </c>
      <c r="R15" s="156">
        <v>7627994</v>
      </c>
      <c r="S15" s="156">
        <f>K15-Q15</f>
        <v>1869.83</v>
      </c>
      <c r="T15" s="156">
        <v>1869.83</v>
      </c>
      <c r="U15" s="156">
        <f>T15*L15</f>
        <v>6918371</v>
      </c>
      <c r="V15" s="156">
        <v>0</v>
      </c>
      <c r="W15" s="156"/>
      <c r="X15" s="156"/>
      <c r="Y15" s="156"/>
      <c r="Z15" s="156"/>
      <c r="AA15" s="156"/>
      <c r="AB15" s="156"/>
      <c r="AC15" s="156"/>
      <c r="AD15" s="156"/>
      <c r="AE15" s="156">
        <v>0</v>
      </c>
      <c r="AF15" s="156"/>
      <c r="AG15" s="156"/>
      <c r="AH15" s="156"/>
      <c r="AI15" s="156"/>
      <c r="AJ15" s="156"/>
      <c r="AK15" s="156"/>
      <c r="AL15" s="129" t="s">
        <v>3136</v>
      </c>
      <c r="AM15" s="190">
        <v>44245</v>
      </c>
      <c r="AN15" s="123">
        <v>129</v>
      </c>
      <c r="AO15" s="123" t="s">
        <v>10456</v>
      </c>
      <c r="AP15" s="125">
        <v>44214</v>
      </c>
      <c r="AQ15" s="123" t="s">
        <v>10677</v>
      </c>
    </row>
    <row r="16" spans="1:43" ht="22.5" customHeight="1" x14ac:dyDescent="0.2">
      <c r="A16" s="123">
        <v>9</v>
      </c>
      <c r="B16" s="123" t="s">
        <v>10753</v>
      </c>
      <c r="C16" s="127" t="s">
        <v>10754</v>
      </c>
      <c r="D16" s="127"/>
      <c r="E16" s="123" t="s">
        <v>2042</v>
      </c>
      <c r="F16" s="123" t="s">
        <v>2207</v>
      </c>
      <c r="G16" s="123" t="s">
        <v>3136</v>
      </c>
      <c r="H16" s="125">
        <v>44313</v>
      </c>
      <c r="I16" s="126">
        <v>319</v>
      </c>
      <c r="J16" s="125">
        <v>44312</v>
      </c>
      <c r="K16" s="130">
        <v>15693.15</v>
      </c>
      <c r="L16" s="129">
        <v>3700</v>
      </c>
      <c r="M16" s="129">
        <f>K16*L16</f>
        <v>58064655</v>
      </c>
      <c r="N16" s="129"/>
      <c r="O16" s="148"/>
      <c r="P16" s="148"/>
      <c r="Q16" s="148"/>
      <c r="R16" s="148"/>
      <c r="S16" s="148"/>
      <c r="T16" s="148"/>
      <c r="U16" s="148"/>
      <c r="V16" s="148"/>
      <c r="W16" s="148">
        <v>13438.61</v>
      </c>
      <c r="X16" s="148">
        <f>W16*L16</f>
        <v>49722857</v>
      </c>
      <c r="Y16" s="148">
        <f>K16-W16</f>
        <v>2254.5399999999991</v>
      </c>
      <c r="Z16" s="148">
        <v>2254.54</v>
      </c>
      <c r="AA16" s="148">
        <f>L16*Z16</f>
        <v>8341798</v>
      </c>
      <c r="AB16" s="148">
        <f>Y16-Z16</f>
        <v>0</v>
      </c>
      <c r="AC16" s="148"/>
      <c r="AD16" s="148"/>
      <c r="AE16" s="148">
        <v>0</v>
      </c>
      <c r="AF16" s="148"/>
      <c r="AG16" s="148"/>
      <c r="AH16" s="148"/>
      <c r="AI16" s="148"/>
      <c r="AJ16" s="148"/>
      <c r="AK16" s="148"/>
      <c r="AL16" s="129" t="s">
        <v>3136</v>
      </c>
      <c r="AM16" s="125">
        <v>44334</v>
      </c>
      <c r="AN16" s="123">
        <v>363</v>
      </c>
      <c r="AO16" s="123" t="s">
        <v>10456</v>
      </c>
      <c r="AP16" s="125">
        <v>44312</v>
      </c>
      <c r="AQ16" s="123" t="s">
        <v>10770</v>
      </c>
    </row>
    <row r="17" spans="1:43" ht="30.75" customHeight="1" x14ac:dyDescent="0.2">
      <c r="A17" s="123">
        <v>10</v>
      </c>
      <c r="B17" s="123" t="s">
        <v>10763</v>
      </c>
      <c r="C17" s="127" t="s">
        <v>10754</v>
      </c>
      <c r="D17" s="127"/>
      <c r="E17" s="123" t="s">
        <v>2042</v>
      </c>
      <c r="F17" s="123" t="s">
        <v>2207</v>
      </c>
      <c r="G17" s="123" t="s">
        <v>3136</v>
      </c>
      <c r="H17" s="125">
        <v>44316</v>
      </c>
      <c r="I17" s="126">
        <v>340</v>
      </c>
      <c r="J17" s="125">
        <v>44314</v>
      </c>
      <c r="K17" s="130">
        <v>2070</v>
      </c>
      <c r="L17" s="129">
        <v>4400</v>
      </c>
      <c r="M17" s="129">
        <f>K17*L17</f>
        <v>9108000</v>
      </c>
      <c r="N17" s="129"/>
      <c r="O17" s="148"/>
      <c r="P17" s="148"/>
      <c r="Q17" s="148"/>
      <c r="R17" s="148"/>
      <c r="S17" s="148"/>
      <c r="T17" s="148"/>
      <c r="U17" s="148"/>
      <c r="V17" s="148"/>
      <c r="W17" s="148"/>
      <c r="X17" s="148"/>
      <c r="Y17" s="148"/>
      <c r="Z17" s="148"/>
      <c r="AA17" s="148"/>
      <c r="AB17" s="148"/>
      <c r="AC17" s="148">
        <v>2070</v>
      </c>
      <c r="AD17" s="148">
        <f>AC17*L17</f>
        <v>9108000</v>
      </c>
      <c r="AE17" s="148">
        <v>0</v>
      </c>
      <c r="AF17" s="148"/>
      <c r="AG17" s="148"/>
      <c r="AH17" s="148"/>
      <c r="AI17" s="148"/>
      <c r="AJ17" s="148"/>
      <c r="AK17" s="148"/>
      <c r="AL17" s="129" t="s">
        <v>3136</v>
      </c>
      <c r="AM17" s="125" t="s">
        <v>10864</v>
      </c>
      <c r="AN17" s="123" t="s">
        <v>10863</v>
      </c>
      <c r="AO17" s="123" t="s">
        <v>10456</v>
      </c>
      <c r="AP17" s="125">
        <v>44314</v>
      </c>
      <c r="AQ17" s="123" t="s">
        <v>10764</v>
      </c>
    </row>
    <row r="18" spans="1:43" ht="24.75" customHeight="1" x14ac:dyDescent="0.2">
      <c r="A18" s="123">
        <v>11</v>
      </c>
      <c r="B18" s="123" t="s">
        <v>10773</v>
      </c>
      <c r="C18" s="127" t="s">
        <v>10754</v>
      </c>
      <c r="D18" s="127"/>
      <c r="E18" s="123" t="s">
        <v>2042</v>
      </c>
      <c r="F18" s="123" t="s">
        <v>2207</v>
      </c>
      <c r="G18" s="123" t="s">
        <v>3136</v>
      </c>
      <c r="H18" s="125">
        <v>44336</v>
      </c>
      <c r="I18" s="126">
        <v>378</v>
      </c>
      <c r="J18" s="190">
        <v>44333</v>
      </c>
      <c r="K18" s="197">
        <v>1038.7</v>
      </c>
      <c r="L18" s="155">
        <f t="shared" ref="L18:L31" si="0">M18/K18</f>
        <v>2950</v>
      </c>
      <c r="M18" s="155">
        <v>3064165</v>
      </c>
      <c r="N18" s="155"/>
      <c r="O18" s="156"/>
      <c r="P18" s="156"/>
      <c r="Q18" s="156"/>
      <c r="R18" s="156"/>
      <c r="S18" s="156"/>
      <c r="T18" s="156"/>
      <c r="U18" s="156"/>
      <c r="V18" s="156"/>
      <c r="W18" s="156"/>
      <c r="X18" s="156"/>
      <c r="Y18" s="156"/>
      <c r="Z18" s="156"/>
      <c r="AA18" s="156"/>
      <c r="AB18" s="156"/>
      <c r="AC18" s="156">
        <v>1038.7</v>
      </c>
      <c r="AD18" s="156">
        <f>AC18*L18</f>
        <v>3064165</v>
      </c>
      <c r="AE18" s="156">
        <v>0</v>
      </c>
      <c r="AF18" s="156"/>
      <c r="AG18" s="156"/>
      <c r="AH18" s="156"/>
      <c r="AI18" s="156"/>
      <c r="AJ18" s="156"/>
      <c r="AK18" s="156"/>
      <c r="AL18" s="129" t="s">
        <v>3136</v>
      </c>
      <c r="AM18" s="190" t="s">
        <v>10865</v>
      </c>
      <c r="AN18" s="191" t="s">
        <v>10862</v>
      </c>
      <c r="AO18" s="123" t="s">
        <v>10456</v>
      </c>
      <c r="AP18" s="125" t="s">
        <v>10774</v>
      </c>
      <c r="AQ18" s="123" t="s">
        <v>10775</v>
      </c>
    </row>
    <row r="19" spans="1:43" ht="29.25" customHeight="1" x14ac:dyDescent="0.2">
      <c r="A19" s="123">
        <v>12</v>
      </c>
      <c r="B19" s="123" t="s">
        <v>10776</v>
      </c>
      <c r="C19" s="127" t="s">
        <v>10754</v>
      </c>
      <c r="D19" s="127"/>
      <c r="E19" s="123" t="s">
        <v>2042</v>
      </c>
      <c r="F19" s="123" t="s">
        <v>2207</v>
      </c>
      <c r="G19" s="123" t="s">
        <v>3136</v>
      </c>
      <c r="H19" s="125">
        <v>44336</v>
      </c>
      <c r="I19" s="126">
        <v>378</v>
      </c>
      <c r="J19" s="190">
        <v>44333</v>
      </c>
      <c r="K19" s="197">
        <v>1257.95</v>
      </c>
      <c r="L19" s="155">
        <f t="shared" si="0"/>
        <v>2950</v>
      </c>
      <c r="M19" s="155">
        <v>3710952.5</v>
      </c>
      <c r="N19" s="155"/>
      <c r="O19" s="156"/>
      <c r="P19" s="156"/>
      <c r="Q19" s="156"/>
      <c r="R19" s="156"/>
      <c r="S19" s="156"/>
      <c r="T19" s="156"/>
      <c r="U19" s="156"/>
      <c r="V19" s="156"/>
      <c r="W19" s="156"/>
      <c r="X19" s="156"/>
      <c r="Y19" s="156"/>
      <c r="Z19" s="156"/>
      <c r="AA19" s="156"/>
      <c r="AB19" s="156"/>
      <c r="AC19" s="156">
        <v>708.28</v>
      </c>
      <c r="AD19" s="156">
        <f>AC19*L19</f>
        <v>2089426</v>
      </c>
      <c r="AE19" s="156">
        <f>K19-AC19</f>
        <v>549.67000000000007</v>
      </c>
      <c r="AF19" s="156">
        <v>549.66999999999996</v>
      </c>
      <c r="AG19" s="156">
        <f>AE19*L19</f>
        <v>1621526.5000000002</v>
      </c>
      <c r="AH19" s="156">
        <f>AE19-AF19</f>
        <v>0</v>
      </c>
      <c r="AI19" s="156"/>
      <c r="AJ19" s="156"/>
      <c r="AK19" s="156"/>
      <c r="AL19" s="129" t="s">
        <v>3136</v>
      </c>
      <c r="AM19" s="190" t="s">
        <v>10940</v>
      </c>
      <c r="AN19" s="191" t="s">
        <v>10941</v>
      </c>
      <c r="AO19" s="123" t="s">
        <v>10456</v>
      </c>
      <c r="AP19" s="125" t="s">
        <v>10774</v>
      </c>
      <c r="AQ19" s="123" t="s">
        <v>10775</v>
      </c>
    </row>
    <row r="20" spans="1:43" ht="22.5" customHeight="1" x14ac:dyDescent="0.2">
      <c r="A20" s="123">
        <v>13</v>
      </c>
      <c r="B20" s="123" t="s">
        <v>10856</v>
      </c>
      <c r="C20" s="127" t="s">
        <v>10754</v>
      </c>
      <c r="D20" s="127"/>
      <c r="E20" s="123" t="s">
        <v>2042</v>
      </c>
      <c r="F20" s="123" t="s">
        <v>2207</v>
      </c>
      <c r="G20" s="123" t="s">
        <v>3136</v>
      </c>
      <c r="H20" s="125">
        <v>44369</v>
      </c>
      <c r="I20" s="126">
        <v>464</v>
      </c>
      <c r="J20" s="125">
        <v>44358</v>
      </c>
      <c r="K20" s="130">
        <v>969.4</v>
      </c>
      <c r="L20" s="129">
        <f t="shared" si="0"/>
        <v>2950</v>
      </c>
      <c r="M20" s="129">
        <v>2859730</v>
      </c>
      <c r="N20" s="129"/>
      <c r="O20" s="148"/>
      <c r="P20" s="148"/>
      <c r="Q20" s="148"/>
      <c r="R20" s="148"/>
      <c r="S20" s="148"/>
      <c r="T20" s="148"/>
      <c r="U20" s="148"/>
      <c r="V20" s="148"/>
      <c r="W20" s="148"/>
      <c r="X20" s="148"/>
      <c r="Y20" s="148"/>
      <c r="Z20" s="148"/>
      <c r="AA20" s="148"/>
      <c r="AB20" s="148"/>
      <c r="AC20" s="148"/>
      <c r="AD20" s="148"/>
      <c r="AE20" s="148">
        <v>969.4</v>
      </c>
      <c r="AF20" s="148">
        <v>969.4</v>
      </c>
      <c r="AG20" s="148">
        <f>AF20*L20</f>
        <v>2859730</v>
      </c>
      <c r="AH20" s="148">
        <f>AE20-AF20</f>
        <v>0</v>
      </c>
      <c r="AI20" s="148"/>
      <c r="AJ20" s="148"/>
      <c r="AK20" s="148"/>
      <c r="AL20" s="129" t="s">
        <v>3136</v>
      </c>
      <c r="AM20" s="125">
        <v>44390</v>
      </c>
      <c r="AN20" s="123">
        <v>523</v>
      </c>
      <c r="AO20" s="123" t="s">
        <v>10456</v>
      </c>
      <c r="AP20" s="125" t="s">
        <v>10774</v>
      </c>
      <c r="AQ20" s="123" t="s">
        <v>10775</v>
      </c>
    </row>
    <row r="21" spans="1:43" ht="22.5" customHeight="1" x14ac:dyDescent="0.2">
      <c r="A21" s="123">
        <v>14</v>
      </c>
      <c r="B21" s="123" t="s">
        <v>10860</v>
      </c>
      <c r="C21" s="127" t="s">
        <v>10861</v>
      </c>
      <c r="D21" s="127"/>
      <c r="E21" s="123" t="s">
        <v>2042</v>
      </c>
      <c r="F21" s="123" t="s">
        <v>2207</v>
      </c>
      <c r="G21" s="123" t="s">
        <v>3136</v>
      </c>
      <c r="H21" s="125">
        <v>44375</v>
      </c>
      <c r="I21" s="126">
        <v>486</v>
      </c>
      <c r="J21" s="125">
        <v>44368</v>
      </c>
      <c r="K21" s="130">
        <v>867.39</v>
      </c>
      <c r="L21" s="129">
        <f t="shared" si="0"/>
        <v>2250</v>
      </c>
      <c r="M21" s="129">
        <v>1951627.5</v>
      </c>
      <c r="N21" s="129"/>
      <c r="O21" s="148"/>
      <c r="P21" s="148"/>
      <c r="Q21" s="148"/>
      <c r="R21" s="148"/>
      <c r="S21" s="148"/>
      <c r="T21" s="148"/>
      <c r="U21" s="148"/>
      <c r="V21" s="148"/>
      <c r="W21" s="148"/>
      <c r="X21" s="148"/>
      <c r="Y21" s="148"/>
      <c r="Z21" s="148"/>
      <c r="AA21" s="148"/>
      <c r="AB21" s="148"/>
      <c r="AC21" s="148"/>
      <c r="AD21" s="148"/>
      <c r="AE21" s="148">
        <v>867.39</v>
      </c>
      <c r="AF21" s="148">
        <v>867.39</v>
      </c>
      <c r="AG21" s="148">
        <f>AF21*L21</f>
        <v>1951627.5</v>
      </c>
      <c r="AH21" s="148">
        <f>AE21-AF21</f>
        <v>0</v>
      </c>
      <c r="AI21" s="148"/>
      <c r="AJ21" s="148"/>
      <c r="AK21" s="148"/>
      <c r="AL21" s="129" t="s">
        <v>3136</v>
      </c>
      <c r="AM21" s="125">
        <v>44390</v>
      </c>
      <c r="AN21" s="123">
        <v>523</v>
      </c>
      <c r="AO21" s="123" t="s">
        <v>10456</v>
      </c>
      <c r="AP21" s="125">
        <v>44358</v>
      </c>
      <c r="AQ21" s="123" t="s">
        <v>10873</v>
      </c>
    </row>
    <row r="22" spans="1:43" ht="64.5" customHeight="1" x14ac:dyDescent="0.2">
      <c r="A22" s="123">
        <v>1</v>
      </c>
      <c r="B22" s="123" t="s">
        <v>11264</v>
      </c>
      <c r="C22" s="127" t="s">
        <v>11266</v>
      </c>
      <c r="D22" s="208" t="s">
        <v>11265</v>
      </c>
      <c r="E22" s="123" t="s">
        <v>2042</v>
      </c>
      <c r="F22" s="123" t="s">
        <v>2207</v>
      </c>
      <c r="G22" s="123" t="s">
        <v>3136</v>
      </c>
      <c r="H22" s="125">
        <v>44530</v>
      </c>
      <c r="I22" s="126">
        <v>875</v>
      </c>
      <c r="J22" s="125">
        <v>44529</v>
      </c>
      <c r="K22" s="130">
        <v>2928.25</v>
      </c>
      <c r="L22" s="129">
        <f t="shared" si="0"/>
        <v>5620</v>
      </c>
      <c r="M22" s="129">
        <v>16456765</v>
      </c>
      <c r="N22" s="129"/>
      <c r="O22" s="148"/>
      <c r="P22" s="148"/>
      <c r="Q22" s="148"/>
      <c r="R22" s="148"/>
      <c r="S22" s="148"/>
      <c r="T22" s="148"/>
      <c r="U22" s="148"/>
      <c r="V22" s="148"/>
      <c r="W22" s="148"/>
      <c r="X22" s="148"/>
      <c r="Y22" s="148"/>
      <c r="Z22" s="148"/>
      <c r="AA22" s="148"/>
      <c r="AB22" s="148"/>
      <c r="AC22" s="148"/>
      <c r="AD22" s="148"/>
      <c r="AE22" s="148"/>
      <c r="AF22" s="148"/>
      <c r="AG22" s="148"/>
      <c r="AH22" s="148"/>
      <c r="AI22" s="148">
        <v>2928.25</v>
      </c>
      <c r="AJ22" s="148">
        <f>AI22*L22</f>
        <v>16456765</v>
      </c>
      <c r="AK22" s="148">
        <v>0</v>
      </c>
      <c r="AL22" s="129" t="s">
        <v>3136</v>
      </c>
      <c r="AM22" s="125">
        <v>44530</v>
      </c>
      <c r="AN22" s="123">
        <v>875</v>
      </c>
      <c r="AO22" s="123" t="s">
        <v>10456</v>
      </c>
      <c r="AP22" s="125">
        <v>44524</v>
      </c>
      <c r="AQ22" s="123" t="s">
        <v>11326</v>
      </c>
    </row>
    <row r="23" spans="1:43" ht="64.5" customHeight="1" x14ac:dyDescent="0.2">
      <c r="A23" s="206">
        <v>2</v>
      </c>
      <c r="B23" s="196" t="s">
        <v>11339</v>
      </c>
      <c r="C23" s="209" t="s">
        <v>11266</v>
      </c>
      <c r="D23" s="210" t="s">
        <v>11265</v>
      </c>
      <c r="E23" s="196" t="s">
        <v>2042</v>
      </c>
      <c r="F23" s="196" t="s">
        <v>2207</v>
      </c>
      <c r="G23" s="196" t="s">
        <v>3136</v>
      </c>
      <c r="H23" s="211">
        <v>44543</v>
      </c>
      <c r="I23" s="212">
        <v>918</v>
      </c>
      <c r="J23" s="211">
        <v>44536</v>
      </c>
      <c r="K23" s="213">
        <v>2991.3</v>
      </c>
      <c r="L23" s="214">
        <f t="shared" si="0"/>
        <v>5620</v>
      </c>
      <c r="M23" s="214">
        <v>16811106</v>
      </c>
      <c r="N23" s="214"/>
      <c r="O23" s="215"/>
      <c r="P23" s="215"/>
      <c r="Q23" s="215"/>
      <c r="R23" s="215"/>
      <c r="S23" s="215"/>
      <c r="T23" s="215"/>
      <c r="U23" s="215"/>
      <c r="V23" s="215"/>
      <c r="W23" s="215"/>
      <c r="X23" s="215"/>
      <c r="Y23" s="215"/>
      <c r="Z23" s="215"/>
      <c r="AA23" s="215"/>
      <c r="AB23" s="215"/>
      <c r="AC23" s="215"/>
      <c r="AD23" s="215"/>
      <c r="AE23" s="215"/>
      <c r="AF23" s="215"/>
      <c r="AG23" s="215"/>
      <c r="AH23" s="156"/>
      <c r="AI23" s="156">
        <v>2991.3</v>
      </c>
      <c r="AJ23" s="156">
        <f>AI23*L23</f>
        <v>16811106</v>
      </c>
      <c r="AK23" s="156">
        <v>0</v>
      </c>
      <c r="AL23" s="129" t="s">
        <v>3136</v>
      </c>
      <c r="AM23" s="190">
        <v>44543</v>
      </c>
      <c r="AN23" s="191">
        <v>918</v>
      </c>
      <c r="AO23" s="123" t="s">
        <v>10456</v>
      </c>
      <c r="AP23" s="125">
        <v>44524</v>
      </c>
      <c r="AQ23" s="123" t="s">
        <v>11340</v>
      </c>
    </row>
    <row r="24" spans="1:43" ht="64.5" customHeight="1" x14ac:dyDescent="0.2">
      <c r="A24" s="123">
        <v>3</v>
      </c>
      <c r="B24" s="123" t="s">
        <v>11380</v>
      </c>
      <c r="C24" s="127" t="s">
        <v>11382</v>
      </c>
      <c r="D24" s="208" t="s">
        <v>11383</v>
      </c>
      <c r="E24" s="123" t="s">
        <v>2042</v>
      </c>
      <c r="F24" s="123" t="s">
        <v>2207</v>
      </c>
      <c r="G24" s="123" t="s">
        <v>3136</v>
      </c>
      <c r="H24" s="125">
        <v>44554</v>
      </c>
      <c r="I24" s="126">
        <v>974</v>
      </c>
      <c r="J24" s="125">
        <v>44550</v>
      </c>
      <c r="K24" s="130">
        <v>2979.3</v>
      </c>
      <c r="L24" s="129">
        <f t="shared" si="0"/>
        <v>5620</v>
      </c>
      <c r="M24" s="129">
        <v>16743666</v>
      </c>
      <c r="N24" s="129"/>
      <c r="O24" s="148"/>
      <c r="P24" s="148"/>
      <c r="Q24" s="148"/>
      <c r="R24" s="148"/>
      <c r="S24" s="148"/>
      <c r="T24" s="148"/>
      <c r="U24" s="148"/>
      <c r="V24" s="148"/>
      <c r="W24" s="148"/>
      <c r="X24" s="148"/>
      <c r="Y24" s="148"/>
      <c r="Z24" s="148"/>
      <c r="AA24" s="148"/>
      <c r="AB24" s="148"/>
      <c r="AC24" s="148"/>
      <c r="AD24" s="148"/>
      <c r="AE24" s="148"/>
      <c r="AF24" s="148"/>
      <c r="AG24" s="148"/>
      <c r="AH24" s="156"/>
      <c r="AI24" s="156">
        <v>2979.3</v>
      </c>
      <c r="AJ24" s="156">
        <f>AI24*L24</f>
        <v>16743666.000000002</v>
      </c>
      <c r="AK24" s="156">
        <v>0</v>
      </c>
      <c r="AL24" s="129" t="s">
        <v>3136</v>
      </c>
      <c r="AM24" s="190">
        <v>44554</v>
      </c>
      <c r="AN24" s="191">
        <v>974</v>
      </c>
      <c r="AO24" s="123" t="s">
        <v>10456</v>
      </c>
      <c r="AP24" s="125">
        <v>44524</v>
      </c>
      <c r="AQ24" s="123" t="s">
        <v>11340</v>
      </c>
    </row>
    <row r="25" spans="1:43" ht="64.5" customHeight="1" x14ac:dyDescent="0.2">
      <c r="A25" s="123">
        <v>4</v>
      </c>
      <c r="B25" s="123" t="s">
        <v>11385</v>
      </c>
      <c r="C25" s="127" t="s">
        <v>11381</v>
      </c>
      <c r="D25" s="208" t="s">
        <v>11381</v>
      </c>
      <c r="E25" s="123" t="s">
        <v>2042</v>
      </c>
      <c r="F25" s="123" t="s">
        <v>2207</v>
      </c>
      <c r="G25" s="123" t="s">
        <v>3136</v>
      </c>
      <c r="H25" s="125">
        <v>44557</v>
      </c>
      <c r="I25" s="126">
        <v>978</v>
      </c>
      <c r="J25" s="125">
        <v>44550</v>
      </c>
      <c r="K25" s="130">
        <v>1462.5</v>
      </c>
      <c r="L25" s="129">
        <f t="shared" si="0"/>
        <v>11400</v>
      </c>
      <c r="M25" s="129">
        <v>16672500</v>
      </c>
      <c r="N25" s="155"/>
      <c r="O25" s="156"/>
      <c r="P25" s="156"/>
      <c r="Q25" s="156"/>
      <c r="R25" s="156"/>
      <c r="S25" s="156"/>
      <c r="T25" s="156"/>
      <c r="U25" s="156"/>
      <c r="V25" s="156"/>
      <c r="W25" s="156"/>
      <c r="X25" s="156"/>
      <c r="Y25" s="156"/>
      <c r="Z25" s="156"/>
      <c r="AA25" s="156"/>
      <c r="AB25" s="156"/>
      <c r="AC25" s="156"/>
      <c r="AD25" s="156"/>
      <c r="AE25" s="156"/>
      <c r="AF25" s="156"/>
      <c r="AG25" s="156"/>
      <c r="AH25" s="156"/>
      <c r="AI25" s="156">
        <v>1462.5</v>
      </c>
      <c r="AJ25" s="156">
        <f>AI25*L25</f>
        <v>16672500</v>
      </c>
      <c r="AK25" s="156">
        <v>0</v>
      </c>
      <c r="AL25" s="129" t="s">
        <v>3136</v>
      </c>
      <c r="AM25" s="190">
        <v>44557</v>
      </c>
      <c r="AN25" s="191">
        <v>978</v>
      </c>
      <c r="AO25" s="123" t="s">
        <v>10456</v>
      </c>
      <c r="AP25" s="125">
        <v>44546</v>
      </c>
      <c r="AQ25" s="123" t="s">
        <v>11384</v>
      </c>
    </row>
    <row r="26" spans="1:43" ht="64.5" customHeight="1" x14ac:dyDescent="0.2">
      <c r="A26" s="123">
        <v>5</v>
      </c>
      <c r="B26" s="123" t="s">
        <v>11386</v>
      </c>
      <c r="C26" s="127" t="s">
        <v>11382</v>
      </c>
      <c r="D26" s="208" t="s">
        <v>11382</v>
      </c>
      <c r="E26" s="123" t="s">
        <v>2042</v>
      </c>
      <c r="F26" s="123" t="s">
        <v>2207</v>
      </c>
      <c r="G26" s="123" t="s">
        <v>3136</v>
      </c>
      <c r="H26" s="190">
        <v>44559</v>
      </c>
      <c r="I26" s="216">
        <v>995</v>
      </c>
      <c r="J26" s="190">
        <v>44558</v>
      </c>
      <c r="K26" s="197">
        <v>2998.95</v>
      </c>
      <c r="L26" s="155">
        <f t="shared" si="0"/>
        <v>5830</v>
      </c>
      <c r="M26" s="155">
        <v>17483878.5</v>
      </c>
      <c r="N26" s="155"/>
      <c r="O26" s="156"/>
      <c r="P26" s="156"/>
      <c r="Q26" s="156"/>
      <c r="R26" s="156"/>
      <c r="S26" s="156"/>
      <c r="T26" s="156"/>
      <c r="U26" s="156"/>
      <c r="V26" s="156"/>
      <c r="W26" s="156"/>
      <c r="X26" s="156"/>
      <c r="Y26" s="156"/>
      <c r="Z26" s="156"/>
      <c r="AA26" s="156"/>
      <c r="AB26" s="156"/>
      <c r="AC26" s="156"/>
      <c r="AD26" s="156"/>
      <c r="AE26" s="156"/>
      <c r="AF26" s="156"/>
      <c r="AG26" s="156"/>
      <c r="AH26" s="156"/>
      <c r="AI26" s="156">
        <v>2998.95</v>
      </c>
      <c r="AJ26" s="156">
        <f>AI26*L26</f>
        <v>17483878.5</v>
      </c>
      <c r="AK26" s="156">
        <v>0</v>
      </c>
      <c r="AL26" s="129" t="s">
        <v>3136</v>
      </c>
      <c r="AM26" s="190">
        <v>44559</v>
      </c>
      <c r="AN26" s="191">
        <v>995</v>
      </c>
      <c r="AO26" s="123" t="s">
        <v>10456</v>
      </c>
      <c r="AP26" s="125">
        <v>44544</v>
      </c>
      <c r="AQ26" s="123" t="s">
        <v>11387</v>
      </c>
    </row>
    <row r="27" spans="1:43" ht="64.5" customHeight="1" x14ac:dyDescent="0.2">
      <c r="A27" s="123">
        <v>6</v>
      </c>
      <c r="B27" s="123" t="s">
        <v>11433</v>
      </c>
      <c r="C27" s="127" t="s">
        <v>11381</v>
      </c>
      <c r="D27" s="208"/>
      <c r="E27" s="123" t="s">
        <v>2042</v>
      </c>
      <c r="F27" s="123" t="s">
        <v>2207</v>
      </c>
      <c r="G27" s="123" t="s">
        <v>3136</v>
      </c>
      <c r="H27" s="190">
        <v>44582</v>
      </c>
      <c r="I27" s="216">
        <v>34</v>
      </c>
      <c r="J27" s="190">
        <v>44573</v>
      </c>
      <c r="K27" s="197">
        <v>739.5</v>
      </c>
      <c r="L27" s="155">
        <f t="shared" si="0"/>
        <v>11400</v>
      </c>
      <c r="M27" s="155">
        <v>8430300</v>
      </c>
      <c r="N27" s="155"/>
      <c r="O27" s="156"/>
      <c r="P27" s="156"/>
      <c r="Q27" s="156"/>
      <c r="R27" s="156"/>
      <c r="S27" s="156"/>
      <c r="T27" s="156"/>
      <c r="U27" s="156"/>
      <c r="V27" s="156"/>
      <c r="W27" s="156"/>
      <c r="X27" s="156"/>
      <c r="Y27" s="156"/>
      <c r="Z27" s="156"/>
      <c r="AA27" s="156"/>
      <c r="AB27" s="156"/>
      <c r="AC27" s="156"/>
      <c r="AD27" s="156"/>
      <c r="AE27" s="156"/>
      <c r="AF27" s="156"/>
      <c r="AG27" s="156"/>
      <c r="AH27" s="156"/>
      <c r="AI27" s="156">
        <f>K27</f>
        <v>739.5</v>
      </c>
      <c r="AJ27" s="156">
        <f>M27</f>
        <v>8430300</v>
      </c>
      <c r="AK27" s="156">
        <v>0</v>
      </c>
      <c r="AL27" s="129" t="s">
        <v>3136</v>
      </c>
      <c r="AM27" s="190">
        <v>44582</v>
      </c>
      <c r="AN27" s="191">
        <v>34</v>
      </c>
      <c r="AO27" s="123" t="s">
        <v>10456</v>
      </c>
      <c r="AP27" s="125">
        <v>44215</v>
      </c>
      <c r="AQ27" s="123" t="s">
        <v>11435</v>
      </c>
    </row>
    <row r="28" spans="1:43" ht="64.5" customHeight="1" x14ac:dyDescent="0.2">
      <c r="A28" s="123">
        <v>7</v>
      </c>
      <c r="B28" s="123" t="s">
        <v>11434</v>
      </c>
      <c r="C28" s="127" t="s">
        <v>11442</v>
      </c>
      <c r="D28" s="208"/>
      <c r="E28" s="123" t="s">
        <v>2042</v>
      </c>
      <c r="F28" s="123" t="s">
        <v>2207</v>
      </c>
      <c r="G28" s="123" t="s">
        <v>3136</v>
      </c>
      <c r="H28" s="190">
        <v>44582</v>
      </c>
      <c r="I28" s="216">
        <v>34</v>
      </c>
      <c r="J28" s="190">
        <v>44573</v>
      </c>
      <c r="K28" s="197">
        <v>776.4</v>
      </c>
      <c r="L28" s="155">
        <f t="shared" si="0"/>
        <v>11400</v>
      </c>
      <c r="M28" s="155">
        <v>8850960</v>
      </c>
      <c r="N28" s="155"/>
      <c r="O28" s="156"/>
      <c r="P28" s="156"/>
      <c r="Q28" s="156"/>
      <c r="R28" s="156"/>
      <c r="S28" s="156"/>
      <c r="T28" s="156"/>
      <c r="U28" s="156"/>
      <c r="V28" s="156"/>
      <c r="W28" s="156"/>
      <c r="X28" s="156"/>
      <c r="Y28" s="156"/>
      <c r="Z28" s="156"/>
      <c r="AA28" s="156"/>
      <c r="AB28" s="156"/>
      <c r="AC28" s="156"/>
      <c r="AD28" s="156"/>
      <c r="AE28" s="156"/>
      <c r="AF28" s="156"/>
      <c r="AG28" s="156"/>
      <c r="AH28" s="156"/>
      <c r="AI28" s="156">
        <f>K28</f>
        <v>776.4</v>
      </c>
      <c r="AJ28" s="156">
        <f>M28</f>
        <v>8850960</v>
      </c>
      <c r="AK28" s="156">
        <v>0</v>
      </c>
      <c r="AL28" s="129" t="s">
        <v>3136</v>
      </c>
      <c r="AM28" s="190">
        <v>44582</v>
      </c>
      <c r="AN28" s="191">
        <v>34</v>
      </c>
      <c r="AO28" s="123" t="s">
        <v>10456</v>
      </c>
      <c r="AP28" s="125">
        <v>44215</v>
      </c>
      <c r="AQ28" s="123" t="s">
        <v>11435</v>
      </c>
    </row>
    <row r="29" spans="1:43" ht="64.5" customHeight="1" x14ac:dyDescent="0.2">
      <c r="A29" s="123">
        <v>8</v>
      </c>
      <c r="B29" s="123" t="s">
        <v>11434</v>
      </c>
      <c r="C29" s="127" t="s">
        <v>11381</v>
      </c>
      <c r="D29" s="208"/>
      <c r="E29" s="123" t="s">
        <v>2042</v>
      </c>
      <c r="F29" s="123" t="s">
        <v>2207</v>
      </c>
      <c r="G29" s="123" t="s">
        <v>3136</v>
      </c>
      <c r="H29" s="190">
        <v>44593</v>
      </c>
      <c r="I29" s="216">
        <v>75</v>
      </c>
      <c r="J29" s="190">
        <v>44578</v>
      </c>
      <c r="K29" s="197">
        <v>2976.5</v>
      </c>
      <c r="L29" s="155">
        <f>M29/K29</f>
        <v>10350</v>
      </c>
      <c r="M29" s="155">
        <v>30806775</v>
      </c>
      <c r="N29" s="155"/>
      <c r="O29" s="156"/>
      <c r="P29" s="156"/>
      <c r="Q29" s="156"/>
      <c r="R29" s="156"/>
      <c r="S29" s="156"/>
      <c r="T29" s="156"/>
      <c r="U29" s="156"/>
      <c r="V29" s="156"/>
      <c r="W29" s="156"/>
      <c r="X29" s="156"/>
      <c r="Y29" s="156"/>
      <c r="Z29" s="156"/>
      <c r="AA29" s="156"/>
      <c r="AB29" s="156"/>
      <c r="AC29" s="156"/>
      <c r="AD29" s="156"/>
      <c r="AE29" s="156"/>
      <c r="AF29" s="156"/>
      <c r="AG29" s="156"/>
      <c r="AH29" s="156"/>
      <c r="AI29" s="156">
        <f>K29</f>
        <v>2976.5</v>
      </c>
      <c r="AJ29" s="156">
        <f>M29</f>
        <v>30806775</v>
      </c>
      <c r="AK29" s="156">
        <v>0</v>
      </c>
      <c r="AL29" s="129" t="s">
        <v>3136</v>
      </c>
      <c r="AM29" s="190">
        <v>44593</v>
      </c>
      <c r="AN29" s="191">
        <v>75</v>
      </c>
      <c r="AO29" s="123" t="s">
        <v>10456</v>
      </c>
      <c r="AP29" s="125">
        <v>44215</v>
      </c>
      <c r="AQ29" s="123" t="s">
        <v>11441</v>
      </c>
    </row>
    <row r="30" spans="1:43" ht="64.5" customHeight="1" x14ac:dyDescent="0.2">
      <c r="A30" s="123">
        <v>9</v>
      </c>
      <c r="B30" s="123" t="s">
        <v>11436</v>
      </c>
      <c r="C30" s="127" t="s">
        <v>11437</v>
      </c>
      <c r="D30" s="208"/>
      <c r="E30" s="123" t="s">
        <v>2042</v>
      </c>
      <c r="F30" s="123" t="s">
        <v>2207</v>
      </c>
      <c r="G30" s="123" t="s">
        <v>3136</v>
      </c>
      <c r="H30" s="190">
        <v>44582</v>
      </c>
      <c r="I30" s="216">
        <v>34</v>
      </c>
      <c r="J30" s="190">
        <v>44573</v>
      </c>
      <c r="K30" s="197">
        <v>2825.5</v>
      </c>
      <c r="L30" s="155">
        <f t="shared" si="0"/>
        <v>10350</v>
      </c>
      <c r="M30" s="155">
        <v>29243925</v>
      </c>
      <c r="N30" s="155"/>
      <c r="O30" s="156"/>
      <c r="P30" s="156"/>
      <c r="Q30" s="156"/>
      <c r="R30" s="156"/>
      <c r="S30" s="156"/>
      <c r="T30" s="156"/>
      <c r="U30" s="156"/>
      <c r="V30" s="156"/>
      <c r="W30" s="156"/>
      <c r="X30" s="156"/>
      <c r="Y30" s="156"/>
      <c r="Z30" s="156"/>
      <c r="AA30" s="156"/>
      <c r="AB30" s="156"/>
      <c r="AC30" s="156"/>
      <c r="AD30" s="156"/>
      <c r="AE30" s="156"/>
      <c r="AF30" s="156"/>
      <c r="AG30" s="156"/>
      <c r="AH30" s="156"/>
      <c r="AI30" s="156">
        <f>K30</f>
        <v>2825.5</v>
      </c>
      <c r="AJ30" s="156">
        <f>M30</f>
        <v>29243925</v>
      </c>
      <c r="AK30" s="156">
        <v>0</v>
      </c>
      <c r="AL30" s="129" t="s">
        <v>3136</v>
      </c>
      <c r="AM30" s="190">
        <v>44582</v>
      </c>
      <c r="AN30" s="191">
        <v>34</v>
      </c>
      <c r="AO30" s="123" t="s">
        <v>10456</v>
      </c>
      <c r="AP30" s="125">
        <v>44215</v>
      </c>
      <c r="AQ30" s="123" t="s">
        <v>11438</v>
      </c>
    </row>
    <row r="31" spans="1:43" ht="64.5" customHeight="1" x14ac:dyDescent="0.2">
      <c r="A31" s="123">
        <v>10</v>
      </c>
      <c r="B31" s="123" t="s">
        <v>11439</v>
      </c>
      <c r="C31" s="127" t="s">
        <v>11381</v>
      </c>
      <c r="D31" s="208"/>
      <c r="E31" s="123" t="s">
        <v>2042</v>
      </c>
      <c r="F31" s="123" t="s">
        <v>2207</v>
      </c>
      <c r="G31" s="123" t="s">
        <v>3136</v>
      </c>
      <c r="H31" s="190">
        <v>44582</v>
      </c>
      <c r="I31" s="216">
        <v>34</v>
      </c>
      <c r="J31" s="190">
        <v>44573</v>
      </c>
      <c r="K31" s="197">
        <v>707.95</v>
      </c>
      <c r="L31" s="155">
        <f t="shared" si="0"/>
        <v>4900</v>
      </c>
      <c r="M31" s="155">
        <v>3468955</v>
      </c>
      <c r="N31" s="155"/>
      <c r="O31" s="156"/>
      <c r="P31" s="156"/>
      <c r="Q31" s="156"/>
      <c r="R31" s="156"/>
      <c r="S31" s="156"/>
      <c r="T31" s="156"/>
      <c r="U31" s="156"/>
      <c r="V31" s="156"/>
      <c r="W31" s="156"/>
      <c r="X31" s="156"/>
      <c r="Y31" s="156"/>
      <c r="Z31" s="156"/>
      <c r="AA31" s="156"/>
      <c r="AB31" s="156"/>
      <c r="AC31" s="156"/>
      <c r="AD31" s="156"/>
      <c r="AE31" s="156"/>
      <c r="AF31" s="156"/>
      <c r="AG31" s="156"/>
      <c r="AH31" s="156"/>
      <c r="AI31" s="156">
        <f>K31</f>
        <v>707.95</v>
      </c>
      <c r="AJ31" s="156">
        <f>M31</f>
        <v>3468955</v>
      </c>
      <c r="AK31" s="156">
        <v>0</v>
      </c>
      <c r="AL31" s="129" t="s">
        <v>3136</v>
      </c>
      <c r="AM31" s="190">
        <v>44582</v>
      </c>
      <c r="AN31" s="191">
        <v>34</v>
      </c>
      <c r="AO31" s="123" t="s">
        <v>10456</v>
      </c>
      <c r="AP31" s="125">
        <v>44215</v>
      </c>
      <c r="AQ31" s="123" t="s">
        <v>11440</v>
      </c>
    </row>
    <row r="32" spans="1:43" ht="64.5" customHeight="1" x14ac:dyDescent="0.2">
      <c r="A32" s="123">
        <v>11</v>
      </c>
      <c r="B32" s="123" t="s">
        <v>11449</v>
      </c>
      <c r="C32" s="127" t="s">
        <v>11381</v>
      </c>
      <c r="D32" s="208"/>
      <c r="E32" s="123" t="s">
        <v>2042</v>
      </c>
      <c r="F32" s="123" t="s">
        <v>2207</v>
      </c>
      <c r="G32" s="123" t="s">
        <v>3136</v>
      </c>
      <c r="H32" s="190">
        <v>44602</v>
      </c>
      <c r="I32" s="191">
        <v>103</v>
      </c>
      <c r="J32" s="190">
        <v>44587</v>
      </c>
      <c r="K32" s="197">
        <v>922.2</v>
      </c>
      <c r="L32" s="155">
        <f t="shared" ref="L32:L39" si="1">M32/K32</f>
        <v>10350</v>
      </c>
      <c r="M32" s="155">
        <v>9544770</v>
      </c>
      <c r="N32" s="155"/>
      <c r="O32" s="156"/>
      <c r="P32" s="156"/>
      <c r="Q32" s="156"/>
      <c r="R32" s="156"/>
      <c r="S32" s="156"/>
      <c r="T32" s="156"/>
      <c r="U32" s="156"/>
      <c r="V32" s="156"/>
      <c r="W32" s="156"/>
      <c r="X32" s="156"/>
      <c r="Y32" s="156"/>
      <c r="Z32" s="156"/>
      <c r="AA32" s="156"/>
      <c r="AB32" s="156"/>
      <c r="AC32" s="156"/>
      <c r="AD32" s="156"/>
      <c r="AE32" s="156"/>
      <c r="AF32" s="156"/>
      <c r="AG32" s="156"/>
      <c r="AH32" s="156"/>
      <c r="AI32" s="156">
        <f>K32</f>
        <v>922.2</v>
      </c>
      <c r="AJ32" s="156">
        <f>M32</f>
        <v>9544770</v>
      </c>
      <c r="AK32" s="156">
        <v>0</v>
      </c>
      <c r="AL32" s="129" t="s">
        <v>3136</v>
      </c>
      <c r="AM32" s="190">
        <v>44602</v>
      </c>
      <c r="AN32" s="191">
        <v>103</v>
      </c>
      <c r="AO32" s="123" t="s">
        <v>10456</v>
      </c>
      <c r="AP32" s="125">
        <v>44582</v>
      </c>
      <c r="AQ32" s="123" t="s">
        <v>11441</v>
      </c>
    </row>
    <row r="33" spans="1:43" ht="64.5" customHeight="1" x14ac:dyDescent="0.2">
      <c r="A33" s="123">
        <v>12</v>
      </c>
      <c r="B33" s="123" t="s">
        <v>11450</v>
      </c>
      <c r="C33" s="127" t="s">
        <v>11381</v>
      </c>
      <c r="D33" s="208"/>
      <c r="E33" s="123" t="s">
        <v>2042</v>
      </c>
      <c r="F33" s="123" t="s">
        <v>2207</v>
      </c>
      <c r="G33" s="123" t="s">
        <v>3136</v>
      </c>
      <c r="H33" s="190">
        <v>44602</v>
      </c>
      <c r="I33" s="191">
        <v>103</v>
      </c>
      <c r="J33" s="190">
        <v>44588</v>
      </c>
      <c r="K33" s="197">
        <v>1961.8</v>
      </c>
      <c r="L33" s="155">
        <f t="shared" si="1"/>
        <v>10350</v>
      </c>
      <c r="M33" s="155">
        <v>20304630</v>
      </c>
      <c r="N33" s="155"/>
      <c r="O33" s="156"/>
      <c r="P33" s="156"/>
      <c r="Q33" s="156"/>
      <c r="R33" s="156"/>
      <c r="S33" s="156"/>
      <c r="T33" s="156"/>
      <c r="U33" s="156"/>
      <c r="V33" s="156"/>
      <c r="W33" s="156"/>
      <c r="X33" s="156"/>
      <c r="Y33" s="156"/>
      <c r="Z33" s="156"/>
      <c r="AA33" s="156"/>
      <c r="AB33" s="156"/>
      <c r="AC33" s="156"/>
      <c r="AD33" s="156"/>
      <c r="AE33" s="156"/>
      <c r="AF33" s="156"/>
      <c r="AG33" s="156"/>
      <c r="AH33" s="156"/>
      <c r="AI33" s="156">
        <f>K33</f>
        <v>1961.8</v>
      </c>
      <c r="AJ33" s="156">
        <f>M33</f>
        <v>20304630</v>
      </c>
      <c r="AK33" s="156">
        <v>0</v>
      </c>
      <c r="AL33" s="129" t="s">
        <v>3136</v>
      </c>
      <c r="AM33" s="190">
        <v>44602</v>
      </c>
      <c r="AN33" s="191">
        <v>103</v>
      </c>
      <c r="AO33" s="123" t="s">
        <v>10456</v>
      </c>
      <c r="AP33" s="125">
        <v>44227</v>
      </c>
      <c r="AQ33" s="123" t="s">
        <v>11451</v>
      </c>
    </row>
    <row r="34" spans="1:43" ht="64.5" customHeight="1" x14ac:dyDescent="0.2">
      <c r="A34" s="123">
        <v>13</v>
      </c>
      <c r="B34" s="123" t="s">
        <v>11477</v>
      </c>
      <c r="C34" s="127" t="s">
        <v>11381</v>
      </c>
      <c r="D34" s="208"/>
      <c r="E34" s="123" t="s">
        <v>2042</v>
      </c>
      <c r="F34" s="123" t="s">
        <v>2207</v>
      </c>
      <c r="G34" s="123" t="s">
        <v>3136</v>
      </c>
      <c r="H34" s="190">
        <v>44606</v>
      </c>
      <c r="I34" s="191">
        <v>112</v>
      </c>
      <c r="J34" s="190">
        <v>44596</v>
      </c>
      <c r="K34" s="197">
        <v>2848</v>
      </c>
      <c r="L34" s="155">
        <f t="shared" si="1"/>
        <v>10350</v>
      </c>
      <c r="M34" s="155">
        <v>29476800</v>
      </c>
      <c r="N34" s="155"/>
      <c r="O34" s="156"/>
      <c r="P34" s="156"/>
      <c r="Q34" s="156"/>
      <c r="R34" s="156"/>
      <c r="S34" s="156"/>
      <c r="T34" s="156"/>
      <c r="U34" s="156"/>
      <c r="V34" s="156"/>
      <c r="W34" s="156"/>
      <c r="X34" s="156"/>
      <c r="Y34" s="156"/>
      <c r="Z34" s="156"/>
      <c r="AA34" s="156"/>
      <c r="AB34" s="156"/>
      <c r="AC34" s="156"/>
      <c r="AD34" s="156"/>
      <c r="AE34" s="156"/>
      <c r="AF34" s="156"/>
      <c r="AG34" s="156"/>
      <c r="AH34" s="156"/>
      <c r="AI34" s="156">
        <f>K34</f>
        <v>2848</v>
      </c>
      <c r="AJ34" s="156">
        <f>M34</f>
        <v>29476800</v>
      </c>
      <c r="AK34" s="156">
        <v>0</v>
      </c>
      <c r="AL34" s="129" t="s">
        <v>3136</v>
      </c>
      <c r="AM34" s="190">
        <v>44606</v>
      </c>
      <c r="AN34" s="191">
        <v>112</v>
      </c>
      <c r="AO34" s="123" t="s">
        <v>10456</v>
      </c>
      <c r="AP34" s="125">
        <v>44227</v>
      </c>
      <c r="AQ34" s="123" t="s">
        <v>11451</v>
      </c>
    </row>
    <row r="35" spans="1:43" ht="64.5" customHeight="1" x14ac:dyDescent="0.2">
      <c r="A35" s="123">
        <v>14</v>
      </c>
      <c r="B35" s="123" t="s">
        <v>11487</v>
      </c>
      <c r="C35" s="127" t="s">
        <v>11381</v>
      </c>
      <c r="D35" s="208"/>
      <c r="E35" s="123" t="s">
        <v>2042</v>
      </c>
      <c r="F35" s="123" t="s">
        <v>2207</v>
      </c>
      <c r="G35" s="123" t="s">
        <v>3136</v>
      </c>
      <c r="H35" s="190">
        <v>44609</v>
      </c>
      <c r="I35" s="191">
        <v>123</v>
      </c>
      <c r="J35" s="190">
        <v>44602</v>
      </c>
      <c r="K35" s="197">
        <v>291.5</v>
      </c>
      <c r="L35" s="155">
        <f t="shared" si="1"/>
        <v>10350</v>
      </c>
      <c r="M35" s="155">
        <v>3017025</v>
      </c>
      <c r="N35" s="155"/>
      <c r="O35" s="156"/>
      <c r="P35" s="156"/>
      <c r="Q35" s="156"/>
      <c r="R35" s="156"/>
      <c r="S35" s="156"/>
      <c r="T35" s="156"/>
      <c r="U35" s="156"/>
      <c r="V35" s="156"/>
      <c r="W35" s="156"/>
      <c r="X35" s="156"/>
      <c r="Y35" s="156"/>
      <c r="Z35" s="156"/>
      <c r="AA35" s="156"/>
      <c r="AB35" s="156"/>
      <c r="AC35" s="156"/>
      <c r="AD35" s="156"/>
      <c r="AE35" s="156"/>
      <c r="AF35" s="156"/>
      <c r="AG35" s="156"/>
      <c r="AH35" s="156"/>
      <c r="AI35" s="156">
        <f>K35</f>
        <v>291.5</v>
      </c>
      <c r="AJ35" s="156">
        <f>M35</f>
        <v>3017025</v>
      </c>
      <c r="AK35" s="156">
        <v>0</v>
      </c>
      <c r="AL35" s="129" t="s">
        <v>3136</v>
      </c>
      <c r="AM35" s="190">
        <v>44609</v>
      </c>
      <c r="AN35" s="191">
        <v>123</v>
      </c>
      <c r="AO35" s="123" t="s">
        <v>10456</v>
      </c>
      <c r="AP35" s="125">
        <v>44227</v>
      </c>
      <c r="AQ35" s="123" t="s">
        <v>11451</v>
      </c>
    </row>
    <row r="36" spans="1:43" ht="64.5" customHeight="1" x14ac:dyDescent="0.2">
      <c r="A36" s="123">
        <v>15</v>
      </c>
      <c r="B36" s="123" t="s">
        <v>11599</v>
      </c>
      <c r="C36" s="127" t="s">
        <v>11381</v>
      </c>
      <c r="D36" s="208"/>
      <c r="E36" s="123" t="s">
        <v>2042</v>
      </c>
      <c r="F36" s="123" t="s">
        <v>2207</v>
      </c>
      <c r="G36" s="123" t="s">
        <v>3136</v>
      </c>
      <c r="H36" s="125">
        <v>44641</v>
      </c>
      <c r="I36" s="123">
        <v>221</v>
      </c>
      <c r="J36" s="125">
        <v>44630</v>
      </c>
      <c r="K36" s="130">
        <v>8296.5</v>
      </c>
      <c r="L36" s="129">
        <f t="shared" si="1"/>
        <v>10000</v>
      </c>
      <c r="M36" s="129">
        <v>82965000</v>
      </c>
      <c r="N36" s="129"/>
      <c r="O36" s="148"/>
      <c r="P36" s="148"/>
      <c r="Q36" s="148"/>
      <c r="R36" s="148"/>
      <c r="S36" s="148"/>
      <c r="T36" s="148"/>
      <c r="U36" s="148"/>
      <c r="V36" s="148"/>
      <c r="W36" s="148"/>
      <c r="X36" s="148"/>
      <c r="Y36" s="148"/>
      <c r="Z36" s="148"/>
      <c r="AA36" s="148"/>
      <c r="AB36" s="148"/>
      <c r="AC36" s="148"/>
      <c r="AD36" s="148"/>
      <c r="AE36" s="148"/>
      <c r="AF36" s="148"/>
      <c r="AG36" s="148"/>
      <c r="AH36" s="148"/>
      <c r="AI36" s="148">
        <f>K36</f>
        <v>8296.5</v>
      </c>
      <c r="AJ36" s="148">
        <f>M36</f>
        <v>82965000</v>
      </c>
      <c r="AK36" s="148">
        <v>0</v>
      </c>
      <c r="AL36" s="129" t="s">
        <v>3136</v>
      </c>
      <c r="AM36" s="125">
        <v>44641</v>
      </c>
      <c r="AN36" s="123">
        <v>221</v>
      </c>
      <c r="AO36" s="123" t="s">
        <v>10456</v>
      </c>
      <c r="AP36" s="125">
        <v>44630</v>
      </c>
      <c r="AQ36" s="123" t="s">
        <v>11600</v>
      </c>
    </row>
    <row r="37" spans="1:43" ht="64.5" customHeight="1" x14ac:dyDescent="0.2">
      <c r="A37" s="123">
        <v>16</v>
      </c>
      <c r="B37" s="123" t="s">
        <v>11601</v>
      </c>
      <c r="C37" s="127" t="s">
        <v>11381</v>
      </c>
      <c r="D37" s="208"/>
      <c r="E37" s="123" t="s">
        <v>2042</v>
      </c>
      <c r="F37" s="123" t="s">
        <v>2207</v>
      </c>
      <c r="G37" s="123" t="s">
        <v>3136</v>
      </c>
      <c r="H37" s="125">
        <v>44641</v>
      </c>
      <c r="I37" s="123">
        <v>221</v>
      </c>
      <c r="J37" s="125">
        <v>44630</v>
      </c>
      <c r="K37" s="130">
        <v>2752</v>
      </c>
      <c r="L37" s="129">
        <f t="shared" si="1"/>
        <v>10350</v>
      </c>
      <c r="M37" s="129">
        <v>28483200</v>
      </c>
      <c r="N37" s="129"/>
      <c r="O37" s="148"/>
      <c r="P37" s="148"/>
      <c r="Q37" s="148"/>
      <c r="R37" s="148"/>
      <c r="S37" s="148"/>
      <c r="T37" s="148"/>
      <c r="U37" s="148"/>
      <c r="V37" s="148"/>
      <c r="W37" s="148"/>
      <c r="X37" s="148"/>
      <c r="Y37" s="148"/>
      <c r="Z37" s="148"/>
      <c r="AA37" s="148"/>
      <c r="AB37" s="148"/>
      <c r="AC37" s="148"/>
      <c r="AD37" s="148"/>
      <c r="AE37" s="148"/>
      <c r="AF37" s="148"/>
      <c r="AG37" s="148"/>
      <c r="AH37" s="148"/>
      <c r="AI37" s="148">
        <f>K37</f>
        <v>2752</v>
      </c>
      <c r="AJ37" s="148">
        <f>M37</f>
        <v>28483200</v>
      </c>
      <c r="AK37" s="148">
        <v>0</v>
      </c>
      <c r="AL37" s="129" t="s">
        <v>3136</v>
      </c>
      <c r="AM37" s="125">
        <v>44641</v>
      </c>
      <c r="AN37" s="123">
        <v>221</v>
      </c>
      <c r="AO37" s="123" t="s">
        <v>10456</v>
      </c>
      <c r="AP37" s="125">
        <v>44634</v>
      </c>
      <c r="AQ37" s="123" t="s">
        <v>11602</v>
      </c>
    </row>
    <row r="38" spans="1:43" ht="64.5" customHeight="1" x14ac:dyDescent="0.2">
      <c r="A38" s="123">
        <v>17</v>
      </c>
      <c r="B38" s="123" t="s">
        <v>11626</v>
      </c>
      <c r="C38" s="127" t="s">
        <v>11381</v>
      </c>
      <c r="D38" s="208"/>
      <c r="E38" s="123" t="s">
        <v>2042</v>
      </c>
      <c r="F38" s="123" t="s">
        <v>2207</v>
      </c>
      <c r="G38" s="123" t="s">
        <v>3136</v>
      </c>
      <c r="H38" s="125">
        <v>44650</v>
      </c>
      <c r="I38" s="123">
        <v>251</v>
      </c>
      <c r="J38" s="125">
        <v>44636</v>
      </c>
      <c r="K38" s="130">
        <v>2248</v>
      </c>
      <c r="L38" s="129">
        <f t="shared" si="1"/>
        <v>10350</v>
      </c>
      <c r="M38" s="129">
        <v>23266800</v>
      </c>
      <c r="N38" s="129"/>
      <c r="O38" s="148"/>
      <c r="P38" s="148"/>
      <c r="Q38" s="148"/>
      <c r="R38" s="148"/>
      <c r="S38" s="148"/>
      <c r="T38" s="148"/>
      <c r="U38" s="148"/>
      <c r="V38" s="148"/>
      <c r="W38" s="148"/>
      <c r="X38" s="148"/>
      <c r="Y38" s="148"/>
      <c r="Z38" s="148"/>
      <c r="AA38" s="148"/>
      <c r="AB38" s="148"/>
      <c r="AC38" s="148"/>
      <c r="AD38" s="148"/>
      <c r="AE38" s="148"/>
      <c r="AF38" s="148"/>
      <c r="AG38" s="148"/>
      <c r="AH38" s="148"/>
      <c r="AI38" s="148">
        <f>K38</f>
        <v>2248</v>
      </c>
      <c r="AJ38" s="148">
        <f>M38</f>
        <v>23266800</v>
      </c>
      <c r="AK38" s="148">
        <v>0</v>
      </c>
      <c r="AL38" s="129" t="s">
        <v>3136</v>
      </c>
      <c r="AM38" s="125">
        <v>44650</v>
      </c>
      <c r="AN38" s="123">
        <v>251</v>
      </c>
      <c r="AO38" s="123" t="s">
        <v>10456</v>
      </c>
      <c r="AP38" s="125">
        <v>44634</v>
      </c>
      <c r="AQ38" s="123" t="s">
        <v>11602</v>
      </c>
    </row>
    <row r="39" spans="1:43" ht="64.5" customHeight="1" x14ac:dyDescent="0.2">
      <c r="A39" s="123">
        <v>18</v>
      </c>
      <c r="B39" s="123" t="s">
        <v>11627</v>
      </c>
      <c r="C39" s="127" t="s">
        <v>11628</v>
      </c>
      <c r="D39" s="208"/>
      <c r="E39" s="123" t="s">
        <v>2042</v>
      </c>
      <c r="F39" s="123" t="s">
        <v>2207</v>
      </c>
      <c r="G39" s="123" t="s">
        <v>3136</v>
      </c>
      <c r="H39" s="125">
        <v>44651</v>
      </c>
      <c r="I39" s="123">
        <v>256</v>
      </c>
      <c r="J39" s="125">
        <v>44651</v>
      </c>
      <c r="K39" s="130">
        <v>207.6</v>
      </c>
      <c r="L39" s="129">
        <f t="shared" si="1"/>
        <v>8500</v>
      </c>
      <c r="M39" s="129">
        <v>1764600</v>
      </c>
      <c r="N39" s="129"/>
      <c r="O39" s="148"/>
      <c r="P39" s="148"/>
      <c r="Q39" s="148"/>
      <c r="R39" s="148"/>
      <c r="S39" s="148"/>
      <c r="T39" s="148"/>
      <c r="U39" s="148"/>
      <c r="V39" s="148"/>
      <c r="W39" s="148"/>
      <c r="X39" s="148"/>
      <c r="Y39" s="148"/>
      <c r="Z39" s="148"/>
      <c r="AA39" s="148"/>
      <c r="AB39" s="148"/>
      <c r="AC39" s="148"/>
      <c r="AD39" s="148"/>
      <c r="AE39" s="148"/>
      <c r="AF39" s="148"/>
      <c r="AG39" s="148"/>
      <c r="AH39" s="148"/>
      <c r="AI39" s="148">
        <f>K39</f>
        <v>207.6</v>
      </c>
      <c r="AJ39" s="148">
        <f>M39</f>
        <v>1764600</v>
      </c>
      <c r="AK39" s="148">
        <v>0</v>
      </c>
      <c r="AL39" s="129" t="s">
        <v>3136</v>
      </c>
      <c r="AM39" s="125">
        <v>44651</v>
      </c>
      <c r="AN39" s="123">
        <v>256</v>
      </c>
      <c r="AO39" s="123" t="s">
        <v>10456</v>
      </c>
      <c r="AP39" s="125">
        <v>44630</v>
      </c>
      <c r="AQ39" s="123" t="s">
        <v>11630</v>
      </c>
    </row>
    <row r="40" spans="1:43" ht="64.5" customHeight="1" x14ac:dyDescent="0.2">
      <c r="A40" s="123">
        <v>19</v>
      </c>
      <c r="B40" s="123" t="s">
        <v>11629</v>
      </c>
      <c r="C40" s="127" t="s">
        <v>11628</v>
      </c>
      <c r="D40" s="208"/>
      <c r="E40" s="123" t="s">
        <v>2042</v>
      </c>
      <c r="F40" s="123" t="s">
        <v>2207</v>
      </c>
      <c r="G40" s="123" t="s">
        <v>3136</v>
      </c>
      <c r="H40" s="125">
        <v>44651</v>
      </c>
      <c r="I40" s="123">
        <v>256</v>
      </c>
      <c r="J40" s="125">
        <v>44651</v>
      </c>
      <c r="K40" s="130">
        <v>347</v>
      </c>
      <c r="L40" s="129">
        <f>M40/K40</f>
        <v>8500</v>
      </c>
      <c r="M40" s="129">
        <v>2949500</v>
      </c>
      <c r="N40" s="129"/>
      <c r="O40" s="148"/>
      <c r="P40" s="148"/>
      <c r="Q40" s="148"/>
      <c r="R40" s="148"/>
      <c r="S40" s="148"/>
      <c r="T40" s="148"/>
      <c r="U40" s="148"/>
      <c r="V40" s="148"/>
      <c r="W40" s="148"/>
      <c r="X40" s="148"/>
      <c r="Y40" s="148"/>
      <c r="Z40" s="148"/>
      <c r="AA40" s="148"/>
      <c r="AB40" s="148"/>
      <c r="AC40" s="148"/>
      <c r="AD40" s="148"/>
      <c r="AE40" s="148"/>
      <c r="AF40" s="148"/>
      <c r="AG40" s="148"/>
      <c r="AH40" s="148"/>
      <c r="AI40" s="148">
        <f>K40</f>
        <v>347</v>
      </c>
      <c r="AJ40" s="148">
        <f>M40</f>
        <v>2949500</v>
      </c>
      <c r="AK40" s="148">
        <v>0</v>
      </c>
      <c r="AL40" s="129" t="s">
        <v>3136</v>
      </c>
      <c r="AM40" s="125">
        <v>44651</v>
      </c>
      <c r="AN40" s="123">
        <v>256</v>
      </c>
      <c r="AO40" s="123" t="s">
        <v>10456</v>
      </c>
      <c r="AP40" s="125">
        <v>44630</v>
      </c>
      <c r="AQ40" s="123" t="s">
        <v>11630</v>
      </c>
    </row>
    <row r="41" spans="1:43" ht="64.5" customHeight="1" x14ac:dyDescent="0.2">
      <c r="A41" s="123">
        <v>20</v>
      </c>
      <c r="B41" s="123" t="s">
        <v>11654</v>
      </c>
      <c r="C41" s="127" t="s">
        <v>11381</v>
      </c>
      <c r="D41" s="208"/>
      <c r="E41" s="123" t="s">
        <v>2042</v>
      </c>
      <c r="F41" s="123" t="s">
        <v>2207</v>
      </c>
      <c r="G41" s="123" t="s">
        <v>3136</v>
      </c>
      <c r="H41" s="125">
        <v>44663</v>
      </c>
      <c r="I41" s="191">
        <v>290</v>
      </c>
      <c r="J41" s="190">
        <v>44663</v>
      </c>
      <c r="K41" s="197">
        <v>3463.5</v>
      </c>
      <c r="L41" s="155">
        <f>M41/K41</f>
        <v>10350</v>
      </c>
      <c r="M41" s="155">
        <v>35847225</v>
      </c>
      <c r="N41" s="155"/>
      <c r="O41" s="156"/>
      <c r="P41" s="156"/>
      <c r="Q41" s="156"/>
      <c r="R41" s="156"/>
      <c r="S41" s="156"/>
      <c r="T41" s="156"/>
      <c r="U41" s="156"/>
      <c r="V41" s="156"/>
      <c r="W41" s="156"/>
      <c r="X41" s="156"/>
      <c r="Y41" s="156"/>
      <c r="Z41" s="156"/>
      <c r="AA41" s="156"/>
      <c r="AB41" s="156"/>
      <c r="AC41" s="156"/>
      <c r="AD41" s="156"/>
      <c r="AE41" s="156"/>
      <c r="AF41" s="156"/>
      <c r="AG41" s="156"/>
      <c r="AH41" s="156"/>
      <c r="AI41" s="156">
        <f>K41</f>
        <v>3463.5</v>
      </c>
      <c r="AJ41" s="156">
        <f>M41</f>
        <v>35847225</v>
      </c>
      <c r="AK41" s="156">
        <v>0</v>
      </c>
      <c r="AL41" s="129" t="s">
        <v>3136</v>
      </c>
      <c r="AM41" s="190">
        <v>44663</v>
      </c>
      <c r="AN41" s="191">
        <v>290</v>
      </c>
      <c r="AO41" s="123" t="s">
        <v>10456</v>
      </c>
      <c r="AP41" s="125">
        <v>44663</v>
      </c>
      <c r="AQ41" s="123" t="s">
        <v>11655</v>
      </c>
    </row>
    <row r="42" spans="1:43" ht="64.5" customHeight="1" x14ac:dyDescent="0.2">
      <c r="A42" s="123">
        <v>21</v>
      </c>
      <c r="B42" s="123" t="s">
        <v>11726</v>
      </c>
      <c r="C42" s="127" t="s">
        <v>11381</v>
      </c>
      <c r="D42" s="208"/>
      <c r="E42" s="123" t="s">
        <v>2042</v>
      </c>
      <c r="F42" s="123" t="s">
        <v>2207</v>
      </c>
      <c r="G42" s="123" t="s">
        <v>3136</v>
      </c>
      <c r="H42" s="125">
        <v>44733</v>
      </c>
      <c r="I42" s="191">
        <v>468</v>
      </c>
      <c r="J42" s="190">
        <v>44732</v>
      </c>
      <c r="K42" s="197">
        <v>5865</v>
      </c>
      <c r="L42" s="155">
        <f>M42/K42</f>
        <v>9350</v>
      </c>
      <c r="M42" s="155">
        <v>54837750</v>
      </c>
      <c r="N42" s="155"/>
      <c r="O42" s="156"/>
      <c r="P42" s="156"/>
      <c r="Q42" s="156"/>
      <c r="R42" s="156"/>
      <c r="S42" s="156"/>
      <c r="T42" s="156"/>
      <c r="U42" s="156"/>
      <c r="V42" s="156"/>
      <c r="W42" s="156"/>
      <c r="X42" s="156"/>
      <c r="Y42" s="156"/>
      <c r="Z42" s="156"/>
      <c r="AA42" s="156"/>
      <c r="AB42" s="156"/>
      <c r="AC42" s="156"/>
      <c r="AD42" s="156"/>
      <c r="AE42" s="156"/>
      <c r="AF42" s="156"/>
      <c r="AG42" s="156"/>
      <c r="AH42" s="156"/>
      <c r="AI42" s="156">
        <f>K42</f>
        <v>5865</v>
      </c>
      <c r="AJ42" s="156">
        <f>M42</f>
        <v>54837750</v>
      </c>
      <c r="AK42" s="156">
        <v>0</v>
      </c>
      <c r="AL42" s="129" t="s">
        <v>3136</v>
      </c>
      <c r="AM42" s="125">
        <v>44733</v>
      </c>
      <c r="AN42" s="191">
        <v>468</v>
      </c>
      <c r="AO42" s="123" t="s">
        <v>10456</v>
      </c>
      <c r="AP42" s="125">
        <v>44732</v>
      </c>
      <c r="AQ42" s="123" t="s">
        <v>11727</v>
      </c>
    </row>
    <row r="43" spans="1:43" ht="15.75" x14ac:dyDescent="0.2">
      <c r="A43" s="19"/>
      <c r="B43" s="19"/>
      <c r="C43" s="19"/>
      <c r="D43" s="41"/>
      <c r="E43" s="54"/>
      <c r="F43" s="59"/>
      <c r="G43" s="59"/>
      <c r="H43" s="18"/>
      <c r="I43" s="59"/>
      <c r="J43" s="59"/>
      <c r="K43" s="185">
        <f>SUM(K8:K42)</f>
        <v>90721.64</v>
      </c>
      <c r="L43" s="186"/>
      <c r="M43" s="187">
        <f>SUM(M8:M42)</f>
        <v>589163870.31920004</v>
      </c>
      <c r="N43" s="187"/>
      <c r="O43" s="156"/>
      <c r="P43" s="156"/>
      <c r="Q43" s="172"/>
      <c r="R43" s="173"/>
      <c r="S43" s="173"/>
      <c r="T43" s="172"/>
      <c r="U43" s="173"/>
      <c r="V43" s="173"/>
      <c r="W43" s="173"/>
      <c r="X43" s="173"/>
      <c r="Y43" s="173"/>
      <c r="Z43" s="173"/>
      <c r="AA43" s="173"/>
      <c r="AB43" s="173"/>
      <c r="AC43" s="173"/>
      <c r="AD43" s="173"/>
      <c r="AE43" s="173"/>
      <c r="AF43" s="173"/>
      <c r="AG43" s="173"/>
      <c r="AH43" s="173"/>
      <c r="AI43" s="173"/>
      <c r="AJ43" s="173"/>
      <c r="AK43" s="173">
        <v>0</v>
      </c>
      <c r="AL43" s="155"/>
      <c r="AM43" s="190"/>
      <c r="AN43" s="191"/>
    </row>
    <row r="44" spans="1:43" x14ac:dyDescent="0.2">
      <c r="A44" s="19"/>
      <c r="B44" s="19"/>
      <c r="C44" s="19"/>
      <c r="D44" s="41"/>
      <c r="E44" s="41"/>
      <c r="F44" s="19"/>
      <c r="G44" s="19"/>
      <c r="H44" s="19"/>
      <c r="I44" s="19"/>
      <c r="J44" s="19"/>
      <c r="K44" s="176"/>
      <c r="L44" s="176"/>
      <c r="M44" s="176"/>
      <c r="N44" s="176"/>
    </row>
    <row r="45" spans="1:43" x14ac:dyDescent="0.2">
      <c r="I45" s="176"/>
      <c r="R45" s="192"/>
    </row>
    <row r="47" spans="1:43" x14ac:dyDescent="0.2">
      <c r="K47" s="192"/>
    </row>
    <row r="48" spans="1:43" x14ac:dyDescent="0.2">
      <c r="Q48" s="176"/>
    </row>
  </sheetData>
  <autoFilter ref="A7:AQ43"/>
  <mergeCells count="21">
    <mergeCell ref="F5:F6"/>
    <mergeCell ref="G5:I5"/>
    <mergeCell ref="J5:J6"/>
    <mergeCell ref="A2:B2"/>
    <mergeCell ref="A3:E3"/>
    <mergeCell ref="A5:A6"/>
    <mergeCell ref="B5:B6"/>
    <mergeCell ref="C5:C6"/>
    <mergeCell ref="D5:D6"/>
    <mergeCell ref="E5:E6"/>
    <mergeCell ref="N5:P5"/>
    <mergeCell ref="AO5:AQ5"/>
    <mergeCell ref="Q5:R5"/>
    <mergeCell ref="AL5:AN5"/>
    <mergeCell ref="K5:M5"/>
    <mergeCell ref="T5:V5"/>
    <mergeCell ref="W5:Y5"/>
    <mergeCell ref="Z5:AB5"/>
    <mergeCell ref="AC5:AE5"/>
    <mergeCell ref="AF5:AH5"/>
    <mergeCell ref="AI5:AK5"/>
  </mergeCells>
  <pageMargins left="0" right="0" top="1.1811023622047245" bottom="0" header="0.31496062992125984" footer="0.31496062992125984"/>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31"/>
  <sheetViews>
    <sheetView tabSelected="1" zoomScaleNormal="100" workbookViewId="0">
      <pane ySplit="7" topLeftCell="A23" activePane="bottomLeft" state="frozen"/>
      <selection pane="bottomLeft" activeCell="K27" sqref="K27"/>
    </sheetView>
  </sheetViews>
  <sheetFormatPr defaultColWidth="9.140625" defaultRowHeight="12.75" x14ac:dyDescent="0.2"/>
  <cols>
    <col min="1" max="1" width="5" style="3" customWidth="1"/>
    <col min="2" max="2" width="9.140625" style="3" customWidth="1"/>
    <col min="3" max="3" width="25.5703125" style="3" customWidth="1"/>
    <col min="4" max="4" width="13.85546875" style="144" customWidth="1"/>
    <col min="5" max="5" width="9.7109375" style="3" customWidth="1"/>
    <col min="6" max="6" width="13.28515625" style="3" customWidth="1"/>
    <col min="7" max="7" width="9.5703125" style="3" customWidth="1"/>
    <col min="8" max="8" width="5.85546875" style="3" customWidth="1"/>
    <col min="9" max="9" width="9.42578125" style="151" customWidth="1"/>
    <col min="10" max="10" width="6.7109375" style="3" customWidth="1"/>
    <col min="11" max="11" width="17.28515625" style="3" customWidth="1"/>
    <col min="12" max="12" width="7.7109375" style="341" customWidth="1"/>
    <col min="13" max="14" width="10.28515625" style="3" customWidth="1"/>
    <col min="15" max="15" width="13.85546875" style="3" customWidth="1"/>
    <col min="16" max="16" width="13.140625" style="3" customWidth="1"/>
    <col min="17" max="33" width="14.5703125" style="3" customWidth="1"/>
    <col min="34" max="34" width="13.5703125" style="3" customWidth="1"/>
    <col min="35" max="35" width="19" style="144" customWidth="1"/>
    <col min="36" max="36" width="9.85546875" style="3" customWidth="1"/>
    <col min="37" max="37" width="14.7109375" style="3" customWidth="1"/>
    <col min="38" max="38" width="10.5703125" style="3" customWidth="1"/>
    <col min="39" max="39" width="13.28515625" style="3" customWidth="1"/>
    <col min="40" max="16384" width="9.140625" style="3"/>
  </cols>
  <sheetData>
    <row r="2" spans="1:39" ht="15.75" x14ac:dyDescent="0.25">
      <c r="A2" s="293" t="s">
        <v>1775</v>
      </c>
      <c r="B2" s="293"/>
      <c r="C2" s="112"/>
      <c r="D2" s="145"/>
      <c r="E2" s="19"/>
      <c r="F2" s="39"/>
      <c r="G2" s="39"/>
      <c r="H2" s="43"/>
      <c r="I2" s="108"/>
      <c r="J2" s="108"/>
      <c r="K2" s="108"/>
      <c r="L2" s="108"/>
      <c r="M2" s="39"/>
      <c r="N2" s="39"/>
      <c r="O2" s="39"/>
      <c r="P2" s="39"/>
      <c r="Q2" s="39"/>
      <c r="R2" s="39"/>
      <c r="S2" s="39"/>
      <c r="T2" s="39"/>
      <c r="U2" s="39"/>
      <c r="V2" s="39"/>
      <c r="W2" s="39"/>
      <c r="X2" s="39"/>
      <c r="Y2" s="39"/>
      <c r="Z2" s="39"/>
      <c r="AA2" s="39"/>
      <c r="AB2" s="39"/>
      <c r="AC2" s="39"/>
      <c r="AD2" s="39"/>
      <c r="AE2" s="39"/>
      <c r="AF2" s="39"/>
      <c r="AG2" s="39"/>
      <c r="AH2" s="39"/>
      <c r="AI2" s="284"/>
      <c r="AJ2" s="39"/>
      <c r="AK2" s="39"/>
      <c r="AL2" s="39"/>
      <c r="AM2" s="39"/>
    </row>
    <row r="3" spans="1:39" ht="15.75" x14ac:dyDescent="0.2">
      <c r="A3" s="318" t="s">
        <v>9235</v>
      </c>
      <c r="B3" s="318"/>
      <c r="C3" s="318"/>
      <c r="D3" s="320"/>
      <c r="E3" s="19"/>
      <c r="F3" s="39"/>
      <c r="G3" s="39"/>
      <c r="H3" s="43"/>
      <c r="I3" s="108"/>
      <c r="J3" s="108"/>
      <c r="K3" s="108"/>
      <c r="L3" s="108"/>
      <c r="M3" s="39"/>
      <c r="N3" s="39"/>
      <c r="O3" s="39"/>
      <c r="P3" s="39"/>
      <c r="Q3" s="39"/>
      <c r="R3" s="39"/>
      <c r="S3" s="39"/>
      <c r="T3" s="39"/>
      <c r="U3" s="39"/>
      <c r="V3" s="39"/>
      <c r="W3" s="39"/>
      <c r="X3" s="39"/>
      <c r="Y3" s="39"/>
      <c r="Z3" s="39"/>
      <c r="AA3" s="39"/>
      <c r="AB3" s="39"/>
      <c r="AC3" s="39"/>
      <c r="AD3" s="39"/>
      <c r="AE3" s="39"/>
      <c r="AF3" s="39"/>
      <c r="AG3" s="39"/>
      <c r="AH3" s="39"/>
      <c r="AI3" s="284"/>
      <c r="AJ3" s="39"/>
      <c r="AK3" s="39"/>
      <c r="AL3" s="39"/>
      <c r="AM3" s="39"/>
    </row>
    <row r="4" spans="1:39" x14ac:dyDescent="0.2">
      <c r="A4" s="39"/>
      <c r="B4" s="19" t="s">
        <v>3211</v>
      </c>
      <c r="C4" s="19"/>
      <c r="D4" s="284"/>
      <c r="E4" s="19"/>
      <c r="F4" s="39"/>
      <c r="G4" s="39"/>
      <c r="H4" s="43"/>
      <c r="I4" s="108"/>
      <c r="J4" s="108"/>
      <c r="K4" s="108"/>
      <c r="L4" s="108"/>
      <c r="M4" s="39"/>
      <c r="N4" s="39"/>
      <c r="O4" s="39"/>
      <c r="P4" s="39"/>
      <c r="Q4" s="39"/>
      <c r="R4" s="39"/>
      <c r="S4" s="39"/>
      <c r="T4" s="39"/>
      <c r="U4" s="39"/>
      <c r="V4" s="39"/>
      <c r="W4" s="39"/>
      <c r="X4" s="39"/>
      <c r="Y4" s="39"/>
      <c r="Z4" s="39"/>
      <c r="AA4" s="39"/>
      <c r="AB4" s="39"/>
      <c r="AC4" s="39"/>
      <c r="AD4" s="39"/>
      <c r="AE4" s="39"/>
      <c r="AF4" s="39"/>
      <c r="AG4" s="39"/>
      <c r="AH4" s="39"/>
      <c r="AI4" s="284"/>
      <c r="AJ4" s="39"/>
      <c r="AK4" s="39"/>
      <c r="AL4" s="39"/>
      <c r="AM4" s="39"/>
    </row>
    <row r="5" spans="1:39" ht="44.25" customHeight="1" x14ac:dyDescent="0.2">
      <c r="A5" s="316" t="s">
        <v>3972</v>
      </c>
      <c r="B5" s="316" t="s">
        <v>6165</v>
      </c>
      <c r="C5" s="316" t="s">
        <v>9239</v>
      </c>
      <c r="D5" s="316" t="s">
        <v>2417</v>
      </c>
      <c r="E5" s="316" t="s">
        <v>2418</v>
      </c>
      <c r="F5" s="316" t="s">
        <v>9240</v>
      </c>
      <c r="G5" s="316"/>
      <c r="H5" s="316"/>
      <c r="I5" s="316" t="s">
        <v>9404</v>
      </c>
      <c r="J5" s="24" t="s">
        <v>9237</v>
      </c>
      <c r="K5" s="24" t="s">
        <v>9243</v>
      </c>
      <c r="L5" s="316" t="s">
        <v>9241</v>
      </c>
      <c r="M5" s="316" t="s">
        <v>9234</v>
      </c>
      <c r="N5" s="316" t="s">
        <v>10678</v>
      </c>
      <c r="O5" s="317" t="s">
        <v>10679</v>
      </c>
      <c r="P5" s="317"/>
      <c r="Q5" s="317"/>
      <c r="R5" s="317" t="s">
        <v>10695</v>
      </c>
      <c r="S5" s="317"/>
      <c r="T5" s="317"/>
      <c r="U5" s="317" t="s">
        <v>10748</v>
      </c>
      <c r="V5" s="317"/>
      <c r="W5" s="317"/>
      <c r="X5" s="289"/>
      <c r="Y5" s="317" t="s">
        <v>10857</v>
      </c>
      <c r="Z5" s="317"/>
      <c r="AA5" s="317"/>
      <c r="AB5" s="317" t="s">
        <v>10909</v>
      </c>
      <c r="AC5" s="317"/>
      <c r="AD5" s="317"/>
      <c r="AE5" s="317" t="s">
        <v>11069</v>
      </c>
      <c r="AF5" s="317"/>
      <c r="AG5" s="317"/>
      <c r="AH5" s="316" t="s">
        <v>9351</v>
      </c>
      <c r="AI5" s="316"/>
      <c r="AJ5" s="316"/>
      <c r="AK5" s="316" t="s">
        <v>6338</v>
      </c>
      <c r="AL5" s="316"/>
      <c r="AM5" s="316"/>
    </row>
    <row r="6" spans="1:39" ht="48" customHeight="1" x14ac:dyDescent="0.2">
      <c r="A6" s="316"/>
      <c r="B6" s="316"/>
      <c r="C6" s="316"/>
      <c r="D6" s="316"/>
      <c r="E6" s="316"/>
      <c r="F6" s="285" t="s">
        <v>3771</v>
      </c>
      <c r="G6" s="285" t="s">
        <v>1598</v>
      </c>
      <c r="H6" s="22" t="s">
        <v>3131</v>
      </c>
      <c r="I6" s="316"/>
      <c r="J6" s="24"/>
      <c r="K6" s="24"/>
      <c r="L6" s="316"/>
      <c r="M6" s="316"/>
      <c r="N6" s="316"/>
      <c r="O6" s="289" t="s">
        <v>6197</v>
      </c>
      <c r="P6" s="289" t="s">
        <v>10681</v>
      </c>
      <c r="Q6" s="289" t="s">
        <v>10680</v>
      </c>
      <c r="R6" s="289" t="s">
        <v>6197</v>
      </c>
      <c r="S6" s="289" t="s">
        <v>10681</v>
      </c>
      <c r="T6" s="289" t="s">
        <v>10680</v>
      </c>
      <c r="U6" s="289" t="s">
        <v>6197</v>
      </c>
      <c r="V6" s="289" t="s">
        <v>10681</v>
      </c>
      <c r="W6" s="289" t="s">
        <v>10680</v>
      </c>
      <c r="X6" s="289"/>
      <c r="Y6" s="289" t="s">
        <v>6197</v>
      </c>
      <c r="Z6" s="289" t="s">
        <v>10681</v>
      </c>
      <c r="AA6" s="289" t="s">
        <v>10680</v>
      </c>
      <c r="AB6" s="289" t="s">
        <v>6197</v>
      </c>
      <c r="AC6" s="289" t="s">
        <v>10681</v>
      </c>
      <c r="AD6" s="289" t="s">
        <v>10680</v>
      </c>
      <c r="AE6" s="289" t="s">
        <v>6197</v>
      </c>
      <c r="AF6" s="289" t="s">
        <v>10681</v>
      </c>
      <c r="AG6" s="289" t="s">
        <v>10680</v>
      </c>
      <c r="AH6" s="289" t="s">
        <v>3771</v>
      </c>
      <c r="AI6" s="285" t="s">
        <v>1598</v>
      </c>
      <c r="AJ6" s="289" t="s">
        <v>3131</v>
      </c>
      <c r="AK6" s="289" t="s">
        <v>3771</v>
      </c>
      <c r="AL6" s="289" t="s">
        <v>1598</v>
      </c>
      <c r="AM6" s="289" t="s">
        <v>3131</v>
      </c>
    </row>
    <row r="7" spans="1:39" x14ac:dyDescent="0.2">
      <c r="A7" s="20">
        <v>1</v>
      </c>
      <c r="B7" s="20">
        <v>2</v>
      </c>
      <c r="C7" s="20">
        <v>4</v>
      </c>
      <c r="D7" s="37">
        <v>5</v>
      </c>
      <c r="E7" s="20">
        <v>6</v>
      </c>
      <c r="F7" s="20">
        <v>7</v>
      </c>
      <c r="G7" s="20">
        <v>8</v>
      </c>
      <c r="H7" s="20">
        <v>9</v>
      </c>
      <c r="I7" s="20">
        <v>10</v>
      </c>
      <c r="J7" s="20">
        <v>11</v>
      </c>
      <c r="K7" s="20">
        <v>12</v>
      </c>
      <c r="L7" s="20">
        <v>13</v>
      </c>
      <c r="M7" s="20">
        <v>14</v>
      </c>
      <c r="N7" s="20"/>
      <c r="O7" s="20"/>
      <c r="P7" s="20"/>
      <c r="Q7" s="20"/>
      <c r="R7" s="20"/>
      <c r="S7" s="20"/>
      <c r="T7" s="20"/>
      <c r="U7" s="20"/>
      <c r="V7" s="20"/>
      <c r="W7" s="20"/>
      <c r="X7" s="20"/>
      <c r="Y7" s="20"/>
      <c r="Z7" s="20"/>
      <c r="AA7" s="20"/>
      <c r="AB7" s="20"/>
      <c r="AC7" s="20"/>
      <c r="AD7" s="20"/>
      <c r="AE7" s="20"/>
      <c r="AF7" s="20"/>
      <c r="AG7" s="20"/>
      <c r="AH7" s="20">
        <v>19</v>
      </c>
      <c r="AI7" s="37">
        <v>20</v>
      </c>
      <c r="AJ7" s="20">
        <v>21</v>
      </c>
      <c r="AK7" s="20">
        <v>22</v>
      </c>
      <c r="AL7" s="20">
        <v>23</v>
      </c>
      <c r="AM7" s="20">
        <v>24</v>
      </c>
    </row>
    <row r="8" spans="1:39" ht="36" customHeight="1" x14ac:dyDescent="0.2">
      <c r="A8" s="126">
        <v>6</v>
      </c>
      <c r="B8" s="126" t="s">
        <v>9244</v>
      </c>
      <c r="C8" s="124" t="s">
        <v>9245</v>
      </c>
      <c r="D8" s="131" t="s">
        <v>2042</v>
      </c>
      <c r="E8" s="126" t="s">
        <v>2207</v>
      </c>
      <c r="F8" s="126" t="s">
        <v>3136</v>
      </c>
      <c r="G8" s="128">
        <v>43816</v>
      </c>
      <c r="H8" s="126">
        <v>1040</v>
      </c>
      <c r="I8" s="128">
        <v>43811</v>
      </c>
      <c r="J8" s="126" t="s">
        <v>9242</v>
      </c>
      <c r="K8" s="129">
        <f t="shared" ref="K8:K17" si="0">M8/L8</f>
        <v>44600</v>
      </c>
      <c r="L8" s="130">
        <v>3.1560000000000001</v>
      </c>
      <c r="M8" s="129">
        <v>140757.6</v>
      </c>
      <c r="N8" s="130">
        <v>1.089</v>
      </c>
      <c r="O8" s="130"/>
      <c r="P8" s="130"/>
      <c r="Q8" s="130"/>
      <c r="R8" s="130"/>
      <c r="S8" s="130"/>
      <c r="T8" s="130"/>
      <c r="U8" s="130"/>
      <c r="V8" s="130"/>
      <c r="W8" s="130"/>
      <c r="X8" s="130"/>
      <c r="Y8" s="130"/>
      <c r="Z8" s="130"/>
      <c r="AA8" s="130">
        <v>1.089</v>
      </c>
      <c r="AB8" s="130">
        <v>0.68400000000000005</v>
      </c>
      <c r="AC8" s="130">
        <f>AB8*K8</f>
        <v>30506.400000000001</v>
      </c>
      <c r="AD8" s="130">
        <f>AA8-AB8</f>
        <v>0.40499999999999992</v>
      </c>
      <c r="AE8" s="130">
        <v>0.40500000000000003</v>
      </c>
      <c r="AF8" s="130">
        <f>AE8*K8</f>
        <v>18063</v>
      </c>
      <c r="AG8" s="130">
        <v>0</v>
      </c>
      <c r="AH8" s="129" t="s">
        <v>3136</v>
      </c>
      <c r="AI8" s="150" t="s">
        <v>10944</v>
      </c>
      <c r="AJ8" s="131" t="s">
        <v>10945</v>
      </c>
      <c r="AK8" s="131" t="s">
        <v>7630</v>
      </c>
      <c r="AL8" s="128">
        <v>43810</v>
      </c>
      <c r="AM8" s="124" t="s">
        <v>9403</v>
      </c>
    </row>
    <row r="9" spans="1:39" ht="42.75" customHeight="1" x14ac:dyDescent="0.2">
      <c r="A9" s="126">
        <v>8</v>
      </c>
      <c r="B9" s="126" t="s">
        <v>9246</v>
      </c>
      <c r="C9" s="124" t="s">
        <v>9247</v>
      </c>
      <c r="D9" s="131" t="s">
        <v>2042</v>
      </c>
      <c r="E9" s="126" t="s">
        <v>2207</v>
      </c>
      <c r="F9" s="126" t="s">
        <v>3136</v>
      </c>
      <c r="G9" s="128">
        <v>43816</v>
      </c>
      <c r="H9" s="126">
        <v>1040</v>
      </c>
      <c r="I9" s="128">
        <v>43811</v>
      </c>
      <c r="J9" s="126" t="s">
        <v>9242</v>
      </c>
      <c r="K9" s="129">
        <f t="shared" si="0"/>
        <v>44500</v>
      </c>
      <c r="L9" s="130">
        <v>2.2170000000000001</v>
      </c>
      <c r="M9" s="129">
        <v>98656.5</v>
      </c>
      <c r="N9" s="130">
        <v>0.41199999999999998</v>
      </c>
      <c r="O9" s="130"/>
      <c r="P9" s="130"/>
      <c r="Q9" s="130"/>
      <c r="R9" s="130"/>
      <c r="S9" s="130"/>
      <c r="T9" s="130"/>
      <c r="U9" s="130"/>
      <c r="V9" s="130"/>
      <c r="W9" s="130"/>
      <c r="X9" s="130"/>
      <c r="Y9" s="130">
        <v>2.1999999999999999E-2</v>
      </c>
      <c r="Z9" s="130">
        <f>Y9*K9</f>
        <v>979</v>
      </c>
      <c r="AA9" s="130">
        <f>N9-Y9</f>
        <v>0.38999999999999996</v>
      </c>
      <c r="AB9" s="130"/>
      <c r="AC9" s="130"/>
      <c r="AD9" s="130"/>
      <c r="AE9" s="130">
        <v>0.39</v>
      </c>
      <c r="AF9" s="130">
        <f>AE9*K9</f>
        <v>17355</v>
      </c>
      <c r="AG9" s="130">
        <v>0</v>
      </c>
      <c r="AH9" s="129" t="s">
        <v>3136</v>
      </c>
      <c r="AI9" s="150" t="s">
        <v>10866</v>
      </c>
      <c r="AJ9" s="131" t="s">
        <v>10867</v>
      </c>
      <c r="AK9" s="131" t="s">
        <v>7630</v>
      </c>
      <c r="AL9" s="128">
        <v>43810</v>
      </c>
      <c r="AM9" s="124" t="s">
        <v>9403</v>
      </c>
    </row>
    <row r="10" spans="1:39" ht="57" customHeight="1" x14ac:dyDescent="0.2">
      <c r="A10" s="126">
        <v>9</v>
      </c>
      <c r="B10" s="126" t="s">
        <v>9248</v>
      </c>
      <c r="C10" s="124" t="s">
        <v>9249</v>
      </c>
      <c r="D10" s="131" t="s">
        <v>2042</v>
      </c>
      <c r="E10" s="126" t="s">
        <v>2207</v>
      </c>
      <c r="F10" s="126" t="s">
        <v>3136</v>
      </c>
      <c r="G10" s="128">
        <v>43816</v>
      </c>
      <c r="H10" s="126">
        <v>1040</v>
      </c>
      <c r="I10" s="128">
        <v>43811</v>
      </c>
      <c r="J10" s="126" t="s">
        <v>9242</v>
      </c>
      <c r="K10" s="129">
        <f t="shared" si="0"/>
        <v>44500</v>
      </c>
      <c r="L10" s="130">
        <v>2.3959999999999999</v>
      </c>
      <c r="M10" s="129">
        <v>106622</v>
      </c>
      <c r="N10" s="130">
        <v>0.27500000000000002</v>
      </c>
      <c r="O10" s="130">
        <v>0.15</v>
      </c>
      <c r="P10" s="130">
        <v>6675</v>
      </c>
      <c r="Q10" s="130">
        <f>N10-O10</f>
        <v>0.12500000000000003</v>
      </c>
      <c r="R10" s="130"/>
      <c r="S10" s="130"/>
      <c r="T10" s="130"/>
      <c r="U10" s="130">
        <v>3.5999999999999997E-2</v>
      </c>
      <c r="V10" s="130">
        <f>U10*K10</f>
        <v>1601.9999999999998</v>
      </c>
      <c r="W10" s="130">
        <f>Q10-U10</f>
        <v>8.9000000000000024E-2</v>
      </c>
      <c r="X10" s="130"/>
      <c r="Y10" s="130"/>
      <c r="Z10" s="130"/>
      <c r="AA10" s="130">
        <v>8.8999999999999996E-2</v>
      </c>
      <c r="AB10" s="130"/>
      <c r="AC10" s="130"/>
      <c r="AD10" s="130"/>
      <c r="AE10" s="130">
        <v>0.89</v>
      </c>
      <c r="AF10" s="130">
        <f>AE10*K10</f>
        <v>39605</v>
      </c>
      <c r="AG10" s="130">
        <v>0</v>
      </c>
      <c r="AH10" s="129" t="s">
        <v>3136</v>
      </c>
      <c r="AI10" s="150" t="s">
        <v>10749</v>
      </c>
      <c r="AJ10" s="131" t="s">
        <v>10750</v>
      </c>
      <c r="AK10" s="131" t="s">
        <v>7630</v>
      </c>
      <c r="AL10" s="150">
        <v>43810</v>
      </c>
      <c r="AM10" s="124" t="s">
        <v>9403</v>
      </c>
    </row>
    <row r="11" spans="1:39" ht="42.75" customHeight="1" x14ac:dyDescent="0.2">
      <c r="A11" s="126">
        <v>11</v>
      </c>
      <c r="B11" s="126" t="s">
        <v>9250</v>
      </c>
      <c r="C11" s="124" t="s">
        <v>9251</v>
      </c>
      <c r="D11" s="131" t="s">
        <v>2042</v>
      </c>
      <c r="E11" s="126" t="s">
        <v>2207</v>
      </c>
      <c r="F11" s="126" t="s">
        <v>3136</v>
      </c>
      <c r="G11" s="128">
        <v>43816</v>
      </c>
      <c r="H11" s="126">
        <v>1040</v>
      </c>
      <c r="I11" s="128">
        <v>43811</v>
      </c>
      <c r="J11" s="126" t="s">
        <v>9242</v>
      </c>
      <c r="K11" s="129">
        <f t="shared" si="0"/>
        <v>54000</v>
      </c>
      <c r="L11" s="130">
        <v>6.1379999999999999</v>
      </c>
      <c r="M11" s="129">
        <v>331452</v>
      </c>
      <c r="N11" s="130">
        <v>3.13</v>
      </c>
      <c r="O11" s="130"/>
      <c r="P11" s="130"/>
      <c r="Q11" s="130"/>
      <c r="R11" s="130"/>
      <c r="S11" s="130"/>
      <c r="T11" s="130"/>
      <c r="U11" s="130"/>
      <c r="V11" s="130"/>
      <c r="W11" s="130"/>
      <c r="X11" s="130"/>
      <c r="Y11" s="130">
        <v>0.08</v>
      </c>
      <c r="Z11" s="130">
        <f>Y11*K11</f>
        <v>4320</v>
      </c>
      <c r="AA11" s="130">
        <f>N11-Y11</f>
        <v>3.05</v>
      </c>
      <c r="AB11" s="130">
        <v>4.2999999999999997E-2</v>
      </c>
      <c r="AC11" s="130">
        <f>AB11*K11</f>
        <v>2322</v>
      </c>
      <c r="AD11" s="130">
        <f>AA11-AB11</f>
        <v>3.0069999999999997</v>
      </c>
      <c r="AE11" s="130">
        <f>0.163+2.844</f>
        <v>3.0069999999999997</v>
      </c>
      <c r="AF11" s="130">
        <f>AE11*K11</f>
        <v>162377.99999999997</v>
      </c>
      <c r="AG11" s="130">
        <f>AD11-AE11</f>
        <v>0</v>
      </c>
      <c r="AH11" s="129" t="s">
        <v>3136</v>
      </c>
      <c r="AI11" s="204" t="s">
        <v>11344</v>
      </c>
      <c r="AJ11" s="203" t="s">
        <v>10948</v>
      </c>
      <c r="AK11" s="131" t="s">
        <v>7630</v>
      </c>
      <c r="AL11" s="128">
        <v>43810</v>
      </c>
      <c r="AM11" s="124" t="s">
        <v>9403</v>
      </c>
    </row>
    <row r="12" spans="1:39" ht="117.75" customHeight="1" x14ac:dyDescent="0.2">
      <c r="A12" s="126">
        <v>12</v>
      </c>
      <c r="B12" s="126" t="s">
        <v>9253</v>
      </c>
      <c r="C12" s="124" t="s">
        <v>9252</v>
      </c>
      <c r="D12" s="131" t="s">
        <v>2042</v>
      </c>
      <c r="E12" s="126" t="s">
        <v>2207</v>
      </c>
      <c r="F12" s="126" t="s">
        <v>3136</v>
      </c>
      <c r="G12" s="128">
        <v>43816</v>
      </c>
      <c r="H12" s="126">
        <v>1040</v>
      </c>
      <c r="I12" s="128">
        <v>43816</v>
      </c>
      <c r="J12" s="126" t="s">
        <v>9242</v>
      </c>
      <c r="K12" s="129">
        <f t="shared" si="0"/>
        <v>44500</v>
      </c>
      <c r="L12" s="130">
        <v>5.8220000000000001</v>
      </c>
      <c r="M12" s="129">
        <v>259079</v>
      </c>
      <c r="N12" s="130">
        <v>0.78200000000000003</v>
      </c>
      <c r="O12" s="130">
        <v>0.03</v>
      </c>
      <c r="P12" s="130">
        <v>1335</v>
      </c>
      <c r="Q12" s="130">
        <f>N12-O12</f>
        <v>0.752</v>
      </c>
      <c r="R12" s="130">
        <f>0.035+0.15</f>
        <v>0.185</v>
      </c>
      <c r="S12" s="130">
        <f>R12*K12</f>
        <v>8232.5</v>
      </c>
      <c r="T12" s="130">
        <f>Q12-R12</f>
        <v>0.56699999999999995</v>
      </c>
      <c r="U12" s="130">
        <v>1.0999999999999999E-2</v>
      </c>
      <c r="V12" s="130">
        <f>U12*K12</f>
        <v>489.5</v>
      </c>
      <c r="W12" s="130">
        <f>T12-U12</f>
        <v>0.55599999999999994</v>
      </c>
      <c r="X12" s="130"/>
      <c r="Y12" s="130">
        <f>0.126+0.041</f>
        <v>0.16700000000000001</v>
      </c>
      <c r="Z12" s="130">
        <f>Y12*K12</f>
        <v>7431.5</v>
      </c>
      <c r="AA12" s="130">
        <f>W12-Y12</f>
        <v>0.3889999999999999</v>
      </c>
      <c r="AB12" s="130">
        <f>0.179+0.21</f>
        <v>0.38900000000000001</v>
      </c>
      <c r="AC12" s="130">
        <f>AB12*K12</f>
        <v>17310.5</v>
      </c>
      <c r="AD12" s="130">
        <f>AA12-AB12</f>
        <v>0</v>
      </c>
      <c r="AE12" s="130"/>
      <c r="AF12" s="130"/>
      <c r="AG12" s="130">
        <v>0</v>
      </c>
      <c r="AH12" s="129" t="s">
        <v>3136</v>
      </c>
      <c r="AI12" s="204" t="s">
        <v>10932</v>
      </c>
      <c r="AJ12" s="203" t="s">
        <v>10933</v>
      </c>
      <c r="AK12" s="131" t="s">
        <v>7630</v>
      </c>
      <c r="AL12" s="128">
        <v>43810</v>
      </c>
      <c r="AM12" s="124" t="s">
        <v>9403</v>
      </c>
    </row>
    <row r="13" spans="1:39" ht="30.75" customHeight="1" x14ac:dyDescent="0.2">
      <c r="A13" s="126">
        <v>13</v>
      </c>
      <c r="B13" s="126" t="s">
        <v>9254</v>
      </c>
      <c r="C13" s="124" t="s">
        <v>9255</v>
      </c>
      <c r="D13" s="131" t="s">
        <v>2042</v>
      </c>
      <c r="E13" s="126" t="s">
        <v>2207</v>
      </c>
      <c r="F13" s="126" t="s">
        <v>3136</v>
      </c>
      <c r="G13" s="128">
        <v>43816</v>
      </c>
      <c r="H13" s="126">
        <v>1040</v>
      </c>
      <c r="I13" s="128">
        <v>43816</v>
      </c>
      <c r="J13" s="126" t="s">
        <v>9242</v>
      </c>
      <c r="K13" s="129">
        <f t="shared" si="0"/>
        <v>64500</v>
      </c>
      <c r="L13" s="130">
        <v>0.72299999999999998</v>
      </c>
      <c r="M13" s="129">
        <v>46633.5</v>
      </c>
      <c r="N13" s="130">
        <v>0.66100000000000003</v>
      </c>
      <c r="O13" s="130"/>
      <c r="P13" s="130"/>
      <c r="Q13" s="130"/>
      <c r="R13" s="130"/>
      <c r="S13" s="130"/>
      <c r="T13" s="130"/>
      <c r="U13" s="130"/>
      <c r="V13" s="130"/>
      <c r="W13" s="130"/>
      <c r="X13" s="130"/>
      <c r="Y13" s="130"/>
      <c r="Z13" s="130"/>
      <c r="AA13" s="130">
        <v>0.66100000000000003</v>
      </c>
      <c r="AB13" s="130"/>
      <c r="AC13" s="130"/>
      <c r="AD13" s="130"/>
      <c r="AE13" s="130">
        <v>0.66100000000000003</v>
      </c>
      <c r="AF13" s="130">
        <f>AE13*K13</f>
        <v>42634.5</v>
      </c>
      <c r="AG13" s="130">
        <v>0</v>
      </c>
      <c r="AH13" s="129" t="s">
        <v>3136</v>
      </c>
      <c r="AI13" s="150">
        <v>44161</v>
      </c>
      <c r="AJ13" s="189">
        <v>989</v>
      </c>
      <c r="AK13" s="131" t="s">
        <v>7630</v>
      </c>
      <c r="AL13" s="128">
        <v>43810</v>
      </c>
      <c r="AM13" s="124" t="s">
        <v>9403</v>
      </c>
    </row>
    <row r="14" spans="1:39" ht="30.75" customHeight="1" x14ac:dyDescent="0.2">
      <c r="A14" s="126">
        <v>15</v>
      </c>
      <c r="B14" s="126" t="s">
        <v>9256</v>
      </c>
      <c r="C14" s="124" t="s">
        <v>9257</v>
      </c>
      <c r="D14" s="131" t="s">
        <v>2042</v>
      </c>
      <c r="E14" s="126" t="s">
        <v>2207</v>
      </c>
      <c r="F14" s="126" t="s">
        <v>3136</v>
      </c>
      <c r="G14" s="128">
        <v>43816</v>
      </c>
      <c r="H14" s="126">
        <v>1040</v>
      </c>
      <c r="I14" s="128">
        <v>43816</v>
      </c>
      <c r="J14" s="126" t="s">
        <v>9242</v>
      </c>
      <c r="K14" s="129">
        <f t="shared" si="0"/>
        <v>76000</v>
      </c>
      <c r="L14" s="130">
        <v>1.488</v>
      </c>
      <c r="M14" s="129">
        <v>113088</v>
      </c>
      <c r="N14" s="130">
        <v>1.488</v>
      </c>
      <c r="O14" s="130"/>
      <c r="P14" s="130"/>
      <c r="Q14" s="130"/>
      <c r="R14" s="130"/>
      <c r="S14" s="130"/>
      <c r="T14" s="130"/>
      <c r="U14" s="130"/>
      <c r="V14" s="130"/>
      <c r="W14" s="130"/>
      <c r="X14" s="130"/>
      <c r="Y14" s="130"/>
      <c r="Z14" s="130"/>
      <c r="AA14" s="130">
        <v>1.488</v>
      </c>
      <c r="AB14" s="130">
        <v>1.488</v>
      </c>
      <c r="AC14" s="130">
        <f>AB14*K14</f>
        <v>113088</v>
      </c>
      <c r="AD14" s="130">
        <f>AA14-AB14</f>
        <v>0</v>
      </c>
      <c r="AE14" s="130"/>
      <c r="AF14" s="130"/>
      <c r="AG14" s="130">
        <v>0</v>
      </c>
      <c r="AH14" s="129" t="s">
        <v>3136</v>
      </c>
      <c r="AI14" s="150">
        <v>44390</v>
      </c>
      <c r="AJ14" s="189">
        <v>523</v>
      </c>
      <c r="AK14" s="131" t="s">
        <v>7630</v>
      </c>
      <c r="AL14" s="128">
        <v>43810</v>
      </c>
      <c r="AM14" s="124" t="s">
        <v>9403</v>
      </c>
    </row>
    <row r="15" spans="1:39" ht="64.5" customHeight="1" x14ac:dyDescent="0.2">
      <c r="A15" s="126">
        <v>16</v>
      </c>
      <c r="B15" s="126" t="s">
        <v>9258</v>
      </c>
      <c r="C15" s="124" t="s">
        <v>9259</v>
      </c>
      <c r="D15" s="131" t="s">
        <v>2042</v>
      </c>
      <c r="E15" s="126" t="s">
        <v>2207</v>
      </c>
      <c r="F15" s="126" t="s">
        <v>3136</v>
      </c>
      <c r="G15" s="128">
        <v>43816</v>
      </c>
      <c r="H15" s="126">
        <v>1040</v>
      </c>
      <c r="I15" s="128">
        <v>43816</v>
      </c>
      <c r="J15" s="126" t="s">
        <v>9242</v>
      </c>
      <c r="K15" s="129">
        <f t="shared" si="0"/>
        <v>135000</v>
      </c>
      <c r="L15" s="126">
        <v>3.0150000000000001</v>
      </c>
      <c r="M15" s="129">
        <v>407025</v>
      </c>
      <c r="N15" s="130">
        <v>2.86</v>
      </c>
      <c r="O15" s="130"/>
      <c r="P15" s="130"/>
      <c r="Q15" s="130"/>
      <c r="R15" s="130">
        <f>0.011+0.002</f>
        <v>1.2999999999999999E-2</v>
      </c>
      <c r="S15" s="130">
        <f>R15*K15</f>
        <v>1755</v>
      </c>
      <c r="T15" s="130">
        <f>N15-R15</f>
        <v>2.847</v>
      </c>
      <c r="U15" s="130">
        <v>4.1000000000000002E-2</v>
      </c>
      <c r="V15" s="130">
        <f>U15*K15</f>
        <v>5535</v>
      </c>
      <c r="W15" s="130">
        <f>T15-U15</f>
        <v>2.806</v>
      </c>
      <c r="X15" s="130"/>
      <c r="Y15" s="130">
        <v>3.0000000000000001E-3</v>
      </c>
      <c r="Z15" s="130">
        <f>Y15*K15</f>
        <v>405</v>
      </c>
      <c r="AA15" s="130">
        <f>W15-Y15</f>
        <v>2.8029999999999999</v>
      </c>
      <c r="AB15" s="130">
        <v>0.13</v>
      </c>
      <c r="AC15" s="130">
        <v>17550</v>
      </c>
      <c r="AD15" s="130">
        <f>AA15-AB15</f>
        <v>2.673</v>
      </c>
      <c r="AE15" s="130">
        <v>2.673</v>
      </c>
      <c r="AF15" s="130">
        <f>AE15*K15</f>
        <v>360855</v>
      </c>
      <c r="AG15" s="130">
        <v>0</v>
      </c>
      <c r="AH15" s="129" t="s">
        <v>3136</v>
      </c>
      <c r="AI15" s="150" t="s">
        <v>10934</v>
      </c>
      <c r="AJ15" s="131" t="s">
        <v>10935</v>
      </c>
      <c r="AK15" s="131" t="s">
        <v>7630</v>
      </c>
      <c r="AL15" s="128">
        <v>43810</v>
      </c>
      <c r="AM15" s="124" t="s">
        <v>9403</v>
      </c>
    </row>
    <row r="16" spans="1:39" ht="30.75" customHeight="1" x14ac:dyDescent="0.2">
      <c r="A16" s="126">
        <v>17</v>
      </c>
      <c r="B16" s="126" t="s">
        <v>9260</v>
      </c>
      <c r="C16" s="127" t="s">
        <v>9261</v>
      </c>
      <c r="D16" s="131" t="s">
        <v>2042</v>
      </c>
      <c r="E16" s="126" t="s">
        <v>2207</v>
      </c>
      <c r="F16" s="126" t="s">
        <v>3136</v>
      </c>
      <c r="G16" s="128">
        <v>43816</v>
      </c>
      <c r="H16" s="126">
        <v>1040</v>
      </c>
      <c r="I16" s="128">
        <v>43816</v>
      </c>
      <c r="J16" s="126" t="s">
        <v>9242</v>
      </c>
      <c r="K16" s="129">
        <f t="shared" si="0"/>
        <v>115000.00000000001</v>
      </c>
      <c r="L16" s="130">
        <v>3.01</v>
      </c>
      <c r="M16" s="129">
        <v>346150</v>
      </c>
      <c r="N16" s="130">
        <v>3.01</v>
      </c>
      <c r="O16" s="130"/>
      <c r="P16" s="130"/>
      <c r="Q16" s="130"/>
      <c r="R16" s="130">
        <v>1.2999999999999999E-2</v>
      </c>
      <c r="S16" s="130">
        <f>R16*K16</f>
        <v>1495.0000000000002</v>
      </c>
      <c r="T16" s="130">
        <f>N16-R16</f>
        <v>2.9969999999999999</v>
      </c>
      <c r="U16" s="130">
        <v>1.9E-2</v>
      </c>
      <c r="V16" s="130">
        <f>U16*K16</f>
        <v>2185</v>
      </c>
      <c r="W16" s="130">
        <f>T16-U16</f>
        <v>2.9779999999999998</v>
      </c>
      <c r="X16" s="130"/>
      <c r="Y16" s="130">
        <v>4.3999999999999997E-2</v>
      </c>
      <c r="Z16" s="130">
        <f>Y16*K16</f>
        <v>5060</v>
      </c>
      <c r="AA16" s="130">
        <f>W16-Y16</f>
        <v>2.9339999999999997</v>
      </c>
      <c r="AB16" s="130">
        <v>0.08</v>
      </c>
      <c r="AC16" s="130">
        <v>9200</v>
      </c>
      <c r="AD16" s="130">
        <f>AA16-AB16</f>
        <v>2.8539999999999996</v>
      </c>
      <c r="AE16" s="130">
        <v>2.8540000000000001</v>
      </c>
      <c r="AF16" s="130">
        <f>AE16*K16</f>
        <v>328210.00000000006</v>
      </c>
      <c r="AG16" s="130">
        <v>0</v>
      </c>
      <c r="AH16" s="129" t="s">
        <v>10461</v>
      </c>
      <c r="AI16" s="150" t="s">
        <v>10938</v>
      </c>
      <c r="AJ16" s="147" t="s">
        <v>10939</v>
      </c>
      <c r="AK16" s="131" t="s">
        <v>7630</v>
      </c>
      <c r="AL16" s="128">
        <v>43810</v>
      </c>
      <c r="AM16" s="124" t="s">
        <v>9403</v>
      </c>
    </row>
    <row r="17" spans="1:39" ht="37.5" customHeight="1" x14ac:dyDescent="0.2">
      <c r="A17" s="126">
        <v>21</v>
      </c>
      <c r="B17" s="126" t="s">
        <v>9263</v>
      </c>
      <c r="C17" s="137" t="s">
        <v>9262</v>
      </c>
      <c r="D17" s="131" t="s">
        <v>2042</v>
      </c>
      <c r="E17" s="126" t="s">
        <v>2207</v>
      </c>
      <c r="F17" s="126" t="s">
        <v>3136</v>
      </c>
      <c r="G17" s="128">
        <v>43816</v>
      </c>
      <c r="H17" s="126">
        <v>1040</v>
      </c>
      <c r="I17" s="132">
        <v>43816</v>
      </c>
      <c r="J17" s="126" t="s">
        <v>9242</v>
      </c>
      <c r="K17" s="129">
        <f t="shared" si="0"/>
        <v>86500</v>
      </c>
      <c r="L17" s="130">
        <v>0.63500000000000001</v>
      </c>
      <c r="M17" s="129">
        <v>54927.5</v>
      </c>
      <c r="N17" s="130">
        <v>0.63500000000000001</v>
      </c>
      <c r="O17" s="130"/>
      <c r="P17" s="130"/>
      <c r="Q17" s="130"/>
      <c r="R17" s="130"/>
      <c r="S17" s="130"/>
      <c r="T17" s="130"/>
      <c r="U17" s="130"/>
      <c r="V17" s="130"/>
      <c r="W17" s="130"/>
      <c r="X17" s="130"/>
      <c r="Y17" s="130"/>
      <c r="Z17" s="130"/>
      <c r="AA17" s="130">
        <v>0.63500000000000001</v>
      </c>
      <c r="AB17" s="130"/>
      <c r="AC17" s="130"/>
      <c r="AD17" s="130"/>
      <c r="AE17" s="130">
        <v>0.63500000000000001</v>
      </c>
      <c r="AF17" s="130">
        <f>AE17*K17</f>
        <v>54927.5</v>
      </c>
      <c r="AG17" s="130">
        <v>0</v>
      </c>
      <c r="AH17" s="129"/>
      <c r="AI17" s="147"/>
      <c r="AJ17" s="147"/>
      <c r="AK17" s="123" t="s">
        <v>7630</v>
      </c>
      <c r="AL17" s="132">
        <v>43810</v>
      </c>
      <c r="AM17" s="133" t="s">
        <v>9403</v>
      </c>
    </row>
    <row r="18" spans="1:39" ht="37.5" customHeight="1" x14ac:dyDescent="0.2">
      <c r="A18" s="126">
        <v>29</v>
      </c>
      <c r="B18" s="126" t="s">
        <v>9334</v>
      </c>
      <c r="C18" s="127" t="s">
        <v>9335</v>
      </c>
      <c r="D18" s="131" t="s">
        <v>2042</v>
      </c>
      <c r="E18" s="126" t="s">
        <v>2207</v>
      </c>
      <c r="F18" s="126" t="s">
        <v>3136</v>
      </c>
      <c r="G18" s="128">
        <v>43830</v>
      </c>
      <c r="H18" s="126">
        <v>1100</v>
      </c>
      <c r="I18" s="132">
        <v>43829</v>
      </c>
      <c r="J18" s="126" t="s">
        <v>9332</v>
      </c>
      <c r="K18" s="129">
        <v>501.08</v>
      </c>
      <c r="L18" s="130">
        <v>17.7</v>
      </c>
      <c r="M18" s="129">
        <v>8869.0300000000007</v>
      </c>
      <c r="N18" s="130">
        <v>15.2</v>
      </c>
      <c r="O18" s="130"/>
      <c r="P18" s="130"/>
      <c r="Q18" s="130"/>
      <c r="R18" s="130"/>
      <c r="S18" s="130"/>
      <c r="T18" s="130"/>
      <c r="U18" s="130"/>
      <c r="V18" s="130"/>
      <c r="W18" s="130"/>
      <c r="X18" s="130"/>
      <c r="Y18" s="130"/>
      <c r="Z18" s="130"/>
      <c r="AA18" s="130">
        <v>15.2</v>
      </c>
      <c r="AB18" s="130">
        <v>15.2</v>
      </c>
      <c r="AC18" s="130">
        <v>7616.33</v>
      </c>
      <c r="AD18" s="130">
        <f>AA18-AB18</f>
        <v>0</v>
      </c>
      <c r="AE18" s="130"/>
      <c r="AF18" s="130"/>
      <c r="AG18" s="130">
        <v>0</v>
      </c>
      <c r="AH18" s="129"/>
      <c r="AI18" s="150" t="s">
        <v>10936</v>
      </c>
      <c r="AJ18" s="131" t="s">
        <v>10937</v>
      </c>
      <c r="AK18" s="131" t="s">
        <v>7630</v>
      </c>
      <c r="AL18" s="128">
        <v>43829</v>
      </c>
      <c r="AM18" s="126" t="s">
        <v>9333</v>
      </c>
    </row>
    <row r="19" spans="1:39" ht="109.5" customHeight="1" x14ac:dyDescent="0.2">
      <c r="A19" s="126">
        <v>36</v>
      </c>
      <c r="B19" s="126" t="s">
        <v>9336</v>
      </c>
      <c r="C19" s="127" t="s">
        <v>9337</v>
      </c>
      <c r="D19" s="131" t="s">
        <v>2042</v>
      </c>
      <c r="E19" s="126" t="s">
        <v>2207</v>
      </c>
      <c r="F19" s="126" t="s">
        <v>3136</v>
      </c>
      <c r="G19" s="128">
        <v>43830</v>
      </c>
      <c r="H19" s="126">
        <v>1100</v>
      </c>
      <c r="I19" s="132">
        <v>43822</v>
      </c>
      <c r="J19" s="126" t="s">
        <v>9338</v>
      </c>
      <c r="K19" s="129">
        <v>529</v>
      </c>
      <c r="L19" s="130">
        <v>504</v>
      </c>
      <c r="M19" s="129">
        <f>K19*L19</f>
        <v>266616</v>
      </c>
      <c r="N19" s="130">
        <v>136</v>
      </c>
      <c r="O19" s="130">
        <v>16</v>
      </c>
      <c r="P19" s="130">
        <v>8484</v>
      </c>
      <c r="Q19" s="130">
        <f>N19-O19</f>
        <v>120</v>
      </c>
      <c r="R19" s="130"/>
      <c r="S19" s="130"/>
      <c r="T19" s="130"/>
      <c r="U19" s="130">
        <v>4</v>
      </c>
      <c r="V19" s="130">
        <f>U19*K19</f>
        <v>2116</v>
      </c>
      <c r="W19" s="130">
        <f>Q19-U19</f>
        <v>116</v>
      </c>
      <c r="X19" s="130"/>
      <c r="Y19" s="130">
        <v>29</v>
      </c>
      <c r="Z19" s="130">
        <f>Y19*K19</f>
        <v>15341</v>
      </c>
      <c r="AA19" s="130">
        <f>W19-Y19</f>
        <v>87</v>
      </c>
      <c r="AB19" s="130">
        <v>33</v>
      </c>
      <c r="AC19" s="130">
        <f>AB19*K19</f>
        <v>17457</v>
      </c>
      <c r="AD19" s="130">
        <f>AA19-AB19</f>
        <v>54</v>
      </c>
      <c r="AE19" s="130">
        <f>17+37</f>
        <v>54</v>
      </c>
      <c r="AF19" s="130">
        <f>AE19*K19</f>
        <v>28566</v>
      </c>
      <c r="AG19" s="130">
        <f>AD19-AE19</f>
        <v>0</v>
      </c>
      <c r="AH19" s="129" t="s">
        <v>3136</v>
      </c>
      <c r="AI19" s="150" t="s">
        <v>10946</v>
      </c>
      <c r="AJ19" s="131" t="s">
        <v>10947</v>
      </c>
      <c r="AK19" s="131" t="s">
        <v>7630</v>
      </c>
      <c r="AL19" s="128">
        <v>43817</v>
      </c>
      <c r="AM19" s="126" t="s">
        <v>9339</v>
      </c>
    </row>
    <row r="20" spans="1:39" ht="25.5" customHeight="1" x14ac:dyDescent="0.2">
      <c r="A20" s="126">
        <v>49</v>
      </c>
      <c r="B20" s="126" t="s">
        <v>9341</v>
      </c>
      <c r="C20" s="127" t="s">
        <v>9342</v>
      </c>
      <c r="D20" s="131" t="s">
        <v>2042</v>
      </c>
      <c r="E20" s="126" t="s">
        <v>2207</v>
      </c>
      <c r="F20" s="126" t="s">
        <v>3136</v>
      </c>
      <c r="G20" s="128">
        <v>43830</v>
      </c>
      <c r="H20" s="126">
        <v>1100</v>
      </c>
      <c r="I20" s="132">
        <v>43822</v>
      </c>
      <c r="J20" s="126" t="s">
        <v>9307</v>
      </c>
      <c r="K20" s="129">
        <v>16015.38</v>
      </c>
      <c r="L20" s="130">
        <v>1</v>
      </c>
      <c r="M20" s="129">
        <f>K20*L20</f>
        <v>16015.38</v>
      </c>
      <c r="N20" s="130">
        <v>1</v>
      </c>
      <c r="O20" s="130"/>
      <c r="P20" s="130"/>
      <c r="Q20" s="130"/>
      <c r="R20" s="130"/>
      <c r="S20" s="130"/>
      <c r="T20" s="130"/>
      <c r="U20" s="130"/>
      <c r="V20" s="130"/>
      <c r="W20" s="130"/>
      <c r="X20" s="130"/>
      <c r="Y20" s="130"/>
      <c r="Z20" s="130"/>
      <c r="AA20" s="130">
        <v>1</v>
      </c>
      <c r="AB20" s="130"/>
      <c r="AC20" s="130"/>
      <c r="AD20" s="130"/>
      <c r="AE20" s="130">
        <v>1</v>
      </c>
      <c r="AF20" s="130">
        <f>K20</f>
        <v>16015.38</v>
      </c>
      <c r="AG20" s="130">
        <v>0</v>
      </c>
      <c r="AH20" s="129"/>
      <c r="AI20" s="150"/>
      <c r="AJ20" s="131"/>
      <c r="AK20" s="131" t="s">
        <v>7630</v>
      </c>
      <c r="AL20" s="128">
        <v>43812</v>
      </c>
      <c r="AM20" s="126" t="s">
        <v>9340</v>
      </c>
    </row>
    <row r="21" spans="1:39" ht="25.5" customHeight="1" x14ac:dyDescent="0.2">
      <c r="A21" s="126">
        <v>50</v>
      </c>
      <c r="B21" s="126" t="s">
        <v>9343</v>
      </c>
      <c r="C21" s="127" t="s">
        <v>9344</v>
      </c>
      <c r="D21" s="131" t="s">
        <v>2042</v>
      </c>
      <c r="E21" s="126" t="s">
        <v>2207</v>
      </c>
      <c r="F21" s="126" t="s">
        <v>3136</v>
      </c>
      <c r="G21" s="128">
        <v>43830</v>
      </c>
      <c r="H21" s="126">
        <v>1100</v>
      </c>
      <c r="I21" s="132">
        <v>43822</v>
      </c>
      <c r="J21" s="126" t="s">
        <v>9307</v>
      </c>
      <c r="K21" s="129">
        <v>14582.18</v>
      </c>
      <c r="L21" s="130">
        <v>1</v>
      </c>
      <c r="M21" s="129">
        <f>K21*L21</f>
        <v>14582.18</v>
      </c>
      <c r="N21" s="130">
        <v>1</v>
      </c>
      <c r="O21" s="130"/>
      <c r="P21" s="130"/>
      <c r="Q21" s="130"/>
      <c r="R21" s="130"/>
      <c r="S21" s="130"/>
      <c r="T21" s="130"/>
      <c r="U21" s="130"/>
      <c r="V21" s="130"/>
      <c r="W21" s="130"/>
      <c r="X21" s="130"/>
      <c r="Y21" s="130"/>
      <c r="Z21" s="130"/>
      <c r="AA21" s="130">
        <v>1</v>
      </c>
      <c r="AB21" s="130"/>
      <c r="AC21" s="130"/>
      <c r="AD21" s="130"/>
      <c r="AE21" s="130">
        <v>1</v>
      </c>
      <c r="AF21" s="130">
        <f>K21</f>
        <v>14582.18</v>
      </c>
      <c r="AG21" s="130">
        <v>0</v>
      </c>
      <c r="AH21" s="129"/>
      <c r="AI21" s="150"/>
      <c r="AJ21" s="131"/>
      <c r="AK21" s="131" t="s">
        <v>7630</v>
      </c>
      <c r="AL21" s="128">
        <v>43812</v>
      </c>
      <c r="AM21" s="126" t="s">
        <v>9340</v>
      </c>
    </row>
    <row r="22" spans="1:39" ht="55.5" customHeight="1" x14ac:dyDescent="0.2">
      <c r="A22" s="126">
        <v>66</v>
      </c>
      <c r="B22" s="126" t="s">
        <v>9345</v>
      </c>
      <c r="C22" s="127" t="s">
        <v>9376</v>
      </c>
      <c r="D22" s="131" t="s">
        <v>2042</v>
      </c>
      <c r="E22" s="126" t="s">
        <v>2207</v>
      </c>
      <c r="F22" s="126" t="s">
        <v>3136</v>
      </c>
      <c r="G22" s="128">
        <v>43830</v>
      </c>
      <c r="H22" s="126">
        <v>1100</v>
      </c>
      <c r="I22" s="132">
        <v>43822</v>
      </c>
      <c r="J22" s="126" t="s">
        <v>9347</v>
      </c>
      <c r="K22" s="129">
        <f>M22/L22</f>
        <v>3425</v>
      </c>
      <c r="L22" s="130">
        <v>3</v>
      </c>
      <c r="M22" s="129">
        <v>10275</v>
      </c>
      <c r="N22" s="130">
        <v>0.7</v>
      </c>
      <c r="O22" s="130"/>
      <c r="P22" s="130"/>
      <c r="Q22" s="130"/>
      <c r="R22" s="130" t="s">
        <v>10696</v>
      </c>
      <c r="S22" s="130">
        <v>2397.5</v>
      </c>
      <c r="T22" s="130">
        <v>0</v>
      </c>
      <c r="U22" s="130"/>
      <c r="V22" s="130"/>
      <c r="W22" s="130"/>
      <c r="X22" s="130"/>
      <c r="Y22" s="130"/>
      <c r="Z22" s="130"/>
      <c r="AA22" s="130">
        <v>0</v>
      </c>
      <c r="AB22" s="130"/>
      <c r="AC22" s="130"/>
      <c r="AD22" s="130"/>
      <c r="AE22" s="130"/>
      <c r="AF22" s="130"/>
      <c r="AG22" s="130">
        <f>AA22</f>
        <v>0</v>
      </c>
      <c r="AH22" s="129" t="s">
        <v>3136</v>
      </c>
      <c r="AI22" s="150" t="s">
        <v>10527</v>
      </c>
      <c r="AJ22" s="131" t="s">
        <v>10528</v>
      </c>
      <c r="AK22" s="131" t="s">
        <v>7630</v>
      </c>
      <c r="AL22" s="128">
        <v>43810</v>
      </c>
      <c r="AM22" s="126" t="s">
        <v>10177</v>
      </c>
    </row>
    <row r="23" spans="1:39" ht="108" customHeight="1" x14ac:dyDescent="0.2">
      <c r="A23" s="126">
        <v>67</v>
      </c>
      <c r="B23" s="126" t="s">
        <v>9346</v>
      </c>
      <c r="C23" s="127" t="s">
        <v>9950</v>
      </c>
      <c r="D23" s="131" t="s">
        <v>2042</v>
      </c>
      <c r="E23" s="126" t="s">
        <v>2207</v>
      </c>
      <c r="F23" s="126" t="s">
        <v>3136</v>
      </c>
      <c r="G23" s="128">
        <v>43830</v>
      </c>
      <c r="H23" s="126">
        <v>1100</v>
      </c>
      <c r="I23" s="132">
        <v>43822</v>
      </c>
      <c r="J23" s="126" t="s">
        <v>9347</v>
      </c>
      <c r="K23" s="129">
        <f>M23/L23</f>
        <v>3345</v>
      </c>
      <c r="L23" s="130">
        <v>240</v>
      </c>
      <c r="M23" s="129">
        <v>802800</v>
      </c>
      <c r="N23" s="130">
        <v>6.56</v>
      </c>
      <c r="O23" s="130">
        <v>1.76</v>
      </c>
      <c r="P23" s="130">
        <v>5887.2</v>
      </c>
      <c r="Q23" s="130">
        <f>N23-O23</f>
        <v>4.8</v>
      </c>
      <c r="R23" s="130">
        <v>0.8</v>
      </c>
      <c r="S23" s="130">
        <f>R23*K23</f>
        <v>2676</v>
      </c>
      <c r="T23" s="130">
        <f>Q23-R23</f>
        <v>4</v>
      </c>
      <c r="U23" s="130">
        <v>0.48</v>
      </c>
      <c r="V23" s="130">
        <f>U23*K23</f>
        <v>1605.6</v>
      </c>
      <c r="W23" s="130">
        <f>T23-U23</f>
        <v>3.52</v>
      </c>
      <c r="X23" s="130"/>
      <c r="Y23" s="130">
        <v>3.04</v>
      </c>
      <c r="Z23" s="130">
        <f>Y23*K23</f>
        <v>10168.799999999999</v>
      </c>
      <c r="AA23" s="130">
        <f>W23-Y23</f>
        <v>0.48</v>
      </c>
      <c r="AB23" s="130">
        <v>0.48</v>
      </c>
      <c r="AC23" s="130">
        <f>AB23*K23</f>
        <v>1605.6</v>
      </c>
      <c r="AD23" s="130">
        <f>AA23-AB23</f>
        <v>0</v>
      </c>
      <c r="AE23" s="130"/>
      <c r="AF23" s="130"/>
      <c r="AG23" s="130">
        <v>0</v>
      </c>
      <c r="AH23" s="129" t="s">
        <v>3136</v>
      </c>
      <c r="AI23" s="204" t="s">
        <v>10942</v>
      </c>
      <c r="AJ23" s="203" t="s">
        <v>10943</v>
      </c>
      <c r="AK23" s="131" t="s">
        <v>7630</v>
      </c>
      <c r="AL23" s="128">
        <v>43810</v>
      </c>
      <c r="AM23" s="126" t="s">
        <v>10177</v>
      </c>
    </row>
    <row r="24" spans="1:39" ht="39.75" customHeight="1" x14ac:dyDescent="0.2">
      <c r="A24" s="126">
        <v>71</v>
      </c>
      <c r="B24" s="126" t="s">
        <v>9362</v>
      </c>
      <c r="C24" s="127" t="s">
        <v>9722</v>
      </c>
      <c r="D24" s="131" t="s">
        <v>2042</v>
      </c>
      <c r="E24" s="126" t="s">
        <v>2207</v>
      </c>
      <c r="F24" s="126" t="s">
        <v>3136</v>
      </c>
      <c r="G24" s="128">
        <v>43847</v>
      </c>
      <c r="H24" s="126">
        <v>23</v>
      </c>
      <c r="I24" s="132">
        <v>43840</v>
      </c>
      <c r="J24" s="126" t="s">
        <v>9307</v>
      </c>
      <c r="K24" s="129">
        <v>95124</v>
      </c>
      <c r="L24" s="130">
        <v>2</v>
      </c>
      <c r="M24" s="129">
        <f>K24*L24</f>
        <v>190248</v>
      </c>
      <c r="N24" s="130">
        <v>2</v>
      </c>
      <c r="O24" s="130"/>
      <c r="P24" s="130"/>
      <c r="Q24" s="130"/>
      <c r="R24" s="130"/>
      <c r="S24" s="130"/>
      <c r="T24" s="130"/>
      <c r="U24" s="130"/>
      <c r="V24" s="130"/>
      <c r="W24" s="130"/>
      <c r="X24" s="130"/>
      <c r="Y24" s="130"/>
      <c r="Z24" s="130"/>
      <c r="AA24" s="130">
        <v>2</v>
      </c>
      <c r="AB24" s="130"/>
      <c r="AC24" s="130"/>
      <c r="AD24" s="130"/>
      <c r="AE24" s="130">
        <v>2</v>
      </c>
      <c r="AF24" s="130">
        <f>AE24*K24</f>
        <v>190248</v>
      </c>
      <c r="AG24" s="130">
        <v>0</v>
      </c>
      <c r="AH24" s="129"/>
      <c r="AI24" s="150"/>
      <c r="AJ24" s="131"/>
      <c r="AK24" s="131" t="s">
        <v>7630</v>
      </c>
      <c r="AL24" s="128">
        <v>43812</v>
      </c>
      <c r="AM24" s="126" t="s">
        <v>9340</v>
      </c>
    </row>
    <row r="25" spans="1:39" ht="34.5" customHeight="1" x14ac:dyDescent="0.2">
      <c r="A25" s="126">
        <v>72</v>
      </c>
      <c r="B25" s="126" t="s">
        <v>9362</v>
      </c>
      <c r="C25" s="127" t="s">
        <v>9369</v>
      </c>
      <c r="D25" s="131" t="s">
        <v>2042</v>
      </c>
      <c r="E25" s="126" t="s">
        <v>2207</v>
      </c>
      <c r="F25" s="126" t="s">
        <v>3136</v>
      </c>
      <c r="G25" s="128">
        <v>43861</v>
      </c>
      <c r="H25" s="126">
        <v>88</v>
      </c>
      <c r="I25" s="132">
        <v>43854</v>
      </c>
      <c r="J25" s="126" t="s">
        <v>9307</v>
      </c>
      <c r="K25" s="130">
        <v>41</v>
      </c>
      <c r="L25" s="129">
        <v>2</v>
      </c>
      <c r="M25" s="129">
        <f>L25*K25</f>
        <v>82</v>
      </c>
      <c r="N25" s="130">
        <v>2</v>
      </c>
      <c r="O25" s="130"/>
      <c r="P25" s="130"/>
      <c r="Q25" s="130"/>
      <c r="R25" s="130"/>
      <c r="S25" s="130"/>
      <c r="T25" s="130"/>
      <c r="U25" s="130"/>
      <c r="V25" s="130"/>
      <c r="W25" s="130"/>
      <c r="X25" s="130"/>
      <c r="Y25" s="130"/>
      <c r="Z25" s="130"/>
      <c r="AA25" s="130">
        <v>2</v>
      </c>
      <c r="AB25" s="130"/>
      <c r="AC25" s="130"/>
      <c r="AD25" s="130"/>
      <c r="AE25" s="130">
        <v>2</v>
      </c>
      <c r="AF25" s="130">
        <f>AE25*K25</f>
        <v>82</v>
      </c>
      <c r="AG25" s="130">
        <v>0</v>
      </c>
      <c r="AH25" s="129"/>
      <c r="AI25" s="147"/>
      <c r="AJ25" s="147"/>
      <c r="AK25" s="131" t="s">
        <v>7630</v>
      </c>
      <c r="AL25" s="128">
        <v>43829</v>
      </c>
      <c r="AM25" s="126" t="s">
        <v>9368</v>
      </c>
    </row>
    <row r="26" spans="1:39" ht="25.5" customHeight="1" x14ac:dyDescent="0.2">
      <c r="A26" s="126">
        <v>74</v>
      </c>
      <c r="B26" s="126" t="s">
        <v>9363</v>
      </c>
      <c r="C26" s="127" t="s">
        <v>9370</v>
      </c>
      <c r="D26" s="131" t="s">
        <v>2042</v>
      </c>
      <c r="E26" s="126" t="s">
        <v>2207</v>
      </c>
      <c r="F26" s="126" t="s">
        <v>3136</v>
      </c>
      <c r="G26" s="128">
        <v>43861</v>
      </c>
      <c r="H26" s="126">
        <v>88</v>
      </c>
      <c r="I26" s="132">
        <v>43854</v>
      </c>
      <c r="J26" s="126" t="s">
        <v>9307</v>
      </c>
      <c r="K26" s="130">
        <v>205.5</v>
      </c>
      <c r="L26" s="129">
        <v>2</v>
      </c>
      <c r="M26" s="129">
        <v>411</v>
      </c>
      <c r="N26" s="130">
        <v>2</v>
      </c>
      <c r="O26" s="130"/>
      <c r="P26" s="130"/>
      <c r="Q26" s="130"/>
      <c r="R26" s="130"/>
      <c r="S26" s="130"/>
      <c r="T26" s="130"/>
      <c r="U26" s="130"/>
      <c r="V26" s="130"/>
      <c r="W26" s="130"/>
      <c r="X26" s="130"/>
      <c r="Y26" s="130"/>
      <c r="Z26" s="130"/>
      <c r="AA26" s="130">
        <v>2</v>
      </c>
      <c r="AB26" s="130"/>
      <c r="AC26" s="130"/>
      <c r="AD26" s="130"/>
      <c r="AE26" s="130">
        <v>2</v>
      </c>
      <c r="AF26" s="130">
        <f>2*K26</f>
        <v>411</v>
      </c>
      <c r="AG26" s="130">
        <v>0</v>
      </c>
      <c r="AH26" s="129"/>
      <c r="AI26" s="147"/>
      <c r="AJ26" s="147"/>
      <c r="AK26" s="131" t="s">
        <v>7630</v>
      </c>
      <c r="AL26" s="128">
        <v>43829</v>
      </c>
      <c r="AM26" s="126" t="s">
        <v>9368</v>
      </c>
    </row>
    <row r="27" spans="1:39" ht="34.5" customHeight="1" x14ac:dyDescent="0.2">
      <c r="A27" s="126">
        <v>75</v>
      </c>
      <c r="B27" s="126" t="s">
        <v>9364</v>
      </c>
      <c r="C27" s="127" t="s">
        <v>9371</v>
      </c>
      <c r="D27" s="131" t="s">
        <v>2042</v>
      </c>
      <c r="E27" s="126" t="s">
        <v>2207</v>
      </c>
      <c r="F27" s="126" t="s">
        <v>3136</v>
      </c>
      <c r="G27" s="128">
        <v>43861</v>
      </c>
      <c r="H27" s="126">
        <v>88</v>
      </c>
      <c r="I27" s="132">
        <v>43854</v>
      </c>
      <c r="J27" s="126" t="s">
        <v>9307</v>
      </c>
      <c r="K27" s="130">
        <v>4632.3</v>
      </c>
      <c r="L27" s="129">
        <v>2</v>
      </c>
      <c r="M27" s="129">
        <v>9264.6</v>
      </c>
      <c r="N27" s="130">
        <v>2</v>
      </c>
      <c r="O27" s="130"/>
      <c r="P27" s="130"/>
      <c r="Q27" s="130"/>
      <c r="R27" s="130"/>
      <c r="S27" s="130"/>
      <c r="T27" s="130"/>
      <c r="U27" s="130"/>
      <c r="V27" s="130"/>
      <c r="W27" s="130"/>
      <c r="X27" s="130"/>
      <c r="Y27" s="130"/>
      <c r="Z27" s="130"/>
      <c r="AA27" s="130">
        <v>2</v>
      </c>
      <c r="AB27" s="130">
        <v>1</v>
      </c>
      <c r="AC27" s="130">
        <v>4632.3</v>
      </c>
      <c r="AD27" s="130">
        <v>1</v>
      </c>
      <c r="AE27" s="130">
        <v>1</v>
      </c>
      <c r="AF27" s="130">
        <f>AE27*K27</f>
        <v>4632.3</v>
      </c>
      <c r="AG27" s="130">
        <v>0</v>
      </c>
      <c r="AH27" s="129" t="s">
        <v>3136</v>
      </c>
      <c r="AI27" s="204">
        <v>44390</v>
      </c>
      <c r="AJ27" s="203">
        <v>523</v>
      </c>
      <c r="AK27" s="131" t="s">
        <v>7630</v>
      </c>
      <c r="AL27" s="128">
        <v>43829</v>
      </c>
      <c r="AM27" s="126" t="s">
        <v>9368</v>
      </c>
    </row>
    <row r="28" spans="1:39" ht="25.5" customHeight="1" x14ac:dyDescent="0.2">
      <c r="A28" s="126">
        <v>77</v>
      </c>
      <c r="B28" s="126" t="s">
        <v>9365</v>
      </c>
      <c r="C28" s="127" t="s">
        <v>9372</v>
      </c>
      <c r="D28" s="131" t="s">
        <v>2042</v>
      </c>
      <c r="E28" s="126" t="s">
        <v>2207</v>
      </c>
      <c r="F28" s="126" t="s">
        <v>3136</v>
      </c>
      <c r="G28" s="128">
        <v>43861</v>
      </c>
      <c r="H28" s="126">
        <v>88</v>
      </c>
      <c r="I28" s="132">
        <v>43854</v>
      </c>
      <c r="J28" s="126" t="s">
        <v>9307</v>
      </c>
      <c r="K28" s="130">
        <v>252</v>
      </c>
      <c r="L28" s="129">
        <v>2</v>
      </c>
      <c r="M28" s="129">
        <v>504</v>
      </c>
      <c r="N28" s="130">
        <v>2</v>
      </c>
      <c r="O28" s="130"/>
      <c r="P28" s="130"/>
      <c r="Q28" s="130"/>
      <c r="R28" s="130"/>
      <c r="S28" s="130"/>
      <c r="T28" s="130"/>
      <c r="U28" s="130"/>
      <c r="V28" s="130"/>
      <c r="W28" s="130"/>
      <c r="X28" s="130"/>
      <c r="Y28" s="130">
        <v>2</v>
      </c>
      <c r="Z28" s="130">
        <f>Y28*K28</f>
        <v>504</v>
      </c>
      <c r="AA28" s="130">
        <v>0</v>
      </c>
      <c r="AB28" s="130"/>
      <c r="AC28" s="130"/>
      <c r="AD28" s="130"/>
      <c r="AE28" s="130"/>
      <c r="AF28" s="130"/>
      <c r="AG28" s="130">
        <f>AA28</f>
        <v>0</v>
      </c>
      <c r="AH28" s="129" t="s">
        <v>3136</v>
      </c>
      <c r="AI28" s="204">
        <v>44369</v>
      </c>
      <c r="AJ28" s="203">
        <v>463</v>
      </c>
      <c r="AK28" s="131" t="s">
        <v>7630</v>
      </c>
      <c r="AL28" s="128">
        <v>43829</v>
      </c>
      <c r="AM28" s="126" t="s">
        <v>9368</v>
      </c>
    </row>
    <row r="29" spans="1:39" ht="25.5" customHeight="1" x14ac:dyDescent="0.2">
      <c r="A29" s="126">
        <v>79</v>
      </c>
      <c r="B29" s="126" t="s">
        <v>9366</v>
      </c>
      <c r="C29" s="127" t="s">
        <v>9373</v>
      </c>
      <c r="D29" s="131" t="s">
        <v>2042</v>
      </c>
      <c r="E29" s="126" t="s">
        <v>2207</v>
      </c>
      <c r="F29" s="126" t="s">
        <v>3136</v>
      </c>
      <c r="G29" s="128">
        <v>43861</v>
      </c>
      <c r="H29" s="126">
        <v>88</v>
      </c>
      <c r="I29" s="132">
        <v>43854</v>
      </c>
      <c r="J29" s="126" t="s">
        <v>9307</v>
      </c>
      <c r="K29" s="130">
        <v>510.12</v>
      </c>
      <c r="L29" s="129">
        <v>1</v>
      </c>
      <c r="M29" s="129">
        <v>510.12</v>
      </c>
      <c r="N29" s="130">
        <v>1</v>
      </c>
      <c r="O29" s="130"/>
      <c r="P29" s="130"/>
      <c r="Q29" s="130"/>
      <c r="R29" s="130"/>
      <c r="S29" s="130"/>
      <c r="T29" s="130"/>
      <c r="U29" s="130"/>
      <c r="V29" s="130"/>
      <c r="W29" s="130"/>
      <c r="X29" s="130"/>
      <c r="Y29" s="130"/>
      <c r="Z29" s="130"/>
      <c r="AA29" s="130">
        <v>1</v>
      </c>
      <c r="AB29" s="130"/>
      <c r="AC29" s="130"/>
      <c r="AD29" s="130"/>
      <c r="AE29" s="130">
        <v>1</v>
      </c>
      <c r="AF29" s="130">
        <f>K29</f>
        <v>510.12</v>
      </c>
      <c r="AG29" s="130">
        <v>0</v>
      </c>
      <c r="AH29" s="129"/>
      <c r="AI29" s="204"/>
      <c r="AJ29" s="147"/>
      <c r="AK29" s="131" t="s">
        <v>7630</v>
      </c>
      <c r="AL29" s="128">
        <v>43829</v>
      </c>
      <c r="AM29" s="126" t="s">
        <v>9368</v>
      </c>
    </row>
    <row r="30" spans="1:39" ht="18.75" customHeight="1" x14ac:dyDescent="0.2">
      <c r="A30" s="90"/>
      <c r="B30" s="90"/>
      <c r="C30" s="6"/>
      <c r="D30" s="90"/>
      <c r="E30" s="90"/>
      <c r="F30" s="90"/>
      <c r="J30" s="90"/>
      <c r="K30" s="174"/>
      <c r="L30" s="339"/>
      <c r="M30" s="188">
        <f>SUM(M8:M29)</f>
        <v>3224568.41</v>
      </c>
      <c r="N30" s="188"/>
      <c r="O30" s="193"/>
      <c r="P30" s="193"/>
      <c r="Q30" s="193"/>
      <c r="R30" s="193"/>
      <c r="S30" s="193"/>
      <c r="T30" s="193"/>
      <c r="U30" s="193"/>
      <c r="V30" s="193"/>
      <c r="W30" s="193"/>
      <c r="X30" s="193"/>
      <c r="Y30" s="193"/>
      <c r="Z30" s="193"/>
      <c r="AA30" s="193"/>
      <c r="AB30" s="193"/>
      <c r="AC30" s="193"/>
      <c r="AD30" s="193"/>
      <c r="AE30" s="193"/>
      <c r="AF30" s="193"/>
      <c r="AG30" s="193"/>
      <c r="AH30" s="134"/>
      <c r="AI30" s="153"/>
      <c r="AJ30" s="134"/>
    </row>
    <row r="31" spans="1:39" x14ac:dyDescent="0.2">
      <c r="A31" s="90"/>
      <c r="B31" s="90"/>
      <c r="C31" s="6"/>
      <c r="D31" s="146"/>
      <c r="E31" s="90"/>
      <c r="F31" s="90"/>
      <c r="J31" s="90"/>
      <c r="K31" s="135"/>
      <c r="L31" s="340"/>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54"/>
      <c r="AJ31" s="135"/>
    </row>
  </sheetData>
  <autoFilter ref="A7:AM30"/>
  <mergeCells count="20">
    <mergeCell ref="E5:E6"/>
    <mergeCell ref="F5:H5"/>
    <mergeCell ref="I5:I6"/>
    <mergeCell ref="N5:N6"/>
    <mergeCell ref="O5:Q5"/>
    <mergeCell ref="A2:B2"/>
    <mergeCell ref="A3:D3"/>
    <mergeCell ref="A5:A6"/>
    <mergeCell ref="B5:B6"/>
    <mergeCell ref="C5:C6"/>
    <mergeCell ref="D5:D6"/>
    <mergeCell ref="U5:W5"/>
    <mergeCell ref="AK5:AM5"/>
    <mergeCell ref="M5:M6"/>
    <mergeCell ref="L5:L6"/>
    <mergeCell ref="AH5:AJ5"/>
    <mergeCell ref="R5:T5"/>
    <mergeCell ref="Y5:AA5"/>
    <mergeCell ref="AB5:AD5"/>
    <mergeCell ref="AE5:AG5"/>
  </mergeCells>
  <pageMargins left="0" right="0" top="1.1811023622047245" bottom="0"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6"/>
  <sheetViews>
    <sheetView topLeftCell="A136" workbookViewId="0">
      <selection activeCell="P7" sqref="P7:P142"/>
    </sheetView>
  </sheetViews>
  <sheetFormatPr defaultColWidth="9.140625" defaultRowHeight="12.75" x14ac:dyDescent="0.2"/>
  <cols>
    <col min="1" max="1" width="4.85546875" style="90" customWidth="1"/>
    <col min="2" max="2" width="8.85546875" style="6" customWidth="1"/>
    <col min="3" max="3" width="13.42578125" style="90" customWidth="1"/>
    <col min="4" max="4" width="13.28515625" style="6" customWidth="1"/>
    <col min="5" max="5" width="12.28515625" style="6" customWidth="1"/>
    <col min="6" max="6" width="26.28515625" style="444" customWidth="1"/>
    <col min="7" max="7" width="18.42578125" style="6" customWidth="1"/>
    <col min="8" max="8" width="15.28515625" style="6" customWidth="1"/>
    <col min="9" max="9" width="12.7109375" style="6" customWidth="1"/>
    <col min="10" max="10" width="11.5703125" style="90" customWidth="1"/>
    <col min="11" max="11" width="11.85546875" style="6" customWidth="1"/>
    <col min="12" max="12" width="11" style="6" customWidth="1"/>
    <col min="13" max="13" width="9.140625" style="6" customWidth="1"/>
    <col min="14" max="14" width="13" style="6" customWidth="1"/>
    <col min="15" max="15" width="9.7109375" style="6" customWidth="1"/>
    <col min="16" max="16" width="15.5703125" style="90" customWidth="1"/>
    <col min="17" max="17" width="16.42578125" style="90" customWidth="1"/>
    <col min="18" max="18" width="15.7109375" style="6" customWidth="1"/>
    <col min="19" max="19" width="11.7109375" style="90" customWidth="1"/>
    <col min="20" max="20" width="15.7109375" style="90" customWidth="1"/>
    <col min="21" max="21" width="9.85546875" style="6" customWidth="1"/>
    <col min="22" max="22" width="13" style="6" customWidth="1"/>
    <col min="23" max="23" width="12.42578125" style="6" customWidth="1"/>
    <col min="24" max="24" width="27.42578125" style="90" customWidth="1"/>
    <col min="25" max="27" width="9.140625" style="6"/>
    <col min="28" max="28" width="9.140625" style="6" customWidth="1"/>
    <col min="29" max="16384" width="9.140625" style="6"/>
  </cols>
  <sheetData>
    <row r="1" spans="1:24" ht="19.5" customHeight="1" x14ac:dyDescent="0.3">
      <c r="A1" s="386" t="s">
        <v>12980</v>
      </c>
      <c r="B1" s="386"/>
      <c r="C1" s="386"/>
      <c r="D1" s="386"/>
      <c r="E1" s="386"/>
      <c r="F1" s="347"/>
      <c r="G1" s="103"/>
      <c r="H1" s="288"/>
      <c r="I1" s="288"/>
      <c r="J1" s="288"/>
      <c r="K1" s="288"/>
      <c r="L1" s="288"/>
      <c r="M1" s="288"/>
      <c r="N1" s="90"/>
      <c r="O1" s="90"/>
      <c r="R1" s="90"/>
      <c r="U1" s="90"/>
      <c r="V1" s="387"/>
      <c r="W1" s="90"/>
    </row>
    <row r="2" spans="1:24" s="92" customFormat="1" ht="15.75" customHeight="1" x14ac:dyDescent="0.2">
      <c r="A2" s="449" t="s">
        <v>12981</v>
      </c>
      <c r="B2" s="449"/>
      <c r="C2" s="449"/>
      <c r="D2" s="449"/>
      <c r="E2" s="449"/>
      <c r="F2" s="449"/>
      <c r="G2" s="449"/>
      <c r="H2" s="449"/>
      <c r="I2" s="388"/>
      <c r="J2" s="389"/>
      <c r="K2" s="388"/>
      <c r="S2" s="103"/>
      <c r="T2" s="103"/>
      <c r="W2" s="6"/>
      <c r="X2" s="103"/>
    </row>
    <row r="3" spans="1:24" ht="14.25" customHeight="1" x14ac:dyDescent="0.2">
      <c r="B3" s="103" t="s">
        <v>3211</v>
      </c>
      <c r="C3" s="103"/>
      <c r="D3" s="92"/>
      <c r="E3" s="92"/>
      <c r="F3" s="348"/>
      <c r="G3" s="103"/>
      <c r="H3" s="103"/>
      <c r="I3" s="103"/>
      <c r="J3" s="103"/>
      <c r="K3" s="103"/>
      <c r="L3" s="103"/>
      <c r="M3" s="103"/>
      <c r="N3" s="90"/>
      <c r="O3" s="90"/>
      <c r="R3" s="90"/>
      <c r="U3" s="90"/>
      <c r="V3" s="387"/>
      <c r="W3" s="90"/>
    </row>
    <row r="4" spans="1:24" s="284" customFormat="1" ht="40.5" customHeight="1" x14ac:dyDescent="0.2">
      <c r="A4" s="49" t="s">
        <v>3972</v>
      </c>
      <c r="B4" s="49" t="s">
        <v>6165</v>
      </c>
      <c r="C4" s="49" t="s">
        <v>12408</v>
      </c>
      <c r="D4" s="49" t="s">
        <v>1995</v>
      </c>
      <c r="E4" s="49" t="s">
        <v>12982</v>
      </c>
      <c r="F4" s="49" t="s">
        <v>438</v>
      </c>
      <c r="G4" s="46" t="s">
        <v>12418</v>
      </c>
      <c r="H4" s="49" t="s">
        <v>2417</v>
      </c>
      <c r="I4" s="49" t="s">
        <v>5331</v>
      </c>
      <c r="J4" s="49" t="s">
        <v>12419</v>
      </c>
      <c r="K4" s="390" t="s">
        <v>3130</v>
      </c>
      <c r="L4" s="391"/>
      <c r="M4" s="392"/>
      <c r="N4" s="327" t="s">
        <v>12983</v>
      </c>
      <c r="O4" s="327" t="s">
        <v>5405</v>
      </c>
      <c r="P4" s="393" t="s">
        <v>4261</v>
      </c>
      <c r="Q4" s="394"/>
      <c r="R4" s="394"/>
      <c r="S4" s="395"/>
      <c r="T4" s="396" t="s">
        <v>12420</v>
      </c>
      <c r="U4" s="397"/>
      <c r="V4" s="398"/>
      <c r="W4" s="46" t="s">
        <v>12984</v>
      </c>
      <c r="X4" s="49" t="s">
        <v>12985</v>
      </c>
    </row>
    <row r="5" spans="1:24" s="284" customFormat="1" ht="50.25" customHeight="1" x14ac:dyDescent="0.2">
      <c r="A5" s="37"/>
      <c r="B5" s="54"/>
      <c r="C5" s="37"/>
      <c r="D5" s="54"/>
      <c r="E5" s="54"/>
      <c r="F5" s="54"/>
      <c r="G5" s="54"/>
      <c r="H5" s="54"/>
      <c r="I5" s="37"/>
      <c r="J5" s="54"/>
      <c r="K5" s="285" t="s">
        <v>3771</v>
      </c>
      <c r="L5" s="285" t="s">
        <v>1598</v>
      </c>
      <c r="M5" s="285" t="s">
        <v>3131</v>
      </c>
      <c r="N5" s="332"/>
      <c r="O5" s="332"/>
      <c r="P5" s="285" t="s">
        <v>38</v>
      </c>
      <c r="Q5" s="285" t="s">
        <v>12986</v>
      </c>
      <c r="R5" s="285" t="s">
        <v>2252</v>
      </c>
      <c r="S5" s="285" t="s">
        <v>12987</v>
      </c>
      <c r="T5" s="285" t="s">
        <v>3771</v>
      </c>
      <c r="U5" s="285" t="s">
        <v>1598</v>
      </c>
      <c r="V5" s="70" t="s">
        <v>3131</v>
      </c>
      <c r="W5" s="54"/>
      <c r="X5" s="37"/>
    </row>
    <row r="6" spans="1:24" s="39" customFormat="1" ht="15" customHeight="1" x14ac:dyDescent="0.2">
      <c r="A6" s="289"/>
      <c r="B6" s="289">
        <v>2</v>
      </c>
      <c r="C6" s="289">
        <v>3</v>
      </c>
      <c r="D6" s="289">
        <v>4</v>
      </c>
      <c r="E6" s="289">
        <v>5</v>
      </c>
      <c r="F6" s="289">
        <v>6</v>
      </c>
      <c r="G6" s="289">
        <v>7</v>
      </c>
      <c r="H6" s="289">
        <v>8</v>
      </c>
      <c r="I6" s="289">
        <v>9</v>
      </c>
      <c r="J6" s="289">
        <v>10</v>
      </c>
      <c r="K6" s="289">
        <v>11</v>
      </c>
      <c r="L6" s="289">
        <v>12</v>
      </c>
      <c r="M6" s="289">
        <v>13</v>
      </c>
      <c r="N6" s="289">
        <v>14</v>
      </c>
      <c r="O6" s="289">
        <v>15</v>
      </c>
      <c r="P6" s="289">
        <v>16</v>
      </c>
      <c r="Q6" s="289">
        <v>17</v>
      </c>
      <c r="R6" s="289">
        <v>18</v>
      </c>
      <c r="S6" s="289">
        <v>19</v>
      </c>
      <c r="T6" s="289">
        <v>20</v>
      </c>
      <c r="U6" s="289">
        <v>21</v>
      </c>
      <c r="V6" s="160">
        <v>22</v>
      </c>
      <c r="W6" s="289">
        <v>23</v>
      </c>
      <c r="X6" s="289">
        <v>24</v>
      </c>
    </row>
    <row r="7" spans="1:24" s="19" customFormat="1" ht="48" customHeight="1" x14ac:dyDescent="0.2">
      <c r="A7" s="289">
        <v>1</v>
      </c>
      <c r="B7" s="12" t="s">
        <v>12988</v>
      </c>
      <c r="C7" s="289"/>
      <c r="D7" s="13" t="s">
        <v>12989</v>
      </c>
      <c r="E7" s="289">
        <v>1962</v>
      </c>
      <c r="F7" s="13" t="s">
        <v>12990</v>
      </c>
      <c r="G7" s="285" t="s">
        <v>12991</v>
      </c>
      <c r="H7" s="285" t="s">
        <v>12992</v>
      </c>
      <c r="I7" s="285" t="s">
        <v>2614</v>
      </c>
      <c r="J7" s="285" t="s">
        <v>2207</v>
      </c>
      <c r="K7" s="285" t="s">
        <v>6309</v>
      </c>
      <c r="L7" s="14">
        <v>38971</v>
      </c>
      <c r="M7" s="22" t="s">
        <v>12993</v>
      </c>
      <c r="N7" s="370">
        <v>138.5</v>
      </c>
      <c r="O7" s="15">
        <v>39814</v>
      </c>
      <c r="P7" s="40">
        <v>133970</v>
      </c>
      <c r="Q7" s="40">
        <f>P7-R7</f>
        <v>102856.16</v>
      </c>
      <c r="R7" s="40">
        <v>31113.84</v>
      </c>
      <c r="S7" s="40"/>
      <c r="T7" s="285" t="s">
        <v>2829</v>
      </c>
      <c r="U7" s="15">
        <v>34187</v>
      </c>
      <c r="V7" s="160">
        <v>41</v>
      </c>
      <c r="W7" s="15">
        <v>36445</v>
      </c>
      <c r="X7" s="18"/>
    </row>
    <row r="8" spans="1:24" s="19" customFormat="1" ht="48" customHeight="1" x14ac:dyDescent="0.2">
      <c r="A8" s="289">
        <v>2</v>
      </c>
      <c r="B8" s="12" t="s">
        <v>12994</v>
      </c>
      <c r="C8" s="289"/>
      <c r="D8" s="13" t="s">
        <v>12995</v>
      </c>
      <c r="E8" s="12" t="s">
        <v>12996</v>
      </c>
      <c r="F8" s="13" t="s">
        <v>12997</v>
      </c>
      <c r="G8" s="285" t="s">
        <v>12998</v>
      </c>
      <c r="H8" s="285" t="s">
        <v>3525</v>
      </c>
      <c r="I8" s="285" t="s">
        <v>2614</v>
      </c>
      <c r="J8" s="285" t="s">
        <v>2207</v>
      </c>
      <c r="K8" s="285" t="s">
        <v>12999</v>
      </c>
      <c r="L8" s="14">
        <v>41919</v>
      </c>
      <c r="M8" s="22" t="s">
        <v>13000</v>
      </c>
      <c r="N8" s="370">
        <v>11</v>
      </c>
      <c r="O8" s="15">
        <v>41873</v>
      </c>
      <c r="P8" s="40">
        <v>56320.83</v>
      </c>
      <c r="Q8" s="40">
        <f>P8-R8</f>
        <v>56320.83</v>
      </c>
      <c r="R8" s="40">
        <v>0</v>
      </c>
      <c r="S8" s="40"/>
      <c r="T8" s="285" t="s">
        <v>13001</v>
      </c>
      <c r="U8" s="289" t="s">
        <v>13002</v>
      </c>
      <c r="V8" s="160">
        <v>43</v>
      </c>
      <c r="W8" s="15">
        <v>35090</v>
      </c>
      <c r="X8" s="289"/>
    </row>
    <row r="9" spans="1:24" s="19" customFormat="1" ht="75.75" customHeight="1" x14ac:dyDescent="0.2">
      <c r="A9" s="289">
        <v>3</v>
      </c>
      <c r="B9" s="12" t="s">
        <v>13003</v>
      </c>
      <c r="C9" s="289" t="s">
        <v>13004</v>
      </c>
      <c r="D9" s="13" t="s">
        <v>13005</v>
      </c>
      <c r="E9" s="12" t="s">
        <v>13006</v>
      </c>
      <c r="F9" s="13" t="s">
        <v>13007</v>
      </c>
      <c r="G9" s="285" t="s">
        <v>13008</v>
      </c>
      <c r="H9" s="285" t="s">
        <v>13009</v>
      </c>
      <c r="I9" s="285" t="s">
        <v>5127</v>
      </c>
      <c r="J9" s="285"/>
      <c r="K9" s="285" t="s">
        <v>13010</v>
      </c>
      <c r="L9" s="285" t="s">
        <v>13011</v>
      </c>
      <c r="M9" s="285" t="s">
        <v>13012</v>
      </c>
      <c r="N9" s="40">
        <v>1126.7</v>
      </c>
      <c r="O9" s="15">
        <v>41214</v>
      </c>
      <c r="P9" s="40">
        <v>7824974.4800000004</v>
      </c>
      <c r="Q9" s="40">
        <v>3637460.88</v>
      </c>
      <c r="R9" s="40">
        <f>P9-Q9</f>
        <v>4187513.6000000006</v>
      </c>
      <c r="S9" s="399">
        <v>22137253</v>
      </c>
      <c r="T9" s="285" t="s">
        <v>13001</v>
      </c>
      <c r="U9" s="289" t="s">
        <v>13002</v>
      </c>
      <c r="V9" s="160">
        <v>44</v>
      </c>
      <c r="W9" s="289" t="s">
        <v>13013</v>
      </c>
      <c r="X9" s="46" t="s">
        <v>13014</v>
      </c>
    </row>
    <row r="10" spans="1:24" s="19" customFormat="1" ht="105.75" customHeight="1" x14ac:dyDescent="0.2">
      <c r="A10" s="289">
        <v>4</v>
      </c>
      <c r="B10" s="12" t="s">
        <v>13015</v>
      </c>
      <c r="C10" s="289" t="s">
        <v>13004</v>
      </c>
      <c r="D10" s="13" t="s">
        <v>13016</v>
      </c>
      <c r="E10" s="12" t="s">
        <v>13006</v>
      </c>
      <c r="F10" s="13" t="s">
        <v>13017</v>
      </c>
      <c r="G10" s="285" t="s">
        <v>13008</v>
      </c>
      <c r="H10" s="285" t="s">
        <v>13018</v>
      </c>
      <c r="I10" s="285" t="s">
        <v>39</v>
      </c>
      <c r="J10" s="285" t="s">
        <v>2207</v>
      </c>
      <c r="K10" s="285" t="s">
        <v>13019</v>
      </c>
      <c r="L10" s="285" t="s">
        <v>13020</v>
      </c>
      <c r="M10" s="285" t="s">
        <v>13021</v>
      </c>
      <c r="N10" s="40">
        <v>208.6</v>
      </c>
      <c r="O10" s="15">
        <v>40848</v>
      </c>
      <c r="P10" s="17">
        <v>1448734.96</v>
      </c>
      <c r="Q10" s="17">
        <f>P10-R10</f>
        <v>461752.48</v>
      </c>
      <c r="R10" s="17">
        <v>986982.48</v>
      </c>
      <c r="S10" s="400"/>
      <c r="T10" s="285" t="s">
        <v>13001</v>
      </c>
      <c r="U10" s="289" t="s">
        <v>13002</v>
      </c>
      <c r="V10" s="160">
        <v>44</v>
      </c>
      <c r="W10" s="289" t="s">
        <v>13013</v>
      </c>
      <c r="X10" s="54"/>
    </row>
    <row r="11" spans="1:24" s="19" customFormat="1" ht="24.75" customHeight="1" x14ac:dyDescent="0.2">
      <c r="A11" s="289">
        <v>5</v>
      </c>
      <c r="B11" s="12" t="s">
        <v>13022</v>
      </c>
      <c r="C11" s="289"/>
      <c r="D11" s="13" t="s">
        <v>13023</v>
      </c>
      <c r="E11" s="12" t="s">
        <v>13024</v>
      </c>
      <c r="F11" s="13" t="s">
        <v>13025</v>
      </c>
      <c r="G11" s="285" t="s">
        <v>12998</v>
      </c>
      <c r="H11" s="285" t="s">
        <v>3525</v>
      </c>
      <c r="I11" s="285" t="s">
        <v>2614</v>
      </c>
      <c r="J11" s="285" t="s">
        <v>2207</v>
      </c>
      <c r="K11" s="285" t="s">
        <v>12999</v>
      </c>
      <c r="L11" s="14">
        <v>41919</v>
      </c>
      <c r="M11" s="22" t="s">
        <v>13000</v>
      </c>
      <c r="N11" s="370">
        <v>25.8</v>
      </c>
      <c r="O11" s="15">
        <v>41873</v>
      </c>
      <c r="P11" s="40">
        <v>37226.43</v>
      </c>
      <c r="Q11" s="40">
        <f>P11-R11</f>
        <v>37226.43</v>
      </c>
      <c r="R11" s="40">
        <v>0</v>
      </c>
      <c r="S11" s="40"/>
      <c r="T11" s="285" t="s">
        <v>13001</v>
      </c>
      <c r="U11" s="289" t="s">
        <v>13002</v>
      </c>
      <c r="V11" s="160">
        <v>43</v>
      </c>
      <c r="W11" s="289" t="s">
        <v>13026</v>
      </c>
      <c r="X11" s="289"/>
    </row>
    <row r="12" spans="1:24" s="19" customFormat="1" ht="37.5" customHeight="1" x14ac:dyDescent="0.2">
      <c r="A12" s="289">
        <v>6</v>
      </c>
      <c r="B12" s="12" t="s">
        <v>13027</v>
      </c>
      <c r="C12" s="289" t="s">
        <v>13028</v>
      </c>
      <c r="D12" s="9" t="s">
        <v>13029</v>
      </c>
      <c r="E12" s="289">
        <v>1989</v>
      </c>
      <c r="F12" s="13" t="s">
        <v>13030</v>
      </c>
      <c r="G12" s="285" t="s">
        <v>13031</v>
      </c>
      <c r="H12" s="285" t="s">
        <v>7846</v>
      </c>
      <c r="I12" s="285" t="s">
        <v>5127</v>
      </c>
      <c r="J12" s="285"/>
      <c r="K12" s="285" t="s">
        <v>3136</v>
      </c>
      <c r="L12" s="14" t="s">
        <v>13032</v>
      </c>
      <c r="M12" s="285" t="s">
        <v>13033</v>
      </c>
      <c r="N12" s="370">
        <f>588.2+213.6</f>
        <v>801.80000000000007</v>
      </c>
      <c r="O12" s="14" t="s">
        <v>13034</v>
      </c>
      <c r="P12" s="40">
        <f>7157829.05+2599306.84</f>
        <v>9757135.8900000006</v>
      </c>
      <c r="Q12" s="40">
        <v>4238281.67</v>
      </c>
      <c r="R12" s="40">
        <f t="shared" ref="R12:R19" si="0">P12-Q12</f>
        <v>5518854.2200000007</v>
      </c>
      <c r="S12" s="40">
        <v>12481046</v>
      </c>
      <c r="T12" s="285" t="s">
        <v>13001</v>
      </c>
      <c r="U12" s="15">
        <v>36831</v>
      </c>
      <c r="V12" s="160">
        <v>43</v>
      </c>
      <c r="W12" s="15">
        <v>34802</v>
      </c>
      <c r="X12" s="285" t="s">
        <v>13035</v>
      </c>
    </row>
    <row r="13" spans="1:24" s="19" customFormat="1" ht="24.75" customHeight="1" x14ac:dyDescent="0.2">
      <c r="A13" s="289">
        <v>7</v>
      </c>
      <c r="B13" s="12" t="s">
        <v>13036</v>
      </c>
      <c r="C13" s="289" t="s">
        <v>13037</v>
      </c>
      <c r="D13" s="13" t="s">
        <v>13038</v>
      </c>
      <c r="E13" s="12" t="s">
        <v>13039</v>
      </c>
      <c r="F13" s="13" t="s">
        <v>13040</v>
      </c>
      <c r="G13" s="285" t="s">
        <v>13041</v>
      </c>
      <c r="H13" s="285" t="s">
        <v>4946</v>
      </c>
      <c r="I13" s="285" t="s">
        <v>5127</v>
      </c>
      <c r="J13" s="285"/>
      <c r="K13" s="285" t="s">
        <v>3136</v>
      </c>
      <c r="L13" s="14" t="s">
        <v>13042</v>
      </c>
      <c r="M13" s="285" t="s">
        <v>13043</v>
      </c>
      <c r="N13" s="370">
        <v>1016.2</v>
      </c>
      <c r="O13" s="15">
        <v>41214</v>
      </c>
      <c r="P13" s="40">
        <v>372308.67</v>
      </c>
      <c r="Q13" s="40">
        <v>263118.78999999998</v>
      </c>
      <c r="R13" s="40">
        <f t="shared" si="0"/>
        <v>109189.88</v>
      </c>
      <c r="S13" s="40">
        <v>16339574</v>
      </c>
      <c r="T13" s="285" t="s">
        <v>13001</v>
      </c>
      <c r="U13" s="289" t="s">
        <v>13002</v>
      </c>
      <c r="V13" s="160">
        <v>44</v>
      </c>
      <c r="W13" s="15">
        <v>34422</v>
      </c>
      <c r="X13" s="285" t="s">
        <v>13044</v>
      </c>
    </row>
    <row r="14" spans="1:24" s="19" customFormat="1" ht="36.75" customHeight="1" x14ac:dyDescent="0.2">
      <c r="A14" s="289">
        <v>8</v>
      </c>
      <c r="B14" s="12" t="s">
        <v>13045</v>
      </c>
      <c r="C14" s="289" t="s">
        <v>13046</v>
      </c>
      <c r="D14" s="13" t="s">
        <v>13038</v>
      </c>
      <c r="E14" s="12">
        <v>1953</v>
      </c>
      <c r="F14" s="13" t="s">
        <v>13047</v>
      </c>
      <c r="G14" s="285" t="s">
        <v>13048</v>
      </c>
      <c r="H14" s="285" t="s">
        <v>4946</v>
      </c>
      <c r="I14" s="285" t="s">
        <v>5127</v>
      </c>
      <c r="J14" s="285"/>
      <c r="K14" s="285" t="s">
        <v>3132</v>
      </c>
      <c r="L14" s="14" t="s">
        <v>13049</v>
      </c>
      <c r="M14" s="285" t="s">
        <v>13050</v>
      </c>
      <c r="N14" s="40">
        <v>1418</v>
      </c>
      <c r="O14" s="15">
        <v>41183</v>
      </c>
      <c r="P14" s="40">
        <v>10727379.27</v>
      </c>
      <c r="Q14" s="40">
        <v>7682917.6500000004</v>
      </c>
      <c r="R14" s="40">
        <f t="shared" si="0"/>
        <v>3044461.6199999992</v>
      </c>
      <c r="S14" s="40">
        <v>17695128</v>
      </c>
      <c r="T14" s="285" t="s">
        <v>13001</v>
      </c>
      <c r="U14" s="289" t="s">
        <v>13002</v>
      </c>
      <c r="V14" s="160">
        <v>44</v>
      </c>
      <c r="W14" s="15">
        <v>27769</v>
      </c>
      <c r="X14" s="285" t="s">
        <v>13051</v>
      </c>
    </row>
    <row r="15" spans="1:24" s="19" customFormat="1" ht="95.25" customHeight="1" x14ac:dyDescent="0.2">
      <c r="A15" s="289">
        <v>9</v>
      </c>
      <c r="B15" s="12" t="s">
        <v>13052</v>
      </c>
      <c r="C15" s="285" t="s">
        <v>13053</v>
      </c>
      <c r="D15" s="28" t="s">
        <v>13054</v>
      </c>
      <c r="E15" s="12">
        <v>1979</v>
      </c>
      <c r="F15" s="13" t="s">
        <v>13055</v>
      </c>
      <c r="G15" s="289" t="s">
        <v>13056</v>
      </c>
      <c r="H15" s="56" t="s">
        <v>101</v>
      </c>
      <c r="I15" s="285" t="s">
        <v>5127</v>
      </c>
      <c r="J15" s="285"/>
      <c r="K15" s="285" t="s">
        <v>3136</v>
      </c>
      <c r="L15" s="14" t="s">
        <v>13057</v>
      </c>
      <c r="M15" s="285" t="s">
        <v>13058</v>
      </c>
      <c r="N15" s="370">
        <v>2959.3</v>
      </c>
      <c r="O15" s="15">
        <v>41198</v>
      </c>
      <c r="P15" s="40">
        <v>13593907.710000001</v>
      </c>
      <c r="Q15" s="40">
        <v>8682074.9199999999</v>
      </c>
      <c r="R15" s="40">
        <f t="shared" si="0"/>
        <v>4911832.790000001</v>
      </c>
      <c r="S15" s="17">
        <v>46208560</v>
      </c>
      <c r="T15" s="285" t="s">
        <v>13059</v>
      </c>
      <c r="U15" s="14" t="s">
        <v>13060</v>
      </c>
      <c r="V15" s="70" t="s">
        <v>13061</v>
      </c>
      <c r="W15" s="15">
        <v>40511</v>
      </c>
      <c r="X15" s="285" t="s">
        <v>13062</v>
      </c>
    </row>
    <row r="16" spans="1:24" s="19" customFormat="1" ht="77.25" customHeight="1" x14ac:dyDescent="0.2">
      <c r="A16" s="289">
        <v>10</v>
      </c>
      <c r="B16" s="12" t="s">
        <v>13063</v>
      </c>
      <c r="C16" s="285" t="s">
        <v>13064</v>
      </c>
      <c r="D16" s="13" t="s">
        <v>13065</v>
      </c>
      <c r="E16" s="12">
        <v>1969</v>
      </c>
      <c r="F16" s="13" t="s">
        <v>13066</v>
      </c>
      <c r="G16" s="285" t="s">
        <v>13067</v>
      </c>
      <c r="H16" s="285" t="s">
        <v>13068</v>
      </c>
      <c r="I16" s="285" t="s">
        <v>5127</v>
      </c>
      <c r="J16" s="285"/>
      <c r="K16" s="285" t="s">
        <v>3136</v>
      </c>
      <c r="L16" s="14" t="s">
        <v>13069</v>
      </c>
      <c r="M16" s="285" t="s">
        <v>13070</v>
      </c>
      <c r="N16" s="285">
        <v>3963.9</v>
      </c>
      <c r="O16" s="15">
        <v>41275</v>
      </c>
      <c r="P16" s="40">
        <v>19559354.760000002</v>
      </c>
      <c r="Q16" s="40">
        <v>12449116.029999999</v>
      </c>
      <c r="R16" s="40">
        <f t="shared" si="0"/>
        <v>7110238.7300000023</v>
      </c>
      <c r="S16" s="40">
        <v>57092873</v>
      </c>
      <c r="T16" s="285" t="s">
        <v>13001</v>
      </c>
      <c r="U16" s="289" t="s">
        <v>13002</v>
      </c>
      <c r="V16" s="160">
        <v>43</v>
      </c>
      <c r="W16" s="15">
        <v>29926</v>
      </c>
      <c r="X16" s="285" t="s">
        <v>13071</v>
      </c>
    </row>
    <row r="17" spans="1:24" s="19" customFormat="1" ht="86.25" customHeight="1" x14ac:dyDescent="0.2">
      <c r="A17" s="289">
        <v>11</v>
      </c>
      <c r="B17" s="12" t="s">
        <v>13072</v>
      </c>
      <c r="C17" s="285" t="s">
        <v>13073</v>
      </c>
      <c r="D17" s="13" t="s">
        <v>13065</v>
      </c>
      <c r="E17" s="12">
        <v>1978</v>
      </c>
      <c r="F17" s="13" t="s">
        <v>13074</v>
      </c>
      <c r="G17" s="289" t="s">
        <v>13075</v>
      </c>
      <c r="H17" s="285" t="s">
        <v>13076</v>
      </c>
      <c r="I17" s="285" t="s">
        <v>5127</v>
      </c>
      <c r="J17" s="285"/>
      <c r="K17" s="285" t="s">
        <v>3136</v>
      </c>
      <c r="L17" s="14" t="s">
        <v>13077</v>
      </c>
      <c r="M17" s="285" t="s">
        <v>13078</v>
      </c>
      <c r="N17" s="285">
        <v>5470.05</v>
      </c>
      <c r="O17" s="15">
        <v>41275</v>
      </c>
      <c r="P17" s="40">
        <v>29424978.359999999</v>
      </c>
      <c r="Q17" s="40">
        <v>15529424.039999999</v>
      </c>
      <c r="R17" s="40">
        <f t="shared" si="0"/>
        <v>13895554.32</v>
      </c>
      <c r="S17" s="40">
        <v>84619177</v>
      </c>
      <c r="T17" s="285" t="s">
        <v>13001</v>
      </c>
      <c r="U17" s="289" t="s">
        <v>13002</v>
      </c>
      <c r="V17" s="160">
        <v>43</v>
      </c>
      <c r="W17" s="15">
        <v>30337</v>
      </c>
      <c r="X17" s="285" t="s">
        <v>13079</v>
      </c>
    </row>
    <row r="18" spans="1:24" s="19" customFormat="1" ht="122.25" customHeight="1" x14ac:dyDescent="0.2">
      <c r="A18" s="289">
        <v>12</v>
      </c>
      <c r="B18" s="12" t="s">
        <v>13080</v>
      </c>
      <c r="C18" s="401" t="s">
        <v>13081</v>
      </c>
      <c r="D18" s="13" t="s">
        <v>13065</v>
      </c>
      <c r="E18" s="289">
        <v>1991</v>
      </c>
      <c r="F18" s="13" t="s">
        <v>13082</v>
      </c>
      <c r="G18" s="289" t="s">
        <v>13083</v>
      </c>
      <c r="H18" s="285" t="s">
        <v>12426</v>
      </c>
      <c r="I18" s="285" t="s">
        <v>5127</v>
      </c>
      <c r="J18" s="285"/>
      <c r="K18" s="285" t="s">
        <v>3136</v>
      </c>
      <c r="L18" s="14" t="s">
        <v>13077</v>
      </c>
      <c r="M18" s="285" t="s">
        <v>13078</v>
      </c>
      <c r="N18" s="370">
        <f>9409.2-142.8</f>
        <v>9266.4000000000015</v>
      </c>
      <c r="O18" s="15">
        <v>41244</v>
      </c>
      <c r="P18" s="40">
        <v>52345125</v>
      </c>
      <c r="Q18" s="40">
        <v>20163714.149999999</v>
      </c>
      <c r="R18" s="40">
        <f>P18-Q18</f>
        <v>32181410.850000001</v>
      </c>
      <c r="S18" s="402">
        <v>236363622</v>
      </c>
      <c r="T18" s="285" t="s">
        <v>13001</v>
      </c>
      <c r="U18" s="289" t="s">
        <v>13002</v>
      </c>
      <c r="V18" s="160">
        <v>43</v>
      </c>
      <c r="W18" s="15">
        <v>37580</v>
      </c>
      <c r="X18" s="403" t="s">
        <v>13084</v>
      </c>
    </row>
    <row r="19" spans="1:24" s="19" customFormat="1" ht="123" customHeight="1" x14ac:dyDescent="0.2">
      <c r="A19" s="289">
        <v>13</v>
      </c>
      <c r="B19" s="12" t="s">
        <v>13085</v>
      </c>
      <c r="C19" s="285" t="s">
        <v>13081</v>
      </c>
      <c r="D19" s="13" t="s">
        <v>13065</v>
      </c>
      <c r="E19" s="289">
        <v>1991</v>
      </c>
      <c r="F19" s="13" t="s">
        <v>13086</v>
      </c>
      <c r="G19" s="289" t="s">
        <v>13083</v>
      </c>
      <c r="H19" s="285" t="s">
        <v>13087</v>
      </c>
      <c r="I19" s="285" t="s">
        <v>5127</v>
      </c>
      <c r="J19" s="285"/>
      <c r="K19" s="285" t="s">
        <v>3136</v>
      </c>
      <c r="L19" s="14">
        <v>40995</v>
      </c>
      <c r="M19" s="285">
        <v>310</v>
      </c>
      <c r="N19" s="370">
        <v>185.9</v>
      </c>
      <c r="O19" s="15">
        <v>41244</v>
      </c>
      <c r="P19" s="40">
        <v>768002.91</v>
      </c>
      <c r="Q19" s="40">
        <v>768002.91</v>
      </c>
      <c r="R19" s="40">
        <f t="shared" si="0"/>
        <v>0</v>
      </c>
      <c r="S19" s="404"/>
      <c r="T19" s="285" t="s">
        <v>13001</v>
      </c>
      <c r="U19" s="289" t="s">
        <v>13002</v>
      </c>
      <c r="V19" s="160">
        <v>43</v>
      </c>
      <c r="W19" s="15">
        <v>37580</v>
      </c>
      <c r="X19" s="405"/>
    </row>
    <row r="20" spans="1:24" s="19" customFormat="1" ht="78" customHeight="1" x14ac:dyDescent="0.2">
      <c r="A20" s="289">
        <v>14</v>
      </c>
      <c r="B20" s="12" t="s">
        <v>13088</v>
      </c>
      <c r="C20" s="285" t="s">
        <v>13081</v>
      </c>
      <c r="D20" s="13" t="s">
        <v>13065</v>
      </c>
      <c r="E20" s="289">
        <v>1992</v>
      </c>
      <c r="F20" s="13" t="s">
        <v>13089</v>
      </c>
      <c r="G20" s="289" t="s">
        <v>13090</v>
      </c>
      <c r="H20" s="285"/>
      <c r="I20" s="285" t="s">
        <v>2042</v>
      </c>
      <c r="J20" s="285" t="s">
        <v>2207</v>
      </c>
      <c r="K20" s="285" t="s">
        <v>3136</v>
      </c>
      <c r="L20" s="14" t="s">
        <v>13091</v>
      </c>
      <c r="M20" s="285" t="s">
        <v>13092</v>
      </c>
      <c r="N20" s="370">
        <v>81.400000000000006</v>
      </c>
      <c r="O20" s="15">
        <v>41000</v>
      </c>
      <c r="P20" s="40">
        <v>336285.3</v>
      </c>
      <c r="Q20" s="40">
        <v>234899.1</v>
      </c>
      <c r="R20" s="40">
        <v>101386.2</v>
      </c>
      <c r="S20" s="406"/>
      <c r="T20" s="285" t="s">
        <v>13001</v>
      </c>
      <c r="U20" s="289" t="s">
        <v>13002</v>
      </c>
      <c r="V20" s="160">
        <v>43</v>
      </c>
      <c r="W20" s="15">
        <v>37580</v>
      </c>
      <c r="X20" s="121"/>
    </row>
    <row r="21" spans="1:24" s="19" customFormat="1" ht="65.25" customHeight="1" x14ac:dyDescent="0.2">
      <c r="A21" s="289">
        <v>15</v>
      </c>
      <c r="B21" s="12" t="s">
        <v>13093</v>
      </c>
      <c r="C21" s="401" t="s">
        <v>13081</v>
      </c>
      <c r="D21" s="13" t="s">
        <v>13065</v>
      </c>
      <c r="E21" s="289">
        <v>1991</v>
      </c>
      <c r="F21" s="13" t="s">
        <v>13094</v>
      </c>
      <c r="G21" s="289" t="s">
        <v>13083</v>
      </c>
      <c r="H21" s="285" t="s">
        <v>12426</v>
      </c>
      <c r="I21" s="285" t="s">
        <v>5127</v>
      </c>
      <c r="J21" s="285"/>
      <c r="K21" s="285" t="s">
        <v>3136</v>
      </c>
      <c r="L21" s="14" t="s">
        <v>13077</v>
      </c>
      <c r="M21" s="285" t="s">
        <v>13078</v>
      </c>
      <c r="N21" s="370">
        <v>101.4</v>
      </c>
      <c r="O21" s="15">
        <v>41244</v>
      </c>
      <c r="P21" s="40">
        <v>610066.07999999996</v>
      </c>
      <c r="Q21" s="40">
        <v>610066.07999999996</v>
      </c>
      <c r="R21" s="40">
        <f t="shared" ref="R21:R27" si="1">P21-Q21</f>
        <v>0</v>
      </c>
      <c r="S21" s="404"/>
      <c r="T21" s="285" t="s">
        <v>13001</v>
      </c>
      <c r="U21" s="289" t="s">
        <v>13002</v>
      </c>
      <c r="V21" s="160">
        <v>43</v>
      </c>
      <c r="W21" s="15">
        <v>37580</v>
      </c>
      <c r="X21" s="405"/>
    </row>
    <row r="22" spans="1:24" s="19" customFormat="1" ht="75" customHeight="1" x14ac:dyDescent="0.2">
      <c r="A22" s="289">
        <v>16</v>
      </c>
      <c r="B22" s="12" t="s">
        <v>13095</v>
      </c>
      <c r="C22" s="401" t="s">
        <v>13081</v>
      </c>
      <c r="D22" s="13" t="s">
        <v>13065</v>
      </c>
      <c r="E22" s="289">
        <v>1991</v>
      </c>
      <c r="F22" s="13" t="s">
        <v>13096</v>
      </c>
      <c r="G22" s="289" t="s">
        <v>13083</v>
      </c>
      <c r="H22" s="285" t="s">
        <v>12426</v>
      </c>
      <c r="I22" s="285" t="s">
        <v>5127</v>
      </c>
      <c r="J22" s="285"/>
      <c r="K22" s="285" t="s">
        <v>3136</v>
      </c>
      <c r="L22" s="14" t="s">
        <v>13077</v>
      </c>
      <c r="M22" s="285" t="s">
        <v>13078</v>
      </c>
      <c r="N22" s="370">
        <v>100.8</v>
      </c>
      <c r="O22" s="15">
        <v>41244</v>
      </c>
      <c r="P22" s="40">
        <v>180391.59</v>
      </c>
      <c r="Q22" s="40">
        <v>180391.59</v>
      </c>
      <c r="R22" s="40">
        <f t="shared" si="1"/>
        <v>0</v>
      </c>
      <c r="S22" s="404"/>
      <c r="T22" s="285" t="s">
        <v>13001</v>
      </c>
      <c r="U22" s="289" t="s">
        <v>13002</v>
      </c>
      <c r="V22" s="160">
        <v>43</v>
      </c>
      <c r="W22" s="15">
        <v>37580</v>
      </c>
      <c r="X22" s="405"/>
    </row>
    <row r="23" spans="1:24" s="19" customFormat="1" ht="74.25" customHeight="1" x14ac:dyDescent="0.2">
      <c r="A23" s="289">
        <v>17</v>
      </c>
      <c r="B23" s="12" t="s">
        <v>13097</v>
      </c>
      <c r="C23" s="401" t="s">
        <v>13081</v>
      </c>
      <c r="D23" s="13" t="s">
        <v>13065</v>
      </c>
      <c r="E23" s="289">
        <v>1991</v>
      </c>
      <c r="F23" s="13" t="s">
        <v>13098</v>
      </c>
      <c r="G23" s="289" t="s">
        <v>13083</v>
      </c>
      <c r="H23" s="285" t="s">
        <v>12426</v>
      </c>
      <c r="I23" s="285" t="s">
        <v>5127</v>
      </c>
      <c r="J23" s="285"/>
      <c r="K23" s="285" t="s">
        <v>3136</v>
      </c>
      <c r="L23" s="14" t="s">
        <v>13077</v>
      </c>
      <c r="M23" s="285" t="s">
        <v>13078</v>
      </c>
      <c r="N23" s="370">
        <v>142.80000000000001</v>
      </c>
      <c r="O23" s="15">
        <v>41244</v>
      </c>
      <c r="P23" s="40">
        <v>2555580.42</v>
      </c>
      <c r="Q23" s="40">
        <v>999451.48</v>
      </c>
      <c r="R23" s="40">
        <f t="shared" si="1"/>
        <v>1556128.94</v>
      </c>
      <c r="S23" s="407"/>
      <c r="T23" s="285" t="s">
        <v>13001</v>
      </c>
      <c r="U23" s="289" t="s">
        <v>13002</v>
      </c>
      <c r="V23" s="160">
        <v>43</v>
      </c>
      <c r="W23" s="15">
        <v>37580</v>
      </c>
      <c r="X23" s="408"/>
    </row>
    <row r="24" spans="1:24" s="19" customFormat="1" ht="48.75" customHeight="1" x14ac:dyDescent="0.2">
      <c r="A24" s="289">
        <v>18</v>
      </c>
      <c r="B24" s="12" t="s">
        <v>13099</v>
      </c>
      <c r="C24" s="285" t="s">
        <v>13100</v>
      </c>
      <c r="D24" s="13" t="s">
        <v>13054</v>
      </c>
      <c r="E24" s="289">
        <v>1979</v>
      </c>
      <c r="F24" s="13" t="s">
        <v>13101</v>
      </c>
      <c r="G24" s="289" t="s">
        <v>13102</v>
      </c>
      <c r="H24" s="285" t="s">
        <v>13087</v>
      </c>
      <c r="I24" s="285" t="s">
        <v>5127</v>
      </c>
      <c r="J24" s="285"/>
      <c r="K24" s="285" t="s">
        <v>4020</v>
      </c>
      <c r="L24" s="285" t="s">
        <v>13103</v>
      </c>
      <c r="M24" s="285" t="s">
        <v>13104</v>
      </c>
      <c r="N24" s="370">
        <v>51.9</v>
      </c>
      <c r="O24" s="15">
        <v>41365</v>
      </c>
      <c r="P24" s="40">
        <v>440001.51</v>
      </c>
      <c r="Q24" s="40">
        <v>277013.92</v>
      </c>
      <c r="R24" s="40">
        <f t="shared" si="1"/>
        <v>162987.59000000003</v>
      </c>
      <c r="S24" s="17">
        <v>480310</v>
      </c>
      <c r="T24" s="285" t="s">
        <v>13059</v>
      </c>
      <c r="U24" s="14" t="s">
        <v>13060</v>
      </c>
      <c r="V24" s="70" t="s">
        <v>13061</v>
      </c>
      <c r="W24" s="15">
        <v>40511</v>
      </c>
      <c r="X24" s="403" t="s">
        <v>13105</v>
      </c>
    </row>
    <row r="25" spans="1:24" s="19" customFormat="1" ht="93" customHeight="1" x14ac:dyDescent="0.2">
      <c r="A25" s="289">
        <v>19</v>
      </c>
      <c r="B25" s="12" t="s">
        <v>13099</v>
      </c>
      <c r="C25" s="285" t="s">
        <v>13100</v>
      </c>
      <c r="D25" s="13" t="s">
        <v>13054</v>
      </c>
      <c r="E25" s="289">
        <v>1979</v>
      </c>
      <c r="F25" s="13" t="s">
        <v>13106</v>
      </c>
      <c r="G25" s="289" t="s">
        <v>13102</v>
      </c>
      <c r="H25" s="56" t="s">
        <v>101</v>
      </c>
      <c r="I25" s="285" t="s">
        <v>5127</v>
      </c>
      <c r="J25" s="285"/>
      <c r="K25" s="285" t="s">
        <v>3136</v>
      </c>
      <c r="L25" s="14" t="s">
        <v>13107</v>
      </c>
      <c r="M25" s="285" t="s">
        <v>13108</v>
      </c>
      <c r="N25" s="370">
        <v>54.3</v>
      </c>
      <c r="O25" s="15">
        <v>41365</v>
      </c>
      <c r="P25" s="40">
        <v>460348.41</v>
      </c>
      <c r="Q25" s="40">
        <v>329985.38</v>
      </c>
      <c r="R25" s="40">
        <f t="shared" si="1"/>
        <v>130363.02999999997</v>
      </c>
      <c r="S25" s="34">
        <v>480310</v>
      </c>
      <c r="T25" s="285" t="s">
        <v>13059</v>
      </c>
      <c r="U25" s="14" t="s">
        <v>13060</v>
      </c>
      <c r="V25" s="70" t="s">
        <v>13061</v>
      </c>
      <c r="W25" s="15">
        <v>40511</v>
      </c>
      <c r="X25" s="408"/>
    </row>
    <row r="26" spans="1:24" s="19" customFormat="1" ht="34.5" customHeight="1" x14ac:dyDescent="0.2">
      <c r="A26" s="289">
        <v>20</v>
      </c>
      <c r="B26" s="12" t="s">
        <v>13109</v>
      </c>
      <c r="C26" s="289" t="s">
        <v>13110</v>
      </c>
      <c r="D26" s="13" t="s">
        <v>13111</v>
      </c>
      <c r="E26" s="289">
        <v>1984</v>
      </c>
      <c r="F26" s="13" t="s">
        <v>13112</v>
      </c>
      <c r="G26" s="285" t="s">
        <v>13113</v>
      </c>
      <c r="H26" s="285" t="s">
        <v>7978</v>
      </c>
      <c r="I26" s="285" t="s">
        <v>5127</v>
      </c>
      <c r="J26" s="285"/>
      <c r="K26" s="285" t="s">
        <v>3136</v>
      </c>
      <c r="L26" s="14" t="s">
        <v>13077</v>
      </c>
      <c r="M26" s="285" t="s">
        <v>13078</v>
      </c>
      <c r="N26" s="40">
        <v>3093.1</v>
      </c>
      <c r="O26" s="15">
        <v>41244</v>
      </c>
      <c r="P26" s="40">
        <v>17533178.82</v>
      </c>
      <c r="Q26" s="40">
        <v>9299725.2400000002</v>
      </c>
      <c r="R26" s="40">
        <f t="shared" si="1"/>
        <v>8233453.5800000001</v>
      </c>
      <c r="S26" s="40">
        <v>54688651</v>
      </c>
      <c r="T26" s="285" t="s">
        <v>13001</v>
      </c>
      <c r="U26" s="289" t="s">
        <v>13002</v>
      </c>
      <c r="V26" s="70">
        <v>44</v>
      </c>
      <c r="W26" s="15">
        <v>30965</v>
      </c>
      <c r="X26" s="285" t="s">
        <v>13114</v>
      </c>
    </row>
    <row r="27" spans="1:24" s="19" customFormat="1" ht="66.75" customHeight="1" x14ac:dyDescent="0.2">
      <c r="A27" s="289">
        <v>21</v>
      </c>
      <c r="B27" s="12" t="s">
        <v>13115</v>
      </c>
      <c r="C27" s="289" t="s">
        <v>13116</v>
      </c>
      <c r="D27" s="13" t="s">
        <v>13117</v>
      </c>
      <c r="E27" s="289">
        <v>1986</v>
      </c>
      <c r="F27" s="13" t="s">
        <v>13118</v>
      </c>
      <c r="G27" s="285" t="s">
        <v>13119</v>
      </c>
      <c r="H27" s="285" t="s">
        <v>7967</v>
      </c>
      <c r="I27" s="285" t="s">
        <v>5127</v>
      </c>
      <c r="J27" s="285"/>
      <c r="K27" s="285" t="s">
        <v>3136</v>
      </c>
      <c r="L27" s="14" t="s">
        <v>13077</v>
      </c>
      <c r="M27" s="285" t="s">
        <v>13078</v>
      </c>
      <c r="N27" s="40">
        <f>2305.5-172.4-59.4</f>
        <v>2073.6999999999998</v>
      </c>
      <c r="O27" s="15">
        <v>41244</v>
      </c>
      <c r="P27" s="40">
        <v>19972968.84</v>
      </c>
      <c r="Q27" s="40">
        <v>8616500.4100000001</v>
      </c>
      <c r="R27" s="40">
        <f t="shared" si="1"/>
        <v>11356468.43</v>
      </c>
      <c r="S27" s="100">
        <v>38691243</v>
      </c>
      <c r="T27" s="285" t="s">
        <v>13001</v>
      </c>
      <c r="U27" s="289" t="s">
        <v>13002</v>
      </c>
      <c r="V27" s="70">
        <v>44</v>
      </c>
      <c r="W27" s="15">
        <v>31680</v>
      </c>
      <c r="X27" s="409" t="s">
        <v>13120</v>
      </c>
    </row>
    <row r="28" spans="1:24" s="19" customFormat="1" ht="34.5" customHeight="1" x14ac:dyDescent="0.2">
      <c r="A28" s="289">
        <v>22</v>
      </c>
      <c r="B28" s="12" t="s">
        <v>13121</v>
      </c>
      <c r="C28" s="289" t="s">
        <v>13116</v>
      </c>
      <c r="D28" s="13" t="s">
        <v>13117</v>
      </c>
      <c r="E28" s="289">
        <v>1986</v>
      </c>
      <c r="F28" s="23" t="s">
        <v>13122</v>
      </c>
      <c r="G28" s="285" t="s">
        <v>13119</v>
      </c>
      <c r="H28" s="285" t="s">
        <v>7967</v>
      </c>
      <c r="I28" s="285" t="s">
        <v>5127</v>
      </c>
      <c r="J28" s="285"/>
      <c r="K28" s="285" t="s">
        <v>3136</v>
      </c>
      <c r="L28" s="14" t="s">
        <v>13077</v>
      </c>
      <c r="M28" s="285" t="s">
        <v>13078</v>
      </c>
      <c r="N28" s="370">
        <v>172.4</v>
      </c>
      <c r="O28" s="15">
        <v>41000</v>
      </c>
      <c r="P28" s="40">
        <v>1173614.04</v>
      </c>
      <c r="Q28" s="40">
        <v>1173614.04</v>
      </c>
      <c r="R28" s="40">
        <v>0</v>
      </c>
      <c r="S28" s="410"/>
      <c r="T28" s="285" t="s">
        <v>13001</v>
      </c>
      <c r="U28" s="289" t="s">
        <v>13002</v>
      </c>
      <c r="V28" s="70">
        <v>44</v>
      </c>
      <c r="W28" s="289"/>
      <c r="X28" s="411"/>
    </row>
    <row r="29" spans="1:24" s="19" customFormat="1" ht="34.5" customHeight="1" x14ac:dyDescent="0.2">
      <c r="A29" s="289">
        <v>23</v>
      </c>
      <c r="B29" s="12" t="s">
        <v>13123</v>
      </c>
      <c r="C29" s="289" t="s">
        <v>13116</v>
      </c>
      <c r="D29" s="13" t="s">
        <v>13117</v>
      </c>
      <c r="E29" s="289">
        <v>1986</v>
      </c>
      <c r="F29" s="13" t="s">
        <v>13124</v>
      </c>
      <c r="G29" s="285" t="s">
        <v>13119</v>
      </c>
      <c r="H29" s="285" t="s">
        <v>7967</v>
      </c>
      <c r="I29" s="285" t="s">
        <v>5127</v>
      </c>
      <c r="J29" s="285"/>
      <c r="K29" s="285" t="s">
        <v>3136</v>
      </c>
      <c r="L29" s="14" t="s">
        <v>13077</v>
      </c>
      <c r="M29" s="285" t="s">
        <v>13078</v>
      </c>
      <c r="N29" s="370">
        <v>59.4</v>
      </c>
      <c r="O29" s="15">
        <v>41244</v>
      </c>
      <c r="P29" s="40">
        <v>3107867.58</v>
      </c>
      <c r="Q29" s="40">
        <v>1466145.69</v>
      </c>
      <c r="R29" s="40">
        <f>P29-Q29</f>
        <v>1641721.8900000001</v>
      </c>
      <c r="S29" s="62"/>
      <c r="T29" s="285" t="s">
        <v>13001</v>
      </c>
      <c r="U29" s="289" t="s">
        <v>13002</v>
      </c>
      <c r="V29" s="70">
        <v>44</v>
      </c>
      <c r="W29" s="289"/>
      <c r="X29" s="412"/>
    </row>
    <row r="30" spans="1:24" s="19" customFormat="1" ht="34.5" customHeight="1" x14ac:dyDescent="0.2">
      <c r="A30" s="289">
        <v>24</v>
      </c>
      <c r="B30" s="12" t="s">
        <v>13125</v>
      </c>
      <c r="C30" s="285" t="s">
        <v>13126</v>
      </c>
      <c r="D30" s="13" t="s">
        <v>13117</v>
      </c>
      <c r="E30" s="289">
        <v>1989</v>
      </c>
      <c r="F30" s="13" t="s">
        <v>13127</v>
      </c>
      <c r="G30" s="285" t="s">
        <v>13128</v>
      </c>
      <c r="H30" s="285" t="s">
        <v>516</v>
      </c>
      <c r="I30" s="285" t="s">
        <v>5127</v>
      </c>
      <c r="J30" s="285"/>
      <c r="K30" s="285" t="s">
        <v>3136</v>
      </c>
      <c r="L30" s="14" t="s">
        <v>13077</v>
      </c>
      <c r="M30" s="285" t="s">
        <v>13078</v>
      </c>
      <c r="N30" s="370">
        <f>3763-59.2-80.3</f>
        <v>3623.5</v>
      </c>
      <c r="O30" s="15">
        <v>41244</v>
      </c>
      <c r="P30" s="40">
        <v>19722887.280000001</v>
      </c>
      <c r="Q30" s="40">
        <v>7793892.9400000004</v>
      </c>
      <c r="R30" s="40">
        <f>P30-Q30</f>
        <v>11928994.34</v>
      </c>
      <c r="S30" s="100">
        <v>69870605</v>
      </c>
      <c r="T30" s="285" t="s">
        <v>13001</v>
      </c>
      <c r="U30" s="289" t="s">
        <v>13002</v>
      </c>
      <c r="V30" s="70">
        <v>44</v>
      </c>
      <c r="W30" s="15">
        <v>32777</v>
      </c>
      <c r="X30" s="409" t="s">
        <v>13129</v>
      </c>
    </row>
    <row r="31" spans="1:24" s="19" customFormat="1" ht="34.5" customHeight="1" x14ac:dyDescent="0.2">
      <c r="A31" s="289">
        <v>25</v>
      </c>
      <c r="B31" s="12" t="s">
        <v>13130</v>
      </c>
      <c r="C31" s="285" t="s">
        <v>13126</v>
      </c>
      <c r="D31" s="13" t="s">
        <v>13117</v>
      </c>
      <c r="E31" s="289">
        <v>1989</v>
      </c>
      <c r="F31" s="13" t="s">
        <v>13131</v>
      </c>
      <c r="G31" s="285" t="s">
        <v>13128</v>
      </c>
      <c r="H31" s="285" t="s">
        <v>516</v>
      </c>
      <c r="I31" s="285" t="s">
        <v>5127</v>
      </c>
      <c r="J31" s="285"/>
      <c r="K31" s="285" t="s">
        <v>3136</v>
      </c>
      <c r="L31" s="14" t="s">
        <v>13077</v>
      </c>
      <c r="M31" s="285" t="s">
        <v>13078</v>
      </c>
      <c r="N31" s="370">
        <v>80.3</v>
      </c>
      <c r="O31" s="15">
        <v>41244</v>
      </c>
      <c r="P31" s="40">
        <v>1057444.2</v>
      </c>
      <c r="Q31" s="40">
        <v>1057444.2</v>
      </c>
      <c r="R31" s="40">
        <f>P31-Q31</f>
        <v>0</v>
      </c>
      <c r="S31" s="410"/>
      <c r="T31" s="285" t="s">
        <v>13001</v>
      </c>
      <c r="U31" s="289" t="s">
        <v>13002</v>
      </c>
      <c r="V31" s="70">
        <v>44</v>
      </c>
      <c r="W31" s="289"/>
      <c r="X31" s="411"/>
    </row>
    <row r="32" spans="1:24" s="19" customFormat="1" ht="34.5" customHeight="1" x14ac:dyDescent="0.2">
      <c r="A32" s="289">
        <v>26</v>
      </c>
      <c r="B32" s="12" t="s">
        <v>13132</v>
      </c>
      <c r="C32" s="285" t="s">
        <v>13126</v>
      </c>
      <c r="D32" s="13" t="s">
        <v>13117</v>
      </c>
      <c r="E32" s="289">
        <v>1989</v>
      </c>
      <c r="F32" s="13" t="s">
        <v>13133</v>
      </c>
      <c r="G32" s="285" t="s">
        <v>13128</v>
      </c>
      <c r="H32" s="285" t="s">
        <v>516</v>
      </c>
      <c r="I32" s="285" t="s">
        <v>5127</v>
      </c>
      <c r="J32" s="285"/>
      <c r="K32" s="285" t="s">
        <v>3136</v>
      </c>
      <c r="L32" s="14" t="s">
        <v>13077</v>
      </c>
      <c r="M32" s="285" t="s">
        <v>13078</v>
      </c>
      <c r="N32" s="370">
        <v>59.2</v>
      </c>
      <c r="O32" s="15">
        <v>41244</v>
      </c>
      <c r="P32" s="40">
        <v>3583010.61</v>
      </c>
      <c r="Q32" s="40">
        <v>1396721.59</v>
      </c>
      <c r="R32" s="40">
        <f>P32-Q32</f>
        <v>2186289.0199999996</v>
      </c>
      <c r="S32" s="62"/>
      <c r="T32" s="285" t="s">
        <v>13001</v>
      </c>
      <c r="U32" s="289" t="s">
        <v>13002</v>
      </c>
      <c r="V32" s="70">
        <v>44</v>
      </c>
      <c r="W32" s="289"/>
      <c r="X32" s="412"/>
    </row>
    <row r="33" spans="1:24" s="19" customFormat="1" ht="64.5" customHeight="1" x14ac:dyDescent="0.2">
      <c r="A33" s="289">
        <v>27</v>
      </c>
      <c r="B33" s="12" t="s">
        <v>13134</v>
      </c>
      <c r="C33" s="285" t="s">
        <v>13135</v>
      </c>
      <c r="D33" s="13" t="s">
        <v>13136</v>
      </c>
      <c r="E33" s="289">
        <v>1969</v>
      </c>
      <c r="F33" s="13" t="s">
        <v>13137</v>
      </c>
      <c r="G33" s="289" t="s">
        <v>13138</v>
      </c>
      <c r="H33" s="285" t="s">
        <v>792</v>
      </c>
      <c r="I33" s="285" t="s">
        <v>5127</v>
      </c>
      <c r="J33" s="285"/>
      <c r="K33" s="285" t="s">
        <v>3136</v>
      </c>
      <c r="L33" s="14" t="s">
        <v>13077</v>
      </c>
      <c r="M33" s="285" t="s">
        <v>13078</v>
      </c>
      <c r="N33" s="40">
        <f>1821.9-55</f>
        <v>1766.9</v>
      </c>
      <c r="O33" s="15">
        <v>41275</v>
      </c>
      <c r="P33" s="40">
        <v>8767677.2400000002</v>
      </c>
      <c r="Q33" s="40">
        <v>6397624.5300000003</v>
      </c>
      <c r="R33" s="40">
        <f>P33-Q33</f>
        <v>2370052.71</v>
      </c>
      <c r="S33" s="413">
        <v>34529510</v>
      </c>
      <c r="T33" s="285" t="s">
        <v>13001</v>
      </c>
      <c r="U33" s="289" t="s">
        <v>13002</v>
      </c>
      <c r="V33" s="70">
        <v>44</v>
      </c>
      <c r="W33" s="15">
        <v>27781</v>
      </c>
      <c r="X33" s="327" t="s">
        <v>13139</v>
      </c>
    </row>
    <row r="34" spans="1:24" s="19" customFormat="1" ht="34.5" customHeight="1" x14ac:dyDescent="0.2">
      <c r="A34" s="289">
        <v>28</v>
      </c>
      <c r="B34" s="12" t="s">
        <v>13140</v>
      </c>
      <c r="C34" s="285" t="s">
        <v>13135</v>
      </c>
      <c r="D34" s="13" t="s">
        <v>13136</v>
      </c>
      <c r="E34" s="289">
        <v>1968</v>
      </c>
      <c r="F34" s="13" t="s">
        <v>13141</v>
      </c>
      <c r="G34" s="289" t="s">
        <v>13142</v>
      </c>
      <c r="H34" s="285" t="s">
        <v>792</v>
      </c>
      <c r="I34" s="285" t="s">
        <v>5127</v>
      </c>
      <c r="J34" s="285"/>
      <c r="K34" s="285" t="s">
        <v>3136</v>
      </c>
      <c r="L34" s="14" t="s">
        <v>13077</v>
      </c>
      <c r="M34" s="285" t="s">
        <v>13078</v>
      </c>
      <c r="N34" s="370">
        <v>55</v>
      </c>
      <c r="O34" s="15">
        <v>39814</v>
      </c>
      <c r="P34" s="40">
        <v>20847.2</v>
      </c>
      <c r="Q34" s="40">
        <f>P34-R34</f>
        <v>20847.2</v>
      </c>
      <c r="R34" s="40">
        <v>0</v>
      </c>
      <c r="S34" s="414"/>
      <c r="T34" s="285" t="s">
        <v>13001</v>
      </c>
      <c r="U34" s="289" t="s">
        <v>13002</v>
      </c>
      <c r="V34" s="70">
        <v>44</v>
      </c>
      <c r="W34" s="289"/>
      <c r="X34" s="332"/>
    </row>
    <row r="35" spans="1:24" s="19" customFormat="1" ht="50.25" customHeight="1" x14ac:dyDescent="0.2">
      <c r="A35" s="289">
        <v>29</v>
      </c>
      <c r="B35" s="12" t="s">
        <v>13143</v>
      </c>
      <c r="C35" s="289" t="s">
        <v>13144</v>
      </c>
      <c r="D35" s="13" t="s">
        <v>13145</v>
      </c>
      <c r="E35" s="12" t="s">
        <v>13146</v>
      </c>
      <c r="F35" s="13" t="s">
        <v>13147</v>
      </c>
      <c r="G35" s="285" t="s">
        <v>13148</v>
      </c>
      <c r="H35" s="285" t="s">
        <v>13149</v>
      </c>
      <c r="I35" s="285" t="s">
        <v>5127</v>
      </c>
      <c r="J35" s="285"/>
      <c r="K35" s="285" t="s">
        <v>3136</v>
      </c>
      <c r="L35" s="14" t="s">
        <v>13150</v>
      </c>
      <c r="M35" s="285" t="s">
        <v>13151</v>
      </c>
      <c r="N35" s="370">
        <v>2281.1999999999998</v>
      </c>
      <c r="O35" s="15">
        <v>41226</v>
      </c>
      <c r="P35" s="40">
        <v>7938955.7999999998</v>
      </c>
      <c r="Q35" s="40">
        <v>7938955.7999999998</v>
      </c>
      <c r="R35" s="40">
        <f>P35-Q35</f>
        <v>0</v>
      </c>
      <c r="S35" s="40">
        <v>27752972</v>
      </c>
      <c r="T35" s="285" t="s">
        <v>13152</v>
      </c>
      <c r="U35" s="289" t="s">
        <v>57</v>
      </c>
      <c r="V35" s="70">
        <v>41</v>
      </c>
      <c r="W35" s="289"/>
      <c r="X35" s="285" t="s">
        <v>13153</v>
      </c>
    </row>
    <row r="36" spans="1:24" s="19" customFormat="1" ht="49.5" customHeight="1" x14ac:dyDescent="0.2">
      <c r="A36" s="289">
        <v>30</v>
      </c>
      <c r="B36" s="12" t="s">
        <v>13154</v>
      </c>
      <c r="C36" s="289"/>
      <c r="D36" s="13" t="s">
        <v>13155</v>
      </c>
      <c r="E36" s="12" t="s">
        <v>13156</v>
      </c>
      <c r="F36" s="13" t="s">
        <v>13157</v>
      </c>
      <c r="G36" s="289" t="s">
        <v>13158</v>
      </c>
      <c r="H36" s="285" t="s">
        <v>13149</v>
      </c>
      <c r="I36" s="285" t="s">
        <v>5127</v>
      </c>
      <c r="J36" s="285"/>
      <c r="K36" s="285" t="s">
        <v>3136</v>
      </c>
      <c r="L36" s="14">
        <v>39400</v>
      </c>
      <c r="M36" s="285">
        <v>807</v>
      </c>
      <c r="N36" s="370">
        <v>60</v>
      </c>
      <c r="O36" s="15">
        <v>41226</v>
      </c>
      <c r="P36" s="40">
        <v>423084.78</v>
      </c>
      <c r="Q36" s="40">
        <v>423084.78</v>
      </c>
      <c r="R36" s="40">
        <f>P36-Q36</f>
        <v>0</v>
      </c>
      <c r="S36" s="40"/>
      <c r="T36" s="285" t="s">
        <v>13152</v>
      </c>
      <c r="U36" s="289" t="s">
        <v>57</v>
      </c>
      <c r="V36" s="70">
        <v>41</v>
      </c>
      <c r="W36" s="289"/>
      <c r="X36" s="289"/>
    </row>
    <row r="37" spans="1:24" s="19" customFormat="1" ht="41.25" customHeight="1" x14ac:dyDescent="0.2">
      <c r="A37" s="289">
        <v>31</v>
      </c>
      <c r="B37" s="12" t="s">
        <v>13159</v>
      </c>
      <c r="C37" s="289"/>
      <c r="D37" s="13" t="s">
        <v>13023</v>
      </c>
      <c r="E37" s="12" t="s">
        <v>13156</v>
      </c>
      <c r="F37" s="13" t="s">
        <v>13160</v>
      </c>
      <c r="G37" s="289" t="s">
        <v>13158</v>
      </c>
      <c r="H37" s="285" t="s">
        <v>13149</v>
      </c>
      <c r="I37" s="285" t="s">
        <v>5127</v>
      </c>
      <c r="J37" s="285"/>
      <c r="K37" s="285" t="s">
        <v>3136</v>
      </c>
      <c r="L37" s="14">
        <v>39400</v>
      </c>
      <c r="M37" s="285">
        <v>807</v>
      </c>
      <c r="N37" s="370">
        <v>30</v>
      </c>
      <c r="O37" s="15">
        <v>41226</v>
      </c>
      <c r="P37" s="40">
        <v>144894.06</v>
      </c>
      <c r="Q37" s="40">
        <v>144894.06</v>
      </c>
      <c r="R37" s="40">
        <f>P37-Q37</f>
        <v>0</v>
      </c>
      <c r="S37" s="40"/>
      <c r="T37" s="285" t="s">
        <v>13152</v>
      </c>
      <c r="U37" s="289" t="s">
        <v>57</v>
      </c>
      <c r="V37" s="70">
        <v>41</v>
      </c>
      <c r="W37" s="289"/>
      <c r="X37" s="289"/>
    </row>
    <row r="38" spans="1:24" s="19" customFormat="1" ht="63" customHeight="1" x14ac:dyDescent="0.2">
      <c r="A38" s="289">
        <v>32</v>
      </c>
      <c r="B38" s="12" t="s">
        <v>13161</v>
      </c>
      <c r="C38" s="289"/>
      <c r="D38" s="13" t="s">
        <v>13162</v>
      </c>
      <c r="E38" s="12" t="s">
        <v>13156</v>
      </c>
      <c r="F38" s="13" t="s">
        <v>13163</v>
      </c>
      <c r="G38" s="289" t="s">
        <v>13158</v>
      </c>
      <c r="H38" s="285" t="s">
        <v>13149</v>
      </c>
      <c r="I38" s="285" t="s">
        <v>5127</v>
      </c>
      <c r="J38" s="285"/>
      <c r="K38" s="285" t="s">
        <v>3136</v>
      </c>
      <c r="L38" s="14" t="s">
        <v>13164</v>
      </c>
      <c r="M38" s="285" t="s">
        <v>13165</v>
      </c>
      <c r="N38" s="370">
        <v>18</v>
      </c>
      <c r="O38" s="15">
        <v>39934</v>
      </c>
      <c r="P38" s="40">
        <f>37460.52+250000</f>
        <v>287460.52</v>
      </c>
      <c r="Q38" s="40">
        <v>62354.07</v>
      </c>
      <c r="R38" s="40">
        <f>P38-Q38</f>
        <v>225106.45</v>
      </c>
      <c r="S38" s="40"/>
      <c r="T38" s="285" t="s">
        <v>13166</v>
      </c>
      <c r="U38" s="285" t="s">
        <v>13167</v>
      </c>
      <c r="V38" s="415" t="s">
        <v>13168</v>
      </c>
      <c r="W38" s="289"/>
      <c r="X38" s="289"/>
    </row>
    <row r="39" spans="1:24" s="19" customFormat="1" ht="267.75" customHeight="1" x14ac:dyDescent="0.2">
      <c r="A39" s="289">
        <v>33</v>
      </c>
      <c r="B39" s="12" t="s">
        <v>13169</v>
      </c>
      <c r="C39" s="285" t="s">
        <v>13170</v>
      </c>
      <c r="D39" s="13" t="s">
        <v>13171</v>
      </c>
      <c r="E39" s="289">
        <v>1980</v>
      </c>
      <c r="F39" s="416" t="s">
        <v>13172</v>
      </c>
      <c r="G39" s="285" t="s">
        <v>13173</v>
      </c>
      <c r="H39" s="285" t="s">
        <v>13174</v>
      </c>
      <c r="I39" s="285" t="s">
        <v>13175</v>
      </c>
      <c r="J39" s="285"/>
      <c r="K39" s="285" t="s">
        <v>4020</v>
      </c>
      <c r="L39" s="14" t="s">
        <v>13176</v>
      </c>
      <c r="M39" s="285" t="s">
        <v>13177</v>
      </c>
      <c r="N39" s="285">
        <v>3117.8</v>
      </c>
      <c r="O39" s="15">
        <v>41275</v>
      </c>
      <c r="P39" s="17">
        <f>12337920+137186</f>
        <v>12475106</v>
      </c>
      <c r="Q39" s="40">
        <v>4743119.32</v>
      </c>
      <c r="R39" s="17">
        <f>P39-Q39</f>
        <v>7731986.6799999997</v>
      </c>
      <c r="S39" s="17">
        <v>51170951</v>
      </c>
      <c r="T39" s="285" t="s">
        <v>3418</v>
      </c>
      <c r="U39" s="15">
        <v>35879</v>
      </c>
      <c r="V39" s="417">
        <v>13</v>
      </c>
      <c r="W39" s="285" t="s">
        <v>13178</v>
      </c>
      <c r="X39" s="285" t="s">
        <v>13179</v>
      </c>
    </row>
    <row r="40" spans="1:24" s="19" customFormat="1" ht="180.75" customHeight="1" x14ac:dyDescent="0.2">
      <c r="A40" s="289">
        <v>34</v>
      </c>
      <c r="B40" s="12" t="s">
        <v>13169</v>
      </c>
      <c r="C40" s="285" t="s">
        <v>13180</v>
      </c>
      <c r="D40" s="13" t="s">
        <v>13181</v>
      </c>
      <c r="E40" s="289"/>
      <c r="F40" s="13" t="s">
        <v>13182</v>
      </c>
      <c r="G40" s="285" t="s">
        <v>13183</v>
      </c>
      <c r="H40" s="285" t="s">
        <v>13174</v>
      </c>
      <c r="I40" s="285" t="s">
        <v>5127</v>
      </c>
      <c r="J40" s="285"/>
      <c r="K40" s="285" t="s">
        <v>3136</v>
      </c>
      <c r="L40" s="14" t="s">
        <v>13184</v>
      </c>
      <c r="M40" s="285" t="s">
        <v>13185</v>
      </c>
      <c r="N40" s="285">
        <v>258.2</v>
      </c>
      <c r="O40" s="15"/>
      <c r="P40" s="418"/>
      <c r="Q40" s="418"/>
      <c r="R40" s="419"/>
      <c r="S40" s="17">
        <v>1954810</v>
      </c>
      <c r="T40" s="285"/>
      <c r="U40" s="83"/>
      <c r="V40" s="417"/>
      <c r="W40" s="285" t="s">
        <v>13186</v>
      </c>
      <c r="X40" s="285" t="s">
        <v>13187</v>
      </c>
    </row>
    <row r="41" spans="1:24" s="19" customFormat="1" ht="74.25" customHeight="1" x14ac:dyDescent="0.2">
      <c r="A41" s="289">
        <v>35</v>
      </c>
      <c r="B41" s="12" t="s">
        <v>13188</v>
      </c>
      <c r="C41" s="289" t="s">
        <v>13189</v>
      </c>
      <c r="D41" s="13" t="s">
        <v>13190</v>
      </c>
      <c r="E41" s="22" t="s">
        <v>13191</v>
      </c>
      <c r="F41" s="13" t="s">
        <v>13192</v>
      </c>
      <c r="G41" s="285" t="s">
        <v>13193</v>
      </c>
      <c r="H41" s="285" t="s">
        <v>7605</v>
      </c>
      <c r="I41" s="285" t="s">
        <v>7606</v>
      </c>
      <c r="J41" s="285"/>
      <c r="K41" s="22" t="s">
        <v>7610</v>
      </c>
      <c r="L41" s="14" t="s">
        <v>13194</v>
      </c>
      <c r="M41" s="285" t="s">
        <v>13195</v>
      </c>
      <c r="N41" s="370">
        <v>86</v>
      </c>
      <c r="O41" s="15">
        <v>39814</v>
      </c>
      <c r="P41" s="40">
        <v>18458.349999999999</v>
      </c>
      <c r="Q41" s="40">
        <v>18458.349999999999</v>
      </c>
      <c r="R41" s="40">
        <f>P41-Q41</f>
        <v>0</v>
      </c>
      <c r="S41" s="40">
        <v>639458.16</v>
      </c>
      <c r="T41" s="285" t="s">
        <v>13196</v>
      </c>
      <c r="U41" s="289" t="s">
        <v>13002</v>
      </c>
      <c r="V41" s="70">
        <v>44</v>
      </c>
      <c r="W41" s="285" t="s">
        <v>13197</v>
      </c>
      <c r="X41" s="285" t="s">
        <v>13198</v>
      </c>
    </row>
    <row r="42" spans="1:24" s="19" customFormat="1" ht="56.25" customHeight="1" x14ac:dyDescent="0.2">
      <c r="A42" s="289">
        <v>36</v>
      </c>
      <c r="B42" s="12" t="s">
        <v>13199</v>
      </c>
      <c r="C42" s="285" t="s">
        <v>13200</v>
      </c>
      <c r="D42" s="13" t="s">
        <v>13201</v>
      </c>
      <c r="E42" s="285">
        <v>1959</v>
      </c>
      <c r="F42" s="13" t="s">
        <v>13202</v>
      </c>
      <c r="G42" s="285" t="s">
        <v>13203</v>
      </c>
      <c r="H42" s="285" t="s">
        <v>5718</v>
      </c>
      <c r="I42" s="285" t="s">
        <v>2614</v>
      </c>
      <c r="J42" s="285" t="s">
        <v>2207</v>
      </c>
      <c r="K42" s="285" t="s">
        <v>13204</v>
      </c>
      <c r="L42" s="14" t="s">
        <v>13205</v>
      </c>
      <c r="M42" s="22" t="s">
        <v>13206</v>
      </c>
      <c r="N42" s="370">
        <f>123.8-15.3-15.3-17.8</f>
        <v>75.400000000000006</v>
      </c>
      <c r="O42" s="14">
        <v>41456</v>
      </c>
      <c r="P42" s="40">
        <f>38625.43-4773.57-10327.81</f>
        <v>23524.050000000003</v>
      </c>
      <c r="Q42" s="40">
        <f>11403.61-1409.32-3050.7</f>
        <v>6943.5900000000011</v>
      </c>
      <c r="R42" s="40">
        <f>P42-Q42</f>
        <v>16580.460000000003</v>
      </c>
      <c r="S42" s="420">
        <v>3910885</v>
      </c>
      <c r="T42" s="285" t="s">
        <v>13196</v>
      </c>
      <c r="U42" s="289" t="s">
        <v>13002</v>
      </c>
      <c r="V42" s="70">
        <v>44</v>
      </c>
      <c r="W42" s="285" t="s">
        <v>13207</v>
      </c>
      <c r="X42" s="327" t="s">
        <v>13208</v>
      </c>
    </row>
    <row r="43" spans="1:24" s="19" customFormat="1" ht="48.75" customHeight="1" x14ac:dyDescent="0.2">
      <c r="A43" s="289">
        <v>37</v>
      </c>
      <c r="B43" s="12" t="s">
        <v>13209</v>
      </c>
      <c r="C43" s="285" t="s">
        <v>13200</v>
      </c>
      <c r="D43" s="13" t="s">
        <v>13201</v>
      </c>
      <c r="E43" s="285">
        <v>1959</v>
      </c>
      <c r="F43" s="13" t="s">
        <v>13210</v>
      </c>
      <c r="G43" s="285" t="s">
        <v>13193</v>
      </c>
      <c r="H43" s="285" t="s">
        <v>4296</v>
      </c>
      <c r="I43" s="285" t="s">
        <v>3793</v>
      </c>
      <c r="J43" s="285"/>
      <c r="K43" s="285" t="s">
        <v>3136</v>
      </c>
      <c r="L43" s="14" t="s">
        <v>13211</v>
      </c>
      <c r="M43" s="285" t="s">
        <v>13212</v>
      </c>
      <c r="N43" s="370">
        <f>170.8+15.3</f>
        <v>186.10000000000002</v>
      </c>
      <c r="O43" s="15">
        <v>41740</v>
      </c>
      <c r="P43" s="40">
        <f>55160.72+4773.57</f>
        <v>59934.29</v>
      </c>
      <c r="Q43" s="40">
        <v>57466.84</v>
      </c>
      <c r="R43" s="40">
        <f>P43-Q43</f>
        <v>2467.4500000000044</v>
      </c>
      <c r="S43" s="421"/>
      <c r="T43" s="285" t="s">
        <v>13196</v>
      </c>
      <c r="U43" s="289" t="s">
        <v>13002</v>
      </c>
      <c r="V43" s="70">
        <v>44</v>
      </c>
      <c r="W43" s="285" t="s">
        <v>13213</v>
      </c>
      <c r="X43" s="332"/>
    </row>
    <row r="44" spans="1:24" s="19" customFormat="1" ht="77.45" customHeight="1" x14ac:dyDescent="0.2">
      <c r="A44" s="289">
        <v>38</v>
      </c>
      <c r="B44" s="12" t="s">
        <v>13209</v>
      </c>
      <c r="C44" s="285" t="s">
        <v>13200</v>
      </c>
      <c r="D44" s="13" t="s">
        <v>13201</v>
      </c>
      <c r="E44" s="285">
        <v>1959</v>
      </c>
      <c r="F44" s="13" t="s">
        <v>13214</v>
      </c>
      <c r="G44" s="285" t="s">
        <v>13193</v>
      </c>
      <c r="H44" s="285"/>
      <c r="I44" s="285" t="s">
        <v>2042</v>
      </c>
      <c r="J44" s="285" t="s">
        <v>2207</v>
      </c>
      <c r="K44" s="285" t="s">
        <v>3136</v>
      </c>
      <c r="L44" s="14"/>
      <c r="M44" s="285"/>
      <c r="N44" s="370">
        <f>15.3+17.8</f>
        <v>33.1</v>
      </c>
      <c r="O44" s="15"/>
      <c r="P44" s="40">
        <v>10327.81</v>
      </c>
      <c r="Q44" s="40">
        <v>52015.360000000001</v>
      </c>
      <c r="R44" s="40">
        <v>62688.67</v>
      </c>
      <c r="S44" s="422"/>
      <c r="T44" s="285"/>
      <c r="U44" s="289"/>
      <c r="V44" s="70"/>
      <c r="W44" s="285"/>
      <c r="X44" s="71"/>
    </row>
    <row r="45" spans="1:24" s="431" customFormat="1" ht="51.75" customHeight="1" x14ac:dyDescent="0.2">
      <c r="A45" s="326">
        <v>39</v>
      </c>
      <c r="B45" s="423" t="s">
        <v>13215</v>
      </c>
      <c r="C45" s="289" t="s">
        <v>13216</v>
      </c>
      <c r="D45" s="424" t="s">
        <v>13065</v>
      </c>
      <c r="E45" s="425">
        <v>1982</v>
      </c>
      <c r="F45" s="424" t="s">
        <v>13217</v>
      </c>
      <c r="G45" s="426" t="s">
        <v>13218</v>
      </c>
      <c r="H45" s="426"/>
      <c r="I45" s="426"/>
      <c r="J45" s="426"/>
      <c r="K45" s="426" t="s">
        <v>3136</v>
      </c>
      <c r="L45" s="427">
        <v>41816</v>
      </c>
      <c r="M45" s="426">
        <v>600</v>
      </c>
      <c r="N45" s="428" t="s">
        <v>13219</v>
      </c>
      <c r="O45" s="429">
        <v>41816</v>
      </c>
      <c r="P45" s="188" t="s">
        <v>13220</v>
      </c>
      <c r="Q45" s="188" t="s">
        <v>13221</v>
      </c>
      <c r="R45" s="188" t="s">
        <v>13222</v>
      </c>
      <c r="S45" s="430">
        <v>17448645</v>
      </c>
      <c r="T45" s="285" t="s">
        <v>13196</v>
      </c>
      <c r="U45" s="15">
        <v>36831</v>
      </c>
      <c r="V45" s="70">
        <v>44</v>
      </c>
      <c r="W45" s="285" t="s">
        <v>13223</v>
      </c>
      <c r="X45" s="403" t="s">
        <v>13224</v>
      </c>
    </row>
    <row r="46" spans="1:24" s="19" customFormat="1" ht="51" customHeight="1" x14ac:dyDescent="0.2">
      <c r="A46" s="432"/>
      <c r="B46" s="433" t="s">
        <v>13225</v>
      </c>
      <c r="C46" s="289" t="s">
        <v>13216</v>
      </c>
      <c r="D46" s="13" t="s">
        <v>13065</v>
      </c>
      <c r="E46" s="289">
        <v>1982</v>
      </c>
      <c r="F46" s="13" t="s">
        <v>13226</v>
      </c>
      <c r="G46" s="285" t="s">
        <v>4921</v>
      </c>
      <c r="H46" s="285" t="s">
        <v>12472</v>
      </c>
      <c r="I46" s="285" t="s">
        <v>2614</v>
      </c>
      <c r="J46" s="285" t="s">
        <v>2207</v>
      </c>
      <c r="K46" s="285" t="s">
        <v>6309</v>
      </c>
      <c r="L46" s="14">
        <v>40511</v>
      </c>
      <c r="M46" s="22" t="s">
        <v>13227</v>
      </c>
      <c r="N46" s="16">
        <v>46.5</v>
      </c>
      <c r="O46" s="15">
        <v>40480</v>
      </c>
      <c r="P46" s="40">
        <v>49556.73</v>
      </c>
      <c r="Q46" s="40">
        <v>17070.16</v>
      </c>
      <c r="R46" s="40">
        <f t="shared" ref="R46:R54" si="2">P46-Q46</f>
        <v>32486.570000000003</v>
      </c>
      <c r="S46" s="434"/>
      <c r="T46" s="285" t="s">
        <v>13196</v>
      </c>
      <c r="U46" s="289" t="s">
        <v>13002</v>
      </c>
      <c r="V46" s="70">
        <v>44</v>
      </c>
      <c r="W46" s="285"/>
      <c r="X46" s="405"/>
    </row>
    <row r="47" spans="1:24" s="19" customFormat="1" ht="49.5" customHeight="1" x14ac:dyDescent="0.2">
      <c r="A47" s="432"/>
      <c r="B47" s="433" t="s">
        <v>13225</v>
      </c>
      <c r="C47" s="289" t="s">
        <v>13216</v>
      </c>
      <c r="D47" s="13" t="s">
        <v>13065</v>
      </c>
      <c r="E47" s="289">
        <v>1982</v>
      </c>
      <c r="F47" s="13" t="s">
        <v>13226</v>
      </c>
      <c r="G47" s="285" t="s">
        <v>4921</v>
      </c>
      <c r="H47" s="285" t="s">
        <v>5718</v>
      </c>
      <c r="I47" s="285" t="s">
        <v>2614</v>
      </c>
      <c r="J47" s="285" t="s">
        <v>2207</v>
      </c>
      <c r="K47" s="285" t="s">
        <v>13228</v>
      </c>
      <c r="L47" s="14" t="s">
        <v>13229</v>
      </c>
      <c r="M47" s="22" t="s">
        <v>13230</v>
      </c>
      <c r="N47" s="16">
        <f>148.9-52.2</f>
        <v>96.7</v>
      </c>
      <c r="O47" s="15">
        <v>40480</v>
      </c>
      <c r="P47" s="40">
        <v>156245.19</v>
      </c>
      <c r="Q47" s="40">
        <v>71751.320000000007</v>
      </c>
      <c r="R47" s="40">
        <f t="shared" si="2"/>
        <v>84493.87</v>
      </c>
      <c r="S47" s="434"/>
      <c r="T47" s="285" t="s">
        <v>13196</v>
      </c>
      <c r="U47" s="289" t="s">
        <v>13002</v>
      </c>
      <c r="V47" s="70">
        <v>44</v>
      </c>
      <c r="W47" s="285"/>
      <c r="X47" s="405"/>
    </row>
    <row r="48" spans="1:24" s="19" customFormat="1" ht="87.75" customHeight="1" x14ac:dyDescent="0.2">
      <c r="A48" s="432"/>
      <c r="B48" s="433" t="s">
        <v>13225</v>
      </c>
      <c r="C48" s="289" t="s">
        <v>13216</v>
      </c>
      <c r="D48" s="13" t="s">
        <v>13065</v>
      </c>
      <c r="E48" s="289">
        <v>1982</v>
      </c>
      <c r="F48" s="13" t="s">
        <v>13226</v>
      </c>
      <c r="G48" s="285" t="s">
        <v>4921</v>
      </c>
      <c r="H48" s="285" t="s">
        <v>2550</v>
      </c>
      <c r="I48" s="285" t="s">
        <v>2614</v>
      </c>
      <c r="J48" s="285" t="s">
        <v>2207</v>
      </c>
      <c r="K48" s="285" t="s">
        <v>13231</v>
      </c>
      <c r="L48" s="14" t="s">
        <v>13232</v>
      </c>
      <c r="M48" s="22" t="s">
        <v>13233</v>
      </c>
      <c r="N48" s="16">
        <f>22.4-7.5+2.74</f>
        <v>17.64</v>
      </c>
      <c r="O48" s="15">
        <v>40480</v>
      </c>
      <c r="P48" s="40">
        <f>23906.2-8004.31+2924.22</f>
        <v>18826.11</v>
      </c>
      <c r="Q48" s="40">
        <f>8256.76-2764.54+1009.96</f>
        <v>6502.18</v>
      </c>
      <c r="R48" s="40">
        <f t="shared" si="2"/>
        <v>12323.93</v>
      </c>
      <c r="S48" s="434"/>
      <c r="T48" s="285" t="s">
        <v>13196</v>
      </c>
      <c r="U48" s="289" t="s">
        <v>13002</v>
      </c>
      <c r="V48" s="70">
        <v>44</v>
      </c>
      <c r="W48" s="285"/>
      <c r="X48" s="405"/>
    </row>
    <row r="49" spans="1:24" s="19" customFormat="1" ht="89.25" customHeight="1" x14ac:dyDescent="0.2">
      <c r="A49" s="432"/>
      <c r="B49" s="433" t="s">
        <v>13234</v>
      </c>
      <c r="C49" s="289" t="s">
        <v>13216</v>
      </c>
      <c r="D49" s="13" t="s">
        <v>13065</v>
      </c>
      <c r="E49" s="289">
        <v>1982</v>
      </c>
      <c r="F49" s="13" t="s">
        <v>13226</v>
      </c>
      <c r="G49" s="285" t="s">
        <v>4921</v>
      </c>
      <c r="H49" s="285" t="s">
        <v>4877</v>
      </c>
      <c r="I49" s="285" t="s">
        <v>3793</v>
      </c>
      <c r="J49" s="285"/>
      <c r="K49" s="22" t="s">
        <v>4020</v>
      </c>
      <c r="L49" s="14" t="s">
        <v>13235</v>
      </c>
      <c r="M49" s="285" t="s">
        <v>13236</v>
      </c>
      <c r="N49" s="16">
        <v>404.8</v>
      </c>
      <c r="O49" s="14">
        <v>41816</v>
      </c>
      <c r="P49" s="40">
        <v>516578.05</v>
      </c>
      <c r="Q49" s="40">
        <v>368674.79</v>
      </c>
      <c r="R49" s="40">
        <f t="shared" si="2"/>
        <v>147903.26</v>
      </c>
      <c r="S49" s="419">
        <v>17448645</v>
      </c>
      <c r="T49" s="285" t="s">
        <v>13196</v>
      </c>
      <c r="U49" s="289" t="s">
        <v>13002</v>
      </c>
      <c r="V49" s="70">
        <v>44</v>
      </c>
      <c r="W49" s="289"/>
      <c r="X49" s="73" t="s">
        <v>13224</v>
      </c>
    </row>
    <row r="50" spans="1:24" s="19" customFormat="1" ht="82.5" customHeight="1" x14ac:dyDescent="0.2">
      <c r="A50" s="432"/>
      <c r="B50" s="433" t="s">
        <v>13234</v>
      </c>
      <c r="C50" s="289" t="s">
        <v>13216</v>
      </c>
      <c r="D50" s="13" t="s">
        <v>13065</v>
      </c>
      <c r="E50" s="289">
        <v>1982</v>
      </c>
      <c r="F50" s="13" t="s">
        <v>13226</v>
      </c>
      <c r="G50" s="289" t="s">
        <v>4921</v>
      </c>
      <c r="H50" s="285" t="s">
        <v>4296</v>
      </c>
      <c r="I50" s="285" t="s">
        <v>3793</v>
      </c>
      <c r="J50" s="285"/>
      <c r="K50" s="22" t="s">
        <v>3136</v>
      </c>
      <c r="L50" s="14" t="s">
        <v>13237</v>
      </c>
      <c r="M50" s="285" t="s">
        <v>13238</v>
      </c>
      <c r="N50" s="16">
        <v>89.4</v>
      </c>
      <c r="O50" s="14">
        <v>41816</v>
      </c>
      <c r="P50" s="40">
        <v>95411.37</v>
      </c>
      <c r="Q50" s="40">
        <v>63974.17</v>
      </c>
      <c r="R50" s="40">
        <f t="shared" si="2"/>
        <v>31437.199999999997</v>
      </c>
      <c r="S50" s="434"/>
      <c r="T50" s="285" t="s">
        <v>13196</v>
      </c>
      <c r="U50" s="289" t="s">
        <v>13002</v>
      </c>
      <c r="V50" s="70">
        <v>44</v>
      </c>
      <c r="W50" s="289"/>
      <c r="X50" s="405"/>
    </row>
    <row r="51" spans="1:24" s="19" customFormat="1" ht="89.25" customHeight="1" x14ac:dyDescent="0.2">
      <c r="A51" s="432"/>
      <c r="B51" s="433" t="s">
        <v>13234</v>
      </c>
      <c r="C51" s="289" t="s">
        <v>13216</v>
      </c>
      <c r="D51" s="13" t="s">
        <v>13065</v>
      </c>
      <c r="E51" s="289">
        <v>1982</v>
      </c>
      <c r="F51" s="13" t="s">
        <v>13226</v>
      </c>
      <c r="G51" s="289" t="s">
        <v>4921</v>
      </c>
      <c r="H51" s="285" t="s">
        <v>4296</v>
      </c>
      <c r="I51" s="285" t="s">
        <v>3793</v>
      </c>
      <c r="J51" s="285"/>
      <c r="K51" s="22" t="s">
        <v>3136</v>
      </c>
      <c r="L51" s="14" t="s">
        <v>13239</v>
      </c>
      <c r="M51" s="435">
        <v>1239280</v>
      </c>
      <c r="N51" s="16">
        <v>57.4</v>
      </c>
      <c r="O51" s="14">
        <v>41456</v>
      </c>
      <c r="P51" s="40">
        <v>209464.14</v>
      </c>
      <c r="Q51" s="40">
        <v>98622.96</v>
      </c>
      <c r="R51" s="40">
        <f t="shared" si="2"/>
        <v>110841.18000000001</v>
      </c>
      <c r="S51" s="434"/>
      <c r="T51" s="285" t="s">
        <v>13196</v>
      </c>
      <c r="U51" s="289" t="s">
        <v>13002</v>
      </c>
      <c r="V51" s="70">
        <v>44</v>
      </c>
      <c r="W51" s="289"/>
      <c r="X51" s="405"/>
    </row>
    <row r="52" spans="1:24" s="19" customFormat="1" ht="84" customHeight="1" x14ac:dyDescent="0.2">
      <c r="A52" s="432"/>
      <c r="B52" s="433" t="s">
        <v>13225</v>
      </c>
      <c r="C52" s="289" t="s">
        <v>13216</v>
      </c>
      <c r="D52" s="13" t="s">
        <v>13065</v>
      </c>
      <c r="E52" s="289">
        <v>1982</v>
      </c>
      <c r="F52" s="13" t="s">
        <v>13226</v>
      </c>
      <c r="G52" s="289" t="s">
        <v>4921</v>
      </c>
      <c r="H52" s="285" t="s">
        <v>5718</v>
      </c>
      <c r="I52" s="285" t="s">
        <v>2614</v>
      </c>
      <c r="J52" s="285" t="s">
        <v>2207</v>
      </c>
      <c r="K52" s="285" t="s">
        <v>13240</v>
      </c>
      <c r="L52" s="14" t="s">
        <v>13241</v>
      </c>
      <c r="M52" s="22" t="s">
        <v>13242</v>
      </c>
      <c r="N52" s="16">
        <v>189.1</v>
      </c>
      <c r="O52" s="14">
        <v>40483</v>
      </c>
      <c r="P52" s="40">
        <v>201992.03</v>
      </c>
      <c r="Q52" s="40">
        <v>77312.45</v>
      </c>
      <c r="R52" s="40">
        <f t="shared" si="2"/>
        <v>124679.58</v>
      </c>
      <c r="S52" s="434"/>
      <c r="T52" s="285" t="s">
        <v>13196</v>
      </c>
      <c r="U52" s="289" t="s">
        <v>13002</v>
      </c>
      <c r="V52" s="70">
        <v>44</v>
      </c>
      <c r="W52" s="289"/>
      <c r="X52" s="405"/>
    </row>
    <row r="53" spans="1:24" s="19" customFormat="1" ht="174" customHeight="1" x14ac:dyDescent="0.2">
      <c r="A53" s="432"/>
      <c r="B53" s="433" t="s">
        <v>13225</v>
      </c>
      <c r="C53" s="289" t="s">
        <v>13216</v>
      </c>
      <c r="D53" s="13" t="s">
        <v>13065</v>
      </c>
      <c r="E53" s="289">
        <v>1982</v>
      </c>
      <c r="F53" s="13" t="s">
        <v>13226</v>
      </c>
      <c r="G53" s="289" t="s">
        <v>4921</v>
      </c>
      <c r="H53" s="285" t="s">
        <v>13243</v>
      </c>
      <c r="I53" s="285" t="s">
        <v>2614</v>
      </c>
      <c r="J53" s="285" t="s">
        <v>2207</v>
      </c>
      <c r="K53" s="22" t="s">
        <v>2641</v>
      </c>
      <c r="L53" s="14" t="s">
        <v>13244</v>
      </c>
      <c r="M53" s="14" t="s">
        <v>13245</v>
      </c>
      <c r="N53" s="16">
        <f>22.8+16.9+7.31</f>
        <v>47.010000000000005</v>
      </c>
      <c r="O53" s="14">
        <v>43525</v>
      </c>
      <c r="P53" s="40">
        <v>75957.460000000006</v>
      </c>
      <c r="Q53" s="40">
        <v>34881.379999999997</v>
      </c>
      <c r="R53" s="40">
        <f t="shared" si="2"/>
        <v>41076.080000000009</v>
      </c>
      <c r="S53" s="434"/>
      <c r="T53" s="285"/>
      <c r="U53" s="289"/>
      <c r="V53" s="70"/>
      <c r="W53" s="289"/>
      <c r="X53" s="405"/>
    </row>
    <row r="54" spans="1:24" s="19" customFormat="1" ht="54" customHeight="1" x14ac:dyDescent="0.2">
      <c r="A54" s="432"/>
      <c r="B54" s="433" t="s">
        <v>13225</v>
      </c>
      <c r="C54" s="289" t="s">
        <v>13216</v>
      </c>
      <c r="D54" s="13" t="s">
        <v>13065</v>
      </c>
      <c r="E54" s="289">
        <v>1982</v>
      </c>
      <c r="F54" s="13" t="s">
        <v>13226</v>
      </c>
      <c r="G54" s="289" t="s">
        <v>4921</v>
      </c>
      <c r="H54" s="285" t="s">
        <v>13246</v>
      </c>
      <c r="I54" s="285" t="s">
        <v>2614</v>
      </c>
      <c r="J54" s="285" t="s">
        <v>2207</v>
      </c>
      <c r="K54" s="22" t="s">
        <v>2641</v>
      </c>
      <c r="L54" s="14">
        <v>44685</v>
      </c>
      <c r="M54" s="22" t="s">
        <v>13247</v>
      </c>
      <c r="N54" s="16">
        <v>11.52</v>
      </c>
      <c r="O54" s="14">
        <v>44685</v>
      </c>
      <c r="P54" s="40">
        <v>18613.7</v>
      </c>
      <c r="Q54" s="40">
        <v>8547.84</v>
      </c>
      <c r="R54" s="40">
        <f t="shared" si="2"/>
        <v>10065.86</v>
      </c>
      <c r="S54" s="434"/>
      <c r="T54" s="285"/>
      <c r="U54" s="289"/>
      <c r="V54" s="70"/>
      <c r="W54" s="289"/>
      <c r="X54" s="405"/>
    </row>
    <row r="55" spans="1:24" s="19" customFormat="1" ht="84.75" customHeight="1" x14ac:dyDescent="0.2">
      <c r="A55" s="331"/>
      <c r="B55" s="433" t="s">
        <v>13225</v>
      </c>
      <c r="C55" s="289" t="s">
        <v>13216</v>
      </c>
      <c r="D55" s="13" t="s">
        <v>13065</v>
      </c>
      <c r="E55" s="289">
        <v>1982</v>
      </c>
      <c r="F55" s="13" t="s">
        <v>13226</v>
      </c>
      <c r="G55" s="289" t="s">
        <v>4921</v>
      </c>
      <c r="H55" s="285"/>
      <c r="I55" s="285" t="s">
        <v>2042</v>
      </c>
      <c r="J55" s="285" t="s">
        <v>2207</v>
      </c>
      <c r="K55" s="22" t="s">
        <v>3136</v>
      </c>
      <c r="L55" s="14">
        <v>41988</v>
      </c>
      <c r="M55" s="285">
        <v>1165</v>
      </c>
      <c r="N55" s="16">
        <f>170.6-22+16.9+7.5-39.7-2.74-7.31-11.52+52.2-50.6</f>
        <v>113.33000000000001</v>
      </c>
      <c r="O55" s="14">
        <v>41456</v>
      </c>
      <c r="P55" s="40">
        <f>622553.26+0.3-80282.44+18036.38+8004.31-2924.22+2667.03-75957.46-18613.7-81758.09</f>
        <v>391725.37000000023</v>
      </c>
      <c r="Q55" s="40">
        <f>256155.35-33033.97+8186.56+2764.54-14633.42-1009.96-47201.14-0.3-33833.78-8547.84-34881.38-37545.16</f>
        <v>56419.500000000029</v>
      </c>
      <c r="R55" s="40">
        <f>P55-Q55</f>
        <v>335305.87000000023</v>
      </c>
      <c r="S55" s="436"/>
      <c r="T55" s="285" t="s">
        <v>13196</v>
      </c>
      <c r="U55" s="289" t="s">
        <v>13002</v>
      </c>
      <c r="V55" s="70">
        <v>44</v>
      </c>
      <c r="W55" s="289"/>
      <c r="X55" s="408"/>
    </row>
    <row r="56" spans="1:24" s="431" customFormat="1" ht="34.5" customHeight="1" x14ac:dyDescent="0.2">
      <c r="A56" s="326">
        <v>40</v>
      </c>
      <c r="B56" s="437" t="s">
        <v>13248</v>
      </c>
      <c r="C56" s="425"/>
      <c r="D56" s="424" t="s">
        <v>13249</v>
      </c>
      <c r="E56" s="426">
        <v>1968</v>
      </c>
      <c r="F56" s="424" t="s">
        <v>13250</v>
      </c>
      <c r="G56" s="425" t="s">
        <v>4921</v>
      </c>
      <c r="H56" s="426"/>
      <c r="I56" s="426" t="s">
        <v>3793</v>
      </c>
      <c r="J56" s="426"/>
      <c r="K56" s="426" t="s">
        <v>3136</v>
      </c>
      <c r="L56" s="427">
        <v>41816</v>
      </c>
      <c r="M56" s="438" t="s">
        <v>13251</v>
      </c>
      <c r="N56" s="428" t="s">
        <v>13252</v>
      </c>
      <c r="O56" s="427">
        <v>41816</v>
      </c>
      <c r="P56" s="188" t="s">
        <v>13253</v>
      </c>
      <c r="Q56" s="188" t="s">
        <v>13253</v>
      </c>
      <c r="R56" s="188">
        <f>R57+R58</f>
        <v>0</v>
      </c>
      <c r="S56" s="188"/>
      <c r="T56" s="285" t="s">
        <v>13196</v>
      </c>
      <c r="U56" s="289" t="s">
        <v>13002</v>
      </c>
      <c r="V56" s="70">
        <v>44</v>
      </c>
      <c r="W56" s="285" t="s">
        <v>13223</v>
      </c>
      <c r="X56" s="425"/>
    </row>
    <row r="57" spans="1:24" s="19" customFormat="1" ht="53.25" customHeight="1" x14ac:dyDescent="0.2">
      <c r="A57" s="432"/>
      <c r="B57" s="433" t="s">
        <v>13248</v>
      </c>
      <c r="C57" s="289"/>
      <c r="D57" s="13" t="s">
        <v>13249</v>
      </c>
      <c r="E57" s="285">
        <v>1968</v>
      </c>
      <c r="F57" s="13" t="s">
        <v>13250</v>
      </c>
      <c r="G57" s="289" t="s">
        <v>4921</v>
      </c>
      <c r="H57" s="285" t="s">
        <v>4877</v>
      </c>
      <c r="I57" s="285" t="s">
        <v>3793</v>
      </c>
      <c r="J57" s="285"/>
      <c r="K57" s="285" t="s">
        <v>3136</v>
      </c>
      <c r="L57" s="14">
        <v>41816</v>
      </c>
      <c r="M57" s="22" t="s">
        <v>13254</v>
      </c>
      <c r="N57" s="16">
        <v>670.1</v>
      </c>
      <c r="O57" s="14">
        <v>41816</v>
      </c>
      <c r="P57" s="40">
        <v>480395.41</v>
      </c>
      <c r="Q57" s="40">
        <v>480395.41</v>
      </c>
      <c r="R57" s="40">
        <v>0</v>
      </c>
      <c r="S57" s="40"/>
      <c r="T57" s="285" t="s">
        <v>13196</v>
      </c>
      <c r="U57" s="289" t="s">
        <v>13002</v>
      </c>
      <c r="V57" s="70">
        <v>44</v>
      </c>
      <c r="W57" s="289"/>
      <c r="X57" s="289"/>
    </row>
    <row r="58" spans="1:24" s="19" customFormat="1" ht="49.5" customHeight="1" x14ac:dyDescent="0.2">
      <c r="A58" s="331"/>
      <c r="B58" s="433" t="s">
        <v>13248</v>
      </c>
      <c r="C58" s="289"/>
      <c r="D58" s="13" t="s">
        <v>13249</v>
      </c>
      <c r="E58" s="285">
        <v>1968</v>
      </c>
      <c r="F58" s="13" t="s">
        <v>13250</v>
      </c>
      <c r="G58" s="289" t="s">
        <v>4921</v>
      </c>
      <c r="H58" s="285" t="s">
        <v>4296</v>
      </c>
      <c r="I58" s="285" t="s">
        <v>3793</v>
      </c>
      <c r="J58" s="285"/>
      <c r="K58" s="285" t="s">
        <v>3136</v>
      </c>
      <c r="L58" s="14">
        <v>42003</v>
      </c>
      <c r="M58" s="22" t="s">
        <v>5493</v>
      </c>
      <c r="N58" s="16">
        <v>181.3</v>
      </c>
      <c r="O58" s="14">
        <v>41456</v>
      </c>
      <c r="P58" s="40">
        <v>129974.17</v>
      </c>
      <c r="Q58" s="40">
        <v>129974.17</v>
      </c>
      <c r="R58" s="40">
        <v>0</v>
      </c>
      <c r="S58" s="40"/>
      <c r="T58" s="285" t="s">
        <v>13196</v>
      </c>
      <c r="U58" s="289" t="s">
        <v>13002</v>
      </c>
      <c r="V58" s="70">
        <v>44</v>
      </c>
      <c r="W58" s="289"/>
      <c r="X58" s="289"/>
    </row>
    <row r="59" spans="1:24" s="431" customFormat="1" ht="50.25" customHeight="1" x14ac:dyDescent="0.2">
      <c r="A59" s="326">
        <v>41</v>
      </c>
      <c r="B59" s="437" t="s">
        <v>13255</v>
      </c>
      <c r="C59" s="425"/>
      <c r="D59" s="424" t="s">
        <v>13256</v>
      </c>
      <c r="E59" s="438" t="s">
        <v>13257</v>
      </c>
      <c r="F59" s="424" t="s">
        <v>13258</v>
      </c>
      <c r="G59" s="425" t="s">
        <v>4921</v>
      </c>
      <c r="H59" s="426"/>
      <c r="I59" s="426" t="s">
        <v>3793</v>
      </c>
      <c r="J59" s="426"/>
      <c r="K59" s="426" t="s">
        <v>3136</v>
      </c>
      <c r="L59" s="427">
        <v>41816</v>
      </c>
      <c r="M59" s="438" t="s">
        <v>13251</v>
      </c>
      <c r="N59" s="428" t="s">
        <v>13259</v>
      </c>
      <c r="O59" s="427">
        <v>41816</v>
      </c>
      <c r="P59" s="188" t="s">
        <v>13260</v>
      </c>
      <c r="Q59" s="188" t="s">
        <v>13261</v>
      </c>
      <c r="R59" s="188" t="s">
        <v>13262</v>
      </c>
      <c r="S59" s="188"/>
      <c r="T59" s="285" t="s">
        <v>13196</v>
      </c>
      <c r="U59" s="289" t="s">
        <v>13002</v>
      </c>
      <c r="V59" s="70">
        <v>44</v>
      </c>
      <c r="W59" s="285" t="s">
        <v>13223</v>
      </c>
      <c r="X59" s="425"/>
    </row>
    <row r="60" spans="1:24" s="19" customFormat="1" ht="51" customHeight="1" x14ac:dyDescent="0.2">
      <c r="A60" s="432"/>
      <c r="B60" s="433" t="s">
        <v>13255</v>
      </c>
      <c r="C60" s="289"/>
      <c r="D60" s="13" t="s">
        <v>13256</v>
      </c>
      <c r="E60" s="22" t="s">
        <v>13257</v>
      </c>
      <c r="F60" s="13" t="s">
        <v>13263</v>
      </c>
      <c r="G60" s="289" t="s">
        <v>4921</v>
      </c>
      <c r="H60" s="285" t="s">
        <v>4877</v>
      </c>
      <c r="I60" s="285" t="s">
        <v>3793</v>
      </c>
      <c r="J60" s="285"/>
      <c r="K60" s="285" t="s">
        <v>2760</v>
      </c>
      <c r="L60" s="285" t="s">
        <v>13264</v>
      </c>
      <c r="M60" s="285" t="s">
        <v>13265</v>
      </c>
      <c r="N60" s="16">
        <v>273.7</v>
      </c>
      <c r="O60" s="14">
        <v>41816</v>
      </c>
      <c r="P60" s="40">
        <v>136117.54999999999</v>
      </c>
      <c r="Q60" s="40">
        <v>136117.54999999999</v>
      </c>
      <c r="R60" s="40">
        <f t="shared" ref="R60:R70" si="3">P60-Q60</f>
        <v>0</v>
      </c>
      <c r="S60" s="40"/>
      <c r="T60" s="285" t="s">
        <v>13196</v>
      </c>
      <c r="U60" s="289" t="s">
        <v>13002</v>
      </c>
      <c r="V60" s="70">
        <v>44</v>
      </c>
      <c r="W60" s="15"/>
      <c r="X60" s="289"/>
    </row>
    <row r="61" spans="1:24" s="19" customFormat="1" ht="52.5" customHeight="1" x14ac:dyDescent="0.2">
      <c r="A61" s="432"/>
      <c r="B61" s="433" t="s">
        <v>13255</v>
      </c>
      <c r="C61" s="289"/>
      <c r="D61" s="13" t="s">
        <v>13256</v>
      </c>
      <c r="E61" s="22" t="s">
        <v>13257</v>
      </c>
      <c r="F61" s="13" t="s">
        <v>13263</v>
      </c>
      <c r="G61" s="289" t="s">
        <v>4921</v>
      </c>
      <c r="H61" s="285" t="s">
        <v>4296</v>
      </c>
      <c r="I61" s="285" t="s">
        <v>3793</v>
      </c>
      <c r="J61" s="285"/>
      <c r="K61" s="22" t="s">
        <v>3136</v>
      </c>
      <c r="L61" s="14">
        <v>42003</v>
      </c>
      <c r="M61" s="22" t="s">
        <v>5493</v>
      </c>
      <c r="N61" s="16">
        <v>137.5</v>
      </c>
      <c r="O61" s="14">
        <v>41456</v>
      </c>
      <c r="P61" s="40">
        <v>68382.039999999994</v>
      </c>
      <c r="Q61" s="40">
        <v>68382.039999999994</v>
      </c>
      <c r="R61" s="40">
        <f t="shared" si="3"/>
        <v>0</v>
      </c>
      <c r="S61" s="40"/>
      <c r="T61" s="285" t="s">
        <v>13196</v>
      </c>
      <c r="U61" s="289" t="s">
        <v>13002</v>
      </c>
      <c r="V61" s="70">
        <v>44</v>
      </c>
      <c r="W61" s="15"/>
      <c r="X61" s="289"/>
    </row>
    <row r="62" spans="1:24" s="19" customFormat="1" ht="51" customHeight="1" x14ac:dyDescent="0.2">
      <c r="A62" s="331"/>
      <c r="B62" s="433" t="s">
        <v>13255</v>
      </c>
      <c r="C62" s="289"/>
      <c r="D62" s="13" t="s">
        <v>13256</v>
      </c>
      <c r="E62" s="22" t="s">
        <v>13257</v>
      </c>
      <c r="F62" s="13" t="s">
        <v>13263</v>
      </c>
      <c r="G62" s="289" t="s">
        <v>4921</v>
      </c>
      <c r="H62" s="285" t="s">
        <v>4296</v>
      </c>
      <c r="I62" s="285" t="s">
        <v>3793</v>
      </c>
      <c r="J62" s="285"/>
      <c r="K62" s="22" t="s">
        <v>3136</v>
      </c>
      <c r="L62" s="14">
        <v>41816</v>
      </c>
      <c r="M62" s="285">
        <v>598</v>
      </c>
      <c r="N62" s="16">
        <v>267</v>
      </c>
      <c r="O62" s="14">
        <v>41816</v>
      </c>
      <c r="P62" s="40">
        <v>132785.48000000001</v>
      </c>
      <c r="Q62" s="40">
        <v>112427.2</v>
      </c>
      <c r="R62" s="40">
        <f t="shared" si="3"/>
        <v>20358.280000000013</v>
      </c>
      <c r="S62" s="40"/>
      <c r="T62" s="285" t="s">
        <v>13196</v>
      </c>
      <c r="U62" s="289" t="s">
        <v>13002</v>
      </c>
      <c r="V62" s="70">
        <v>44</v>
      </c>
      <c r="W62" s="15"/>
      <c r="X62" s="289"/>
    </row>
    <row r="63" spans="1:24" s="19" customFormat="1" ht="52.5" customHeight="1" x14ac:dyDescent="0.2">
      <c r="A63" s="289">
        <v>42</v>
      </c>
      <c r="B63" s="12" t="s">
        <v>13266</v>
      </c>
      <c r="C63" s="285" t="s">
        <v>13267</v>
      </c>
      <c r="D63" s="13" t="s">
        <v>13268</v>
      </c>
      <c r="E63" s="285">
        <v>1983</v>
      </c>
      <c r="F63" s="13" t="s">
        <v>13269</v>
      </c>
      <c r="G63" s="285" t="s">
        <v>13270</v>
      </c>
      <c r="H63" s="285" t="s">
        <v>5776</v>
      </c>
      <c r="I63" s="285" t="s">
        <v>5127</v>
      </c>
      <c r="J63" s="285"/>
      <c r="K63" s="285" t="s">
        <v>11743</v>
      </c>
      <c r="L63" s="14" t="s">
        <v>13271</v>
      </c>
      <c r="M63" s="285" t="s">
        <v>13272</v>
      </c>
      <c r="N63" s="17">
        <v>2007.1</v>
      </c>
      <c r="O63" s="15">
        <v>41226</v>
      </c>
      <c r="P63" s="17">
        <v>1675932.45</v>
      </c>
      <c r="Q63" s="40">
        <v>839451.32</v>
      </c>
      <c r="R63" s="17">
        <f t="shared" si="3"/>
        <v>836481.13</v>
      </c>
      <c r="S63" s="17">
        <v>12576263.74</v>
      </c>
      <c r="T63" s="285" t="s">
        <v>13273</v>
      </c>
      <c r="U63" s="14" t="s">
        <v>13274</v>
      </c>
      <c r="V63" s="70" t="s">
        <v>13275</v>
      </c>
      <c r="W63" s="14">
        <v>30385</v>
      </c>
      <c r="X63" s="285" t="s">
        <v>13276</v>
      </c>
    </row>
    <row r="64" spans="1:24" s="19" customFormat="1" ht="75" customHeight="1" x14ac:dyDescent="0.2">
      <c r="A64" s="289">
        <v>43</v>
      </c>
      <c r="B64" s="12" t="s">
        <v>13277</v>
      </c>
      <c r="C64" s="285" t="s">
        <v>13278</v>
      </c>
      <c r="D64" s="13" t="s">
        <v>13279</v>
      </c>
      <c r="E64" s="22" t="s">
        <v>13280</v>
      </c>
      <c r="F64" s="13" t="s">
        <v>13281</v>
      </c>
      <c r="G64" s="285" t="s">
        <v>13282</v>
      </c>
      <c r="H64" s="285" t="s">
        <v>4296</v>
      </c>
      <c r="I64" s="285" t="s">
        <v>3793</v>
      </c>
      <c r="J64" s="285"/>
      <c r="K64" s="22" t="s">
        <v>3136</v>
      </c>
      <c r="L64" s="14" t="s">
        <v>13283</v>
      </c>
      <c r="M64" s="22" t="s">
        <v>13284</v>
      </c>
      <c r="N64" s="439">
        <v>26.8</v>
      </c>
      <c r="O64" s="15">
        <v>40422</v>
      </c>
      <c r="P64" s="17">
        <v>51903.38</v>
      </c>
      <c r="Q64" s="40">
        <v>51903.38</v>
      </c>
      <c r="R64" s="17">
        <f t="shared" si="3"/>
        <v>0</v>
      </c>
      <c r="S64" s="17"/>
      <c r="T64" s="285" t="s">
        <v>12520</v>
      </c>
      <c r="U64" s="15">
        <v>44714</v>
      </c>
      <c r="V64" s="70" t="s">
        <v>13285</v>
      </c>
      <c r="W64" s="285"/>
      <c r="X64" s="285"/>
    </row>
    <row r="65" spans="1:24" s="19" customFormat="1" ht="72" customHeight="1" x14ac:dyDescent="0.2">
      <c r="A65" s="289">
        <v>44</v>
      </c>
      <c r="B65" s="12" t="s">
        <v>13286</v>
      </c>
      <c r="C65" s="285" t="s">
        <v>13287</v>
      </c>
      <c r="D65" s="13" t="s">
        <v>13288</v>
      </c>
      <c r="E65" s="22" t="s">
        <v>13289</v>
      </c>
      <c r="F65" s="13" t="s">
        <v>13290</v>
      </c>
      <c r="G65" s="285" t="s">
        <v>13291</v>
      </c>
      <c r="H65" s="285" t="s">
        <v>4296</v>
      </c>
      <c r="I65" s="285" t="s">
        <v>3793</v>
      </c>
      <c r="J65" s="285"/>
      <c r="K65" s="22" t="s">
        <v>3136</v>
      </c>
      <c r="L65" s="14" t="s">
        <v>13283</v>
      </c>
      <c r="M65" s="22" t="s">
        <v>13284</v>
      </c>
      <c r="N65" s="439">
        <v>3.1</v>
      </c>
      <c r="O65" s="15">
        <v>40422</v>
      </c>
      <c r="P65" s="17">
        <v>41825.96</v>
      </c>
      <c r="Q65" s="40">
        <v>41825.96</v>
      </c>
      <c r="R65" s="17">
        <f t="shared" si="3"/>
        <v>0</v>
      </c>
      <c r="S65" s="17"/>
      <c r="T65" s="285" t="s">
        <v>12520</v>
      </c>
      <c r="U65" s="15">
        <v>44706</v>
      </c>
      <c r="V65" s="70" t="s">
        <v>13292</v>
      </c>
      <c r="W65" s="285"/>
      <c r="X65" s="285"/>
    </row>
    <row r="66" spans="1:24" s="19" customFormat="1" ht="75.75" customHeight="1" x14ac:dyDescent="0.2">
      <c r="A66" s="289">
        <v>45</v>
      </c>
      <c r="B66" s="12" t="s">
        <v>13293</v>
      </c>
      <c r="C66" s="285" t="s">
        <v>13294</v>
      </c>
      <c r="D66" s="13" t="s">
        <v>13295</v>
      </c>
      <c r="E66" s="22" t="s">
        <v>13296</v>
      </c>
      <c r="F66" s="13" t="s">
        <v>13297</v>
      </c>
      <c r="G66" s="285" t="s">
        <v>13298</v>
      </c>
      <c r="H66" s="285" t="s">
        <v>4296</v>
      </c>
      <c r="I66" s="285" t="s">
        <v>3793</v>
      </c>
      <c r="J66" s="285"/>
      <c r="K66" s="22" t="s">
        <v>3136</v>
      </c>
      <c r="L66" s="14" t="s">
        <v>13299</v>
      </c>
      <c r="M66" s="22" t="s">
        <v>13300</v>
      </c>
      <c r="N66" s="439">
        <v>15</v>
      </c>
      <c r="O66" s="15">
        <v>40422</v>
      </c>
      <c r="P66" s="17">
        <v>108332.26</v>
      </c>
      <c r="Q66" s="40">
        <v>108332.26</v>
      </c>
      <c r="R66" s="17">
        <f t="shared" si="3"/>
        <v>0</v>
      </c>
      <c r="S66" s="17"/>
      <c r="T66" s="285" t="s">
        <v>12520</v>
      </c>
      <c r="U66" s="15">
        <v>44679</v>
      </c>
      <c r="V66" s="70" t="s">
        <v>13301</v>
      </c>
      <c r="W66" s="285"/>
      <c r="X66" s="285"/>
    </row>
    <row r="67" spans="1:24" s="19" customFormat="1" ht="77.25" customHeight="1" x14ac:dyDescent="0.2">
      <c r="A67" s="289">
        <v>46</v>
      </c>
      <c r="B67" s="12" t="s">
        <v>13302</v>
      </c>
      <c r="C67" s="285" t="s">
        <v>13303</v>
      </c>
      <c r="D67" s="13" t="s">
        <v>13304</v>
      </c>
      <c r="E67" s="22" t="s">
        <v>13305</v>
      </c>
      <c r="F67" s="13" t="s">
        <v>13306</v>
      </c>
      <c r="G67" s="285" t="s">
        <v>13307</v>
      </c>
      <c r="H67" s="285" t="s">
        <v>4296</v>
      </c>
      <c r="I67" s="285" t="s">
        <v>3793</v>
      </c>
      <c r="J67" s="285"/>
      <c r="K67" s="22" t="s">
        <v>3136</v>
      </c>
      <c r="L67" s="14" t="s">
        <v>13308</v>
      </c>
      <c r="M67" s="22" t="s">
        <v>13309</v>
      </c>
      <c r="N67" s="439">
        <v>6.2</v>
      </c>
      <c r="O67" s="15">
        <v>40422</v>
      </c>
      <c r="P67" s="17">
        <v>40671.25</v>
      </c>
      <c r="Q67" s="40">
        <v>40671.25</v>
      </c>
      <c r="R67" s="17">
        <f t="shared" si="3"/>
        <v>0</v>
      </c>
      <c r="S67" s="17"/>
      <c r="T67" s="285" t="s">
        <v>12520</v>
      </c>
      <c r="U67" s="15">
        <v>44743</v>
      </c>
      <c r="V67" s="70" t="s">
        <v>13310</v>
      </c>
      <c r="W67" s="285"/>
      <c r="X67" s="285"/>
    </row>
    <row r="68" spans="1:24" s="19" customFormat="1" ht="75" customHeight="1" x14ac:dyDescent="0.2">
      <c r="A68" s="289">
        <v>47</v>
      </c>
      <c r="B68" s="12" t="s">
        <v>13311</v>
      </c>
      <c r="C68" s="285" t="s">
        <v>13312</v>
      </c>
      <c r="D68" s="13" t="s">
        <v>13313</v>
      </c>
      <c r="E68" s="22" t="s">
        <v>13314</v>
      </c>
      <c r="F68" s="13" t="s">
        <v>13315</v>
      </c>
      <c r="G68" s="285" t="s">
        <v>13316</v>
      </c>
      <c r="H68" s="285" t="s">
        <v>4296</v>
      </c>
      <c r="I68" s="285" t="s">
        <v>3793</v>
      </c>
      <c r="J68" s="285"/>
      <c r="K68" s="22" t="s">
        <v>3136</v>
      </c>
      <c r="L68" s="14" t="s">
        <v>13283</v>
      </c>
      <c r="M68" s="22" t="s">
        <v>13284</v>
      </c>
      <c r="N68" s="439">
        <v>10.5</v>
      </c>
      <c r="O68" s="15">
        <v>40428</v>
      </c>
      <c r="P68" s="17">
        <v>40671.25</v>
      </c>
      <c r="Q68" s="40">
        <v>40671.25</v>
      </c>
      <c r="R68" s="17">
        <f t="shared" si="3"/>
        <v>0</v>
      </c>
      <c r="S68" s="17"/>
      <c r="T68" s="285" t="s">
        <v>12520</v>
      </c>
      <c r="U68" s="15">
        <v>44722</v>
      </c>
      <c r="V68" s="70" t="s">
        <v>13317</v>
      </c>
      <c r="W68" s="285"/>
      <c r="X68" s="285"/>
    </row>
    <row r="69" spans="1:24" s="19" customFormat="1" ht="54" customHeight="1" x14ac:dyDescent="0.2">
      <c r="A69" s="289">
        <v>48</v>
      </c>
      <c r="B69" s="12" t="s">
        <v>13318</v>
      </c>
      <c r="C69" s="285" t="s">
        <v>13319</v>
      </c>
      <c r="D69" s="13" t="s">
        <v>13320</v>
      </c>
      <c r="E69" s="22" t="s">
        <v>13321</v>
      </c>
      <c r="F69" s="13" t="s">
        <v>13322</v>
      </c>
      <c r="G69" s="285" t="s">
        <v>13323</v>
      </c>
      <c r="H69" s="285" t="s">
        <v>4296</v>
      </c>
      <c r="I69" s="285" t="s">
        <v>3793</v>
      </c>
      <c r="J69" s="285"/>
      <c r="K69" s="22" t="s">
        <v>3136</v>
      </c>
      <c r="L69" s="14" t="s">
        <v>13239</v>
      </c>
      <c r="M69" s="22" t="s">
        <v>13324</v>
      </c>
      <c r="N69" s="439">
        <v>6.3</v>
      </c>
      <c r="O69" s="15">
        <v>40422</v>
      </c>
      <c r="P69" s="17">
        <v>40671.25</v>
      </c>
      <c r="Q69" s="40">
        <v>40671.25</v>
      </c>
      <c r="R69" s="17">
        <f t="shared" si="3"/>
        <v>0</v>
      </c>
      <c r="S69" s="17">
        <v>29013</v>
      </c>
      <c r="T69" s="289" t="s">
        <v>13325</v>
      </c>
      <c r="U69" s="15">
        <v>41445</v>
      </c>
      <c r="V69" s="70" t="s">
        <v>13326</v>
      </c>
      <c r="W69" s="285" t="s">
        <v>13327</v>
      </c>
      <c r="X69" s="285" t="s">
        <v>13328</v>
      </c>
    </row>
    <row r="70" spans="1:24" s="19" customFormat="1" ht="48" customHeight="1" x14ac:dyDescent="0.2">
      <c r="A70" s="289">
        <v>49</v>
      </c>
      <c r="B70" s="12" t="s">
        <v>13329</v>
      </c>
      <c r="C70" s="285" t="s">
        <v>13330</v>
      </c>
      <c r="D70" s="13" t="s">
        <v>13331</v>
      </c>
      <c r="E70" s="22" t="s">
        <v>13314</v>
      </c>
      <c r="F70" s="13" t="s">
        <v>13332</v>
      </c>
      <c r="G70" s="285" t="s">
        <v>13333</v>
      </c>
      <c r="H70" s="285" t="s">
        <v>4296</v>
      </c>
      <c r="I70" s="285" t="s">
        <v>3793</v>
      </c>
      <c r="J70" s="285"/>
      <c r="K70" s="22" t="s">
        <v>3136</v>
      </c>
      <c r="L70" s="14" t="s">
        <v>13334</v>
      </c>
      <c r="M70" s="22" t="s">
        <v>13335</v>
      </c>
      <c r="N70" s="439">
        <v>11.7</v>
      </c>
      <c r="O70" s="15">
        <v>40422</v>
      </c>
      <c r="P70" s="17">
        <v>38373.51</v>
      </c>
      <c r="Q70" s="40">
        <v>38373.51</v>
      </c>
      <c r="R70" s="17">
        <f t="shared" si="3"/>
        <v>0</v>
      </c>
      <c r="S70" s="17"/>
      <c r="T70" s="285" t="s">
        <v>13325</v>
      </c>
      <c r="U70" s="15">
        <v>44760</v>
      </c>
      <c r="V70" s="70" t="s">
        <v>13336</v>
      </c>
      <c r="W70" s="285"/>
      <c r="X70" s="285" t="s">
        <v>13337</v>
      </c>
    </row>
    <row r="71" spans="1:24" s="19" customFormat="1" ht="52.5" customHeight="1" x14ac:dyDescent="0.2">
      <c r="A71" s="289">
        <v>50</v>
      </c>
      <c r="B71" s="12" t="s">
        <v>13338</v>
      </c>
      <c r="C71" s="285" t="s">
        <v>13339</v>
      </c>
      <c r="D71" s="13" t="s">
        <v>13065</v>
      </c>
      <c r="E71" s="22" t="s">
        <v>4979</v>
      </c>
      <c r="F71" s="13" t="s">
        <v>13340</v>
      </c>
      <c r="G71" s="285" t="s">
        <v>13341</v>
      </c>
      <c r="H71" s="285" t="s">
        <v>5776</v>
      </c>
      <c r="I71" s="285" t="s">
        <v>5127</v>
      </c>
      <c r="J71" s="285"/>
      <c r="K71" s="22" t="s">
        <v>3136</v>
      </c>
      <c r="L71" s="14" t="s">
        <v>13342</v>
      </c>
      <c r="M71" s="285" t="s">
        <v>13343</v>
      </c>
      <c r="N71" s="17">
        <v>180.6</v>
      </c>
      <c r="O71" s="15">
        <v>39934</v>
      </c>
      <c r="P71" s="17">
        <v>9397</v>
      </c>
      <c r="Q71" s="40">
        <v>9397</v>
      </c>
      <c r="R71" s="17">
        <v>0</v>
      </c>
      <c r="S71" s="17">
        <v>2176368</v>
      </c>
      <c r="T71" s="285" t="s">
        <v>4020</v>
      </c>
      <c r="U71" s="14" t="s">
        <v>13344</v>
      </c>
      <c r="V71" s="70" t="s">
        <v>13345</v>
      </c>
      <c r="W71" s="14">
        <v>38364</v>
      </c>
      <c r="X71" s="285" t="s">
        <v>13346</v>
      </c>
    </row>
    <row r="72" spans="1:24" s="19" customFormat="1" ht="34.5" customHeight="1" x14ac:dyDescent="0.2">
      <c r="A72" s="289">
        <v>51</v>
      </c>
      <c r="B72" s="12" t="s">
        <v>13347</v>
      </c>
      <c r="C72" s="285"/>
      <c r="D72" s="424" t="s">
        <v>13348</v>
      </c>
      <c r="E72" s="22" t="s">
        <v>13349</v>
      </c>
      <c r="F72" s="13" t="s">
        <v>13350</v>
      </c>
      <c r="G72" s="289" t="s">
        <v>4921</v>
      </c>
      <c r="H72" s="285"/>
      <c r="I72" s="285" t="s">
        <v>3793</v>
      </c>
      <c r="J72" s="285"/>
      <c r="K72" s="285" t="s">
        <v>3136</v>
      </c>
      <c r="L72" s="14">
        <v>41816</v>
      </c>
      <c r="M72" s="285">
        <v>600</v>
      </c>
      <c r="N72" s="440" t="s">
        <v>13351</v>
      </c>
      <c r="O72" s="14">
        <v>41816</v>
      </c>
      <c r="P72" s="441" t="s">
        <v>13352</v>
      </c>
      <c r="Q72" s="40">
        <v>9397</v>
      </c>
      <c r="R72" s="441" t="s">
        <v>13353</v>
      </c>
      <c r="S72" s="17"/>
      <c r="T72" s="285" t="s">
        <v>3136</v>
      </c>
      <c r="U72" s="14">
        <v>39153</v>
      </c>
      <c r="V72" s="70">
        <v>159</v>
      </c>
      <c r="W72" s="285" t="s">
        <v>13223</v>
      </c>
      <c r="X72" s="285"/>
    </row>
    <row r="73" spans="1:24" s="19" customFormat="1" ht="59.25" customHeight="1" x14ac:dyDescent="0.2">
      <c r="A73" s="289">
        <v>52</v>
      </c>
      <c r="B73" s="12" t="s">
        <v>13347</v>
      </c>
      <c r="C73" s="285"/>
      <c r="D73" s="13" t="s">
        <v>13348</v>
      </c>
      <c r="E73" s="22" t="s">
        <v>13349</v>
      </c>
      <c r="F73" s="13" t="s">
        <v>13350</v>
      </c>
      <c r="G73" s="285" t="s">
        <v>4921</v>
      </c>
      <c r="H73" s="285" t="s">
        <v>4877</v>
      </c>
      <c r="I73" s="285" t="s">
        <v>3793</v>
      </c>
      <c r="J73" s="285"/>
      <c r="K73" s="285" t="s">
        <v>3136</v>
      </c>
      <c r="L73" s="14">
        <v>41816</v>
      </c>
      <c r="M73" s="285">
        <v>597</v>
      </c>
      <c r="N73" s="24">
        <v>1648.62</v>
      </c>
      <c r="O73" s="14">
        <v>41816</v>
      </c>
      <c r="P73" s="17">
        <v>776619.52000000002</v>
      </c>
      <c r="Q73" s="40">
        <v>470573.95</v>
      </c>
      <c r="R73" s="17">
        <f>P73-Q73</f>
        <v>306045.57</v>
      </c>
      <c r="S73" s="17"/>
      <c r="T73" s="285" t="s">
        <v>3136</v>
      </c>
      <c r="U73" s="14">
        <v>39153</v>
      </c>
      <c r="V73" s="70">
        <v>159</v>
      </c>
      <c r="W73" s="14"/>
      <c r="X73" s="285"/>
    </row>
    <row r="74" spans="1:24" s="19" customFormat="1" ht="34.5" customHeight="1" x14ac:dyDescent="0.2">
      <c r="A74" s="289">
        <v>53</v>
      </c>
      <c r="B74" s="12" t="s">
        <v>13347</v>
      </c>
      <c r="C74" s="285"/>
      <c r="D74" s="13" t="s">
        <v>13348</v>
      </c>
      <c r="E74" s="22" t="s">
        <v>13349</v>
      </c>
      <c r="F74" s="13" t="s">
        <v>13350</v>
      </c>
      <c r="G74" s="285" t="s">
        <v>4921</v>
      </c>
      <c r="H74" s="285" t="s">
        <v>4296</v>
      </c>
      <c r="I74" s="285" t="s">
        <v>3793</v>
      </c>
      <c r="J74" s="285"/>
      <c r="K74" s="285" t="s">
        <v>3136</v>
      </c>
      <c r="L74" s="14">
        <v>41816</v>
      </c>
      <c r="M74" s="285">
        <v>598</v>
      </c>
      <c r="N74" s="24">
        <v>537.88</v>
      </c>
      <c r="O74" s="14">
        <v>41816</v>
      </c>
      <c r="P74" s="17">
        <v>253380.48000000001</v>
      </c>
      <c r="Q74" s="40">
        <v>139425.81</v>
      </c>
      <c r="R74" s="40">
        <f>P74-Q74</f>
        <v>113954.67000000001</v>
      </c>
      <c r="S74" s="17"/>
      <c r="T74" s="285"/>
      <c r="U74" s="14"/>
      <c r="V74" s="70"/>
      <c r="W74" s="14"/>
      <c r="X74" s="285"/>
    </row>
    <row r="75" spans="1:24" s="19" customFormat="1" ht="53.25" customHeight="1" x14ac:dyDescent="0.2">
      <c r="A75" s="289">
        <v>54</v>
      </c>
      <c r="B75" s="12" t="s">
        <v>13354</v>
      </c>
      <c r="C75" s="285" t="s">
        <v>13355</v>
      </c>
      <c r="D75" s="13" t="s">
        <v>13356</v>
      </c>
      <c r="E75" s="22" t="s">
        <v>6173</v>
      </c>
      <c r="F75" s="13" t="s">
        <v>13357</v>
      </c>
      <c r="G75" s="285" t="s">
        <v>13358</v>
      </c>
      <c r="H75" s="285" t="s">
        <v>7977</v>
      </c>
      <c r="I75" s="285" t="s">
        <v>5127</v>
      </c>
      <c r="J75" s="285"/>
      <c r="K75" s="285" t="s">
        <v>3136</v>
      </c>
      <c r="L75" s="14" t="s">
        <v>13359</v>
      </c>
      <c r="M75" s="285" t="s">
        <v>13360</v>
      </c>
      <c r="N75" s="439">
        <v>2718</v>
      </c>
      <c r="O75" s="14">
        <v>41244</v>
      </c>
      <c r="P75" s="17">
        <v>25526088.350000001</v>
      </c>
      <c r="Q75" s="40">
        <v>8174831.75</v>
      </c>
      <c r="R75" s="17">
        <f>P75-Q75</f>
        <v>17351256.600000001</v>
      </c>
      <c r="S75" s="17">
        <v>47183475</v>
      </c>
      <c r="T75" s="285" t="s">
        <v>13361</v>
      </c>
      <c r="U75" s="14" t="s">
        <v>13362</v>
      </c>
      <c r="V75" s="70" t="s">
        <v>13363</v>
      </c>
      <c r="W75" s="14">
        <v>37938</v>
      </c>
      <c r="X75" s="285" t="s">
        <v>13364</v>
      </c>
    </row>
    <row r="76" spans="1:24" s="19" customFormat="1" ht="53.25" customHeight="1" x14ac:dyDescent="0.2">
      <c r="A76" s="289">
        <v>55</v>
      </c>
      <c r="B76" s="12" t="s">
        <v>13365</v>
      </c>
      <c r="C76" s="285" t="s">
        <v>13366</v>
      </c>
      <c r="D76" s="13" t="s">
        <v>13356</v>
      </c>
      <c r="E76" s="22">
        <v>1983</v>
      </c>
      <c r="F76" s="13" t="s">
        <v>13367</v>
      </c>
      <c r="G76" s="285" t="s">
        <v>13358</v>
      </c>
      <c r="H76" s="285" t="s">
        <v>3699</v>
      </c>
      <c r="I76" s="285" t="s">
        <v>5127</v>
      </c>
      <c r="J76" s="285"/>
      <c r="K76" s="285" t="s">
        <v>3136</v>
      </c>
      <c r="L76" s="14" t="s">
        <v>13359</v>
      </c>
      <c r="M76" s="285" t="s">
        <v>13360</v>
      </c>
      <c r="N76" s="439">
        <v>329.7</v>
      </c>
      <c r="O76" s="14">
        <v>41244</v>
      </c>
      <c r="P76" s="17">
        <v>1650162.98</v>
      </c>
      <c r="Q76" s="40">
        <v>1339469.9099999999</v>
      </c>
      <c r="R76" s="17">
        <f>P76-Q76</f>
        <v>310693.07000000007</v>
      </c>
      <c r="S76" s="17">
        <v>3691839</v>
      </c>
      <c r="T76" s="285" t="s">
        <v>13361</v>
      </c>
      <c r="U76" s="14" t="s">
        <v>13362</v>
      </c>
      <c r="V76" s="70" t="s">
        <v>13363</v>
      </c>
      <c r="W76" s="14">
        <v>37938</v>
      </c>
      <c r="X76" s="285" t="s">
        <v>13368</v>
      </c>
    </row>
    <row r="77" spans="1:24" s="19" customFormat="1" ht="39.75" customHeight="1" x14ac:dyDescent="0.2">
      <c r="A77" s="289">
        <v>56</v>
      </c>
      <c r="B77" s="12" t="s">
        <v>13369</v>
      </c>
      <c r="C77" s="285"/>
      <c r="D77" s="13" t="s">
        <v>13370</v>
      </c>
      <c r="E77" s="22" t="s">
        <v>13371</v>
      </c>
      <c r="F77" s="13" t="s">
        <v>13372</v>
      </c>
      <c r="G77" s="285" t="s">
        <v>13373</v>
      </c>
      <c r="H77" s="285" t="s">
        <v>4296</v>
      </c>
      <c r="I77" s="285" t="s">
        <v>3793</v>
      </c>
      <c r="J77" s="285"/>
      <c r="K77" s="285" t="s">
        <v>3136</v>
      </c>
      <c r="L77" s="14">
        <v>41165</v>
      </c>
      <c r="M77" s="285">
        <v>861</v>
      </c>
      <c r="N77" s="439">
        <v>27.7</v>
      </c>
      <c r="O77" s="14">
        <v>38687</v>
      </c>
      <c r="P77" s="17">
        <v>3601</v>
      </c>
      <c r="Q77" s="40">
        <f>P77-R77</f>
        <v>3601</v>
      </c>
      <c r="R77" s="17">
        <v>0</v>
      </c>
      <c r="S77" s="17"/>
      <c r="T77" s="285" t="s">
        <v>13374</v>
      </c>
      <c r="U77" s="14" t="s">
        <v>13375</v>
      </c>
      <c r="V77" s="70" t="s">
        <v>13376</v>
      </c>
      <c r="W77" s="14"/>
      <c r="X77" s="285"/>
    </row>
    <row r="78" spans="1:24" s="19" customFormat="1" ht="76.900000000000006" customHeight="1" x14ac:dyDescent="0.2">
      <c r="A78" s="289">
        <v>57</v>
      </c>
      <c r="B78" s="12" t="s">
        <v>13377</v>
      </c>
      <c r="C78" s="285" t="s">
        <v>13378</v>
      </c>
      <c r="D78" s="254" t="s">
        <v>13379</v>
      </c>
      <c r="E78" s="22" t="s">
        <v>1031</v>
      </c>
      <c r="F78" s="255" t="s">
        <v>13380</v>
      </c>
      <c r="G78" s="285" t="s">
        <v>13381</v>
      </c>
      <c r="H78" s="285" t="s">
        <v>4296</v>
      </c>
      <c r="I78" s="285" t="s">
        <v>13382</v>
      </c>
      <c r="J78" s="285"/>
      <c r="K78" s="22" t="s">
        <v>3136</v>
      </c>
      <c r="L78" s="14" t="s">
        <v>13383</v>
      </c>
      <c r="M78" s="22" t="s">
        <v>13384</v>
      </c>
      <c r="N78" s="285">
        <v>19.2</v>
      </c>
      <c r="O78" s="15">
        <v>41155</v>
      </c>
      <c r="P78" s="17">
        <v>2903310</v>
      </c>
      <c r="Q78" s="40">
        <v>1698043.98</v>
      </c>
      <c r="R78" s="17">
        <f>P78-Q78</f>
        <v>1205266.02</v>
      </c>
      <c r="S78" s="17"/>
      <c r="T78" s="285" t="s">
        <v>3136</v>
      </c>
      <c r="U78" s="15">
        <v>41022</v>
      </c>
      <c r="V78" s="70">
        <v>390</v>
      </c>
      <c r="W78" s="14" t="s">
        <v>13385</v>
      </c>
      <c r="X78" s="285" t="s">
        <v>13386</v>
      </c>
    </row>
    <row r="79" spans="1:24" s="19" customFormat="1" ht="65.45" customHeight="1" x14ac:dyDescent="0.2">
      <c r="A79" s="289">
        <v>58</v>
      </c>
      <c r="B79" s="12" t="s">
        <v>13387</v>
      </c>
      <c r="C79" s="285" t="s">
        <v>13388</v>
      </c>
      <c r="D79" s="254" t="s">
        <v>13389</v>
      </c>
      <c r="E79" s="22" t="s">
        <v>1031</v>
      </c>
      <c r="F79" s="255" t="s">
        <v>13390</v>
      </c>
      <c r="G79" s="285" t="s">
        <v>13391</v>
      </c>
      <c r="H79" s="285" t="s">
        <v>4296</v>
      </c>
      <c r="I79" s="285" t="s">
        <v>13382</v>
      </c>
      <c r="J79" s="285"/>
      <c r="K79" s="22" t="s">
        <v>3136</v>
      </c>
      <c r="L79" s="14" t="s">
        <v>13392</v>
      </c>
      <c r="M79" s="22" t="s">
        <v>13393</v>
      </c>
      <c r="N79" s="285">
        <v>19.2</v>
      </c>
      <c r="O79" s="15">
        <v>41019</v>
      </c>
      <c r="P79" s="17">
        <v>1500368</v>
      </c>
      <c r="Q79" s="40">
        <v>941897.94</v>
      </c>
      <c r="R79" s="17">
        <f>P79-Q79</f>
        <v>558470.06000000006</v>
      </c>
      <c r="S79" s="17">
        <v>8341</v>
      </c>
      <c r="T79" s="285" t="s">
        <v>3136</v>
      </c>
      <c r="U79" s="15">
        <v>41022</v>
      </c>
      <c r="V79" s="70">
        <v>390</v>
      </c>
      <c r="W79" s="14" t="s">
        <v>13394</v>
      </c>
      <c r="X79" s="285" t="s">
        <v>13395</v>
      </c>
    </row>
    <row r="80" spans="1:24" s="19" customFormat="1" ht="102.75" customHeight="1" x14ac:dyDescent="0.2">
      <c r="A80" s="289">
        <v>59</v>
      </c>
      <c r="B80" s="12" t="s">
        <v>13396</v>
      </c>
      <c r="C80" s="285" t="s">
        <v>13397</v>
      </c>
      <c r="D80" s="13" t="s">
        <v>13398</v>
      </c>
      <c r="E80" s="22" t="s">
        <v>2468</v>
      </c>
      <c r="F80" s="13" t="s">
        <v>13399</v>
      </c>
      <c r="G80" s="285" t="s">
        <v>13400</v>
      </c>
      <c r="H80" s="285" t="s">
        <v>4296</v>
      </c>
      <c r="I80" s="285" t="s">
        <v>3793</v>
      </c>
      <c r="J80" s="285"/>
      <c r="K80" s="22" t="s">
        <v>4020</v>
      </c>
      <c r="L80" s="14" t="s">
        <v>13401</v>
      </c>
      <c r="M80" s="285" t="s">
        <v>13402</v>
      </c>
      <c r="N80" s="439">
        <v>81</v>
      </c>
      <c r="O80" s="15">
        <v>41416</v>
      </c>
      <c r="P80" s="17">
        <v>904230</v>
      </c>
      <c r="Q80" s="40">
        <v>904230</v>
      </c>
      <c r="R80" s="17">
        <f>P80-Q80</f>
        <v>0</v>
      </c>
      <c r="S80" s="17">
        <v>212974</v>
      </c>
      <c r="T80" s="285" t="s">
        <v>3136</v>
      </c>
      <c r="U80" s="14">
        <v>41416</v>
      </c>
      <c r="V80" s="70">
        <v>466</v>
      </c>
      <c r="W80" s="285"/>
      <c r="X80" s="285" t="s">
        <v>13403</v>
      </c>
    </row>
    <row r="81" spans="1:24" s="19" customFormat="1" ht="52.5" customHeight="1" x14ac:dyDescent="0.2">
      <c r="A81" s="289">
        <v>60</v>
      </c>
      <c r="B81" s="12" t="s">
        <v>13404</v>
      </c>
      <c r="C81" s="285"/>
      <c r="D81" s="13" t="s">
        <v>13405</v>
      </c>
      <c r="E81" s="22" t="s">
        <v>13406</v>
      </c>
      <c r="F81" s="13" t="s">
        <v>13407</v>
      </c>
      <c r="G81" s="285" t="s">
        <v>13408</v>
      </c>
      <c r="H81" s="285" t="s">
        <v>4296</v>
      </c>
      <c r="I81" s="285" t="s">
        <v>3793</v>
      </c>
      <c r="J81" s="285"/>
      <c r="K81" s="22" t="s">
        <v>3136</v>
      </c>
      <c r="L81" s="14">
        <v>42003</v>
      </c>
      <c r="M81" s="285">
        <v>1239</v>
      </c>
      <c r="N81" s="439"/>
      <c r="O81" s="15">
        <v>41416</v>
      </c>
      <c r="P81" s="17">
        <v>72141.25</v>
      </c>
      <c r="Q81" s="40">
        <f>P81-R81</f>
        <v>72141.25</v>
      </c>
      <c r="R81" s="17">
        <v>0</v>
      </c>
      <c r="S81" s="17"/>
      <c r="T81" s="285" t="s">
        <v>3136</v>
      </c>
      <c r="U81" s="15">
        <v>41416</v>
      </c>
      <c r="V81" s="70">
        <v>466</v>
      </c>
      <c r="W81" s="285"/>
      <c r="X81" s="285"/>
    </row>
    <row r="82" spans="1:24" s="19" customFormat="1" ht="77.45" customHeight="1" x14ac:dyDescent="0.2">
      <c r="A82" s="289">
        <v>61</v>
      </c>
      <c r="B82" s="12" t="s">
        <v>13409</v>
      </c>
      <c r="C82" s="285" t="s">
        <v>13410</v>
      </c>
      <c r="D82" s="13" t="s">
        <v>13411</v>
      </c>
      <c r="E82" s="22" t="s">
        <v>13412</v>
      </c>
      <c r="F82" s="13" t="s">
        <v>13413</v>
      </c>
      <c r="G82" s="285" t="s">
        <v>13414</v>
      </c>
      <c r="H82" s="285" t="s">
        <v>4296</v>
      </c>
      <c r="I82" s="285" t="s">
        <v>3793</v>
      </c>
      <c r="J82" s="285"/>
      <c r="K82" s="22" t="s">
        <v>3136</v>
      </c>
      <c r="L82" s="14" t="s">
        <v>13415</v>
      </c>
      <c r="M82" s="285" t="s">
        <v>13416</v>
      </c>
      <c r="N82" s="439">
        <v>6.3</v>
      </c>
      <c r="O82" s="15">
        <v>41416</v>
      </c>
      <c r="P82" s="17">
        <v>51903.08</v>
      </c>
      <c r="Q82" s="40">
        <f>P82-R82</f>
        <v>51903.08</v>
      </c>
      <c r="R82" s="17">
        <v>0</v>
      </c>
      <c r="S82" s="17"/>
      <c r="T82" s="285" t="s">
        <v>13417</v>
      </c>
      <c r="U82" s="14" t="s">
        <v>13418</v>
      </c>
      <c r="V82" s="70" t="s">
        <v>13419</v>
      </c>
      <c r="W82" s="285"/>
      <c r="X82" s="285"/>
    </row>
    <row r="83" spans="1:24" s="19" customFormat="1" ht="128.25" customHeight="1" x14ac:dyDescent="0.2">
      <c r="A83" s="289">
        <v>62</v>
      </c>
      <c r="B83" s="12" t="s">
        <v>13420</v>
      </c>
      <c r="C83" s="285" t="s">
        <v>13421</v>
      </c>
      <c r="D83" s="13" t="s">
        <v>13422</v>
      </c>
      <c r="E83" s="12">
        <v>1961</v>
      </c>
      <c r="F83" s="13" t="s">
        <v>13423</v>
      </c>
      <c r="G83" s="285" t="s">
        <v>13424</v>
      </c>
      <c r="H83" s="285" t="s">
        <v>4296</v>
      </c>
      <c r="I83" s="285" t="s">
        <v>3793</v>
      </c>
      <c r="J83" s="285"/>
      <c r="K83" s="285" t="s">
        <v>3136</v>
      </c>
      <c r="L83" s="14" t="s">
        <v>13425</v>
      </c>
      <c r="M83" s="285" t="s">
        <v>13426</v>
      </c>
      <c r="N83" s="40">
        <v>195.77</v>
      </c>
      <c r="O83" s="15">
        <v>39814</v>
      </c>
      <c r="P83" s="40">
        <f>63937.68+166409.12+90737.8</f>
        <v>321084.59999999998</v>
      </c>
      <c r="Q83" s="40">
        <v>239686.02</v>
      </c>
      <c r="R83" s="40">
        <f t="shared" ref="R83:R137" si="4">P83-Q83</f>
        <v>81398.579999999987</v>
      </c>
      <c r="S83" s="40">
        <v>3393329.66</v>
      </c>
      <c r="T83" s="285" t="s">
        <v>13427</v>
      </c>
      <c r="U83" s="285" t="s">
        <v>13428</v>
      </c>
      <c r="V83" s="70" t="s">
        <v>13429</v>
      </c>
      <c r="W83" s="14" t="s">
        <v>13430</v>
      </c>
      <c r="X83" s="285" t="s">
        <v>13431</v>
      </c>
    </row>
    <row r="84" spans="1:24" s="19" customFormat="1" ht="106.5" customHeight="1" x14ac:dyDescent="0.2">
      <c r="A84" s="289">
        <v>63</v>
      </c>
      <c r="B84" s="12" t="s">
        <v>13432</v>
      </c>
      <c r="C84" s="285" t="s">
        <v>13433</v>
      </c>
      <c r="D84" s="13" t="s">
        <v>13434</v>
      </c>
      <c r="E84" s="12" t="s">
        <v>13435</v>
      </c>
      <c r="F84" s="13" t="s">
        <v>13436</v>
      </c>
      <c r="G84" s="285" t="s">
        <v>13437</v>
      </c>
      <c r="H84" s="285" t="s">
        <v>4296</v>
      </c>
      <c r="I84" s="285" t="s">
        <v>3793</v>
      </c>
      <c r="J84" s="285"/>
      <c r="K84" s="22" t="s">
        <v>1574</v>
      </c>
      <c r="L84" s="14" t="s">
        <v>13438</v>
      </c>
      <c r="M84" s="285" t="s">
        <v>13439</v>
      </c>
      <c r="N84" s="370">
        <v>95.5</v>
      </c>
      <c r="O84" s="15">
        <v>40422</v>
      </c>
      <c r="P84" s="40">
        <v>1322560</v>
      </c>
      <c r="Q84" s="40">
        <v>682676.45</v>
      </c>
      <c r="R84" s="40">
        <f t="shared" si="4"/>
        <v>639883.55000000005</v>
      </c>
      <c r="S84" s="40">
        <v>297625</v>
      </c>
      <c r="T84" s="285"/>
      <c r="U84" s="285"/>
      <c r="V84" s="70"/>
      <c r="W84" s="15"/>
      <c r="X84" s="285" t="s">
        <v>13440</v>
      </c>
    </row>
    <row r="85" spans="1:24" s="19" customFormat="1" ht="93.75" customHeight="1" x14ac:dyDescent="0.2">
      <c r="A85" s="289">
        <v>64</v>
      </c>
      <c r="B85" s="12" t="s">
        <v>13441</v>
      </c>
      <c r="C85" s="285" t="s">
        <v>13442</v>
      </c>
      <c r="D85" s="13" t="s">
        <v>13443</v>
      </c>
      <c r="E85" s="12" t="s">
        <v>13435</v>
      </c>
      <c r="F85" s="13" t="s">
        <v>13444</v>
      </c>
      <c r="G85" s="285" t="s">
        <v>13445</v>
      </c>
      <c r="H85" s="285" t="s">
        <v>4296</v>
      </c>
      <c r="I85" s="285" t="s">
        <v>3793</v>
      </c>
      <c r="J85" s="285"/>
      <c r="K85" s="22" t="s">
        <v>4020</v>
      </c>
      <c r="L85" s="14" t="s">
        <v>13446</v>
      </c>
      <c r="M85" s="285" t="s">
        <v>13447</v>
      </c>
      <c r="N85" s="370">
        <v>169</v>
      </c>
      <c r="O85" s="15">
        <v>40422</v>
      </c>
      <c r="P85" s="40">
        <v>1436700</v>
      </c>
      <c r="Q85" s="40">
        <v>709565.15</v>
      </c>
      <c r="R85" s="40">
        <f t="shared" si="4"/>
        <v>727134.85</v>
      </c>
      <c r="S85" s="40">
        <v>954961</v>
      </c>
      <c r="T85" s="285"/>
      <c r="U85" s="14"/>
      <c r="V85" s="70"/>
      <c r="W85" s="15"/>
      <c r="X85" s="14" t="s">
        <v>13448</v>
      </c>
    </row>
    <row r="86" spans="1:24" s="19" customFormat="1" ht="113.25" customHeight="1" x14ac:dyDescent="0.2">
      <c r="A86" s="289">
        <v>65</v>
      </c>
      <c r="B86" s="12" t="s">
        <v>13449</v>
      </c>
      <c r="C86" s="285" t="s">
        <v>13450</v>
      </c>
      <c r="D86" s="13" t="s">
        <v>13451</v>
      </c>
      <c r="E86" s="12" t="s">
        <v>13452</v>
      </c>
      <c r="F86" s="13" t="s">
        <v>13453</v>
      </c>
      <c r="G86" s="361" t="s">
        <v>13454</v>
      </c>
      <c r="H86" s="285" t="s">
        <v>4296</v>
      </c>
      <c r="I86" s="285" t="s">
        <v>3793</v>
      </c>
      <c r="J86" s="285"/>
      <c r="K86" s="22" t="s">
        <v>4020</v>
      </c>
      <c r="L86" s="14" t="s">
        <v>13455</v>
      </c>
      <c r="M86" s="285" t="s">
        <v>13456</v>
      </c>
      <c r="N86" s="370">
        <v>41.4</v>
      </c>
      <c r="O86" s="15">
        <v>40422</v>
      </c>
      <c r="P86" s="40">
        <v>1172300</v>
      </c>
      <c r="Q86" s="40">
        <v>818054.62</v>
      </c>
      <c r="R86" s="40">
        <f t="shared" si="4"/>
        <v>354245.38</v>
      </c>
      <c r="S86" s="40">
        <v>113100</v>
      </c>
      <c r="T86" s="285"/>
      <c r="U86" s="14"/>
      <c r="V86" s="70"/>
      <c r="W86" s="15"/>
      <c r="X86" s="14" t="s">
        <v>13457</v>
      </c>
    </row>
    <row r="87" spans="1:24" s="19" customFormat="1" ht="89.25" customHeight="1" x14ac:dyDescent="0.2">
      <c r="A87" s="289">
        <v>66</v>
      </c>
      <c r="B87" s="12" t="s">
        <v>13458</v>
      </c>
      <c r="C87" s="285" t="s">
        <v>13459</v>
      </c>
      <c r="D87" s="13" t="s">
        <v>13460</v>
      </c>
      <c r="E87" s="289">
        <v>1982</v>
      </c>
      <c r="F87" s="13" t="s">
        <v>13461</v>
      </c>
      <c r="G87" s="285" t="s">
        <v>13462</v>
      </c>
      <c r="H87" s="285" t="s">
        <v>4296</v>
      </c>
      <c r="I87" s="285" t="s">
        <v>3793</v>
      </c>
      <c r="J87" s="285"/>
      <c r="K87" s="22" t="s">
        <v>4020</v>
      </c>
      <c r="L87" s="14" t="s">
        <v>13455</v>
      </c>
      <c r="M87" s="285" t="s">
        <v>13456</v>
      </c>
      <c r="N87" s="370">
        <v>41.7</v>
      </c>
      <c r="O87" s="15">
        <v>40834</v>
      </c>
      <c r="P87" s="40">
        <v>1603200</v>
      </c>
      <c r="Q87" s="40">
        <v>747904.14</v>
      </c>
      <c r="R87" s="40">
        <f t="shared" si="4"/>
        <v>855295.86</v>
      </c>
      <c r="S87" s="40">
        <v>91865</v>
      </c>
      <c r="T87" s="285"/>
      <c r="U87" s="14"/>
      <c r="V87" s="70"/>
      <c r="W87" s="15"/>
      <c r="X87" s="14" t="s">
        <v>13463</v>
      </c>
    </row>
    <row r="88" spans="1:24" s="19" customFormat="1" ht="78.75" customHeight="1" x14ac:dyDescent="0.2">
      <c r="A88" s="289">
        <v>67</v>
      </c>
      <c r="B88" s="12" t="s">
        <v>13464</v>
      </c>
      <c r="C88" s="285" t="s">
        <v>13465</v>
      </c>
      <c r="D88" s="13" t="s">
        <v>13466</v>
      </c>
      <c r="E88" s="289"/>
      <c r="F88" s="13"/>
      <c r="G88" s="285" t="s">
        <v>13467</v>
      </c>
      <c r="H88" s="285" t="s">
        <v>4296</v>
      </c>
      <c r="I88" s="285" t="s">
        <v>3793</v>
      </c>
      <c r="J88" s="285"/>
      <c r="K88" s="22" t="s">
        <v>3136</v>
      </c>
      <c r="L88" s="14" t="s">
        <v>13468</v>
      </c>
      <c r="M88" s="285">
        <v>227</v>
      </c>
      <c r="N88" s="370">
        <v>1545.8</v>
      </c>
      <c r="O88" s="15">
        <v>41984</v>
      </c>
      <c r="P88" s="40">
        <v>1</v>
      </c>
      <c r="Q88" s="40">
        <v>1</v>
      </c>
      <c r="R88" s="40">
        <f t="shared" si="4"/>
        <v>0</v>
      </c>
      <c r="S88" s="40">
        <v>10689167</v>
      </c>
      <c r="T88" s="285" t="s">
        <v>412</v>
      </c>
      <c r="U88" s="285" t="s">
        <v>13469</v>
      </c>
      <c r="V88" s="70">
        <v>720</v>
      </c>
      <c r="W88" s="14" t="s">
        <v>13470</v>
      </c>
      <c r="X88" s="14" t="s">
        <v>13471</v>
      </c>
    </row>
    <row r="89" spans="1:24" s="19" customFormat="1" ht="53.25" customHeight="1" x14ac:dyDescent="0.2">
      <c r="A89" s="289">
        <v>68</v>
      </c>
      <c r="B89" s="289" t="s">
        <v>13472</v>
      </c>
      <c r="C89" s="285"/>
      <c r="D89" s="9" t="s">
        <v>13473</v>
      </c>
      <c r="E89" s="12" t="s">
        <v>13371</v>
      </c>
      <c r="F89" s="13" t="s">
        <v>13474</v>
      </c>
      <c r="G89" s="285" t="s">
        <v>13475</v>
      </c>
      <c r="H89" s="285" t="s">
        <v>7605</v>
      </c>
      <c r="I89" s="285" t="s">
        <v>7606</v>
      </c>
      <c r="J89" s="285"/>
      <c r="K89" s="22" t="s">
        <v>7610</v>
      </c>
      <c r="L89" s="14" t="s">
        <v>7607</v>
      </c>
      <c r="M89" s="285" t="s">
        <v>7608</v>
      </c>
      <c r="N89" s="16"/>
      <c r="O89" s="14">
        <v>42023</v>
      </c>
      <c r="P89" s="17">
        <v>1</v>
      </c>
      <c r="Q89" s="40">
        <v>1</v>
      </c>
      <c r="R89" s="40">
        <f t="shared" si="4"/>
        <v>0</v>
      </c>
      <c r="S89" s="15"/>
      <c r="T89" s="285" t="s">
        <v>412</v>
      </c>
      <c r="U89" s="285" t="s">
        <v>413</v>
      </c>
      <c r="V89" s="285">
        <v>798</v>
      </c>
      <c r="W89" s="289"/>
      <c r="X89" s="289"/>
    </row>
    <row r="90" spans="1:24" s="19" customFormat="1" ht="55.5" customHeight="1" x14ac:dyDescent="0.2">
      <c r="A90" s="289">
        <v>69</v>
      </c>
      <c r="B90" s="289" t="s">
        <v>13476</v>
      </c>
      <c r="C90" s="285"/>
      <c r="D90" s="9" t="s">
        <v>13477</v>
      </c>
      <c r="E90" s="12" t="s">
        <v>13478</v>
      </c>
      <c r="F90" s="13" t="s">
        <v>13479</v>
      </c>
      <c r="G90" s="285" t="s">
        <v>13480</v>
      </c>
      <c r="H90" s="285" t="s">
        <v>7605</v>
      </c>
      <c r="I90" s="285" t="s">
        <v>7606</v>
      </c>
      <c r="J90" s="285"/>
      <c r="K90" s="22" t="s">
        <v>7610</v>
      </c>
      <c r="L90" s="14" t="s">
        <v>7607</v>
      </c>
      <c r="M90" s="285" t="s">
        <v>7608</v>
      </c>
      <c r="N90" s="16"/>
      <c r="O90" s="14">
        <v>42023</v>
      </c>
      <c r="P90" s="17">
        <v>1</v>
      </c>
      <c r="Q90" s="40">
        <v>1</v>
      </c>
      <c r="R90" s="40">
        <f t="shared" si="4"/>
        <v>0</v>
      </c>
      <c r="S90" s="15"/>
      <c r="T90" s="285" t="s">
        <v>412</v>
      </c>
      <c r="U90" s="285" t="s">
        <v>413</v>
      </c>
      <c r="V90" s="289">
        <v>798</v>
      </c>
      <c r="W90" s="289"/>
      <c r="X90" s="289"/>
    </row>
    <row r="91" spans="1:24" s="19" customFormat="1" ht="53.25" customHeight="1" x14ac:dyDescent="0.2">
      <c r="A91" s="289">
        <v>70</v>
      </c>
      <c r="B91" s="289" t="s">
        <v>13481</v>
      </c>
      <c r="C91" s="285"/>
      <c r="D91" s="9" t="s">
        <v>13482</v>
      </c>
      <c r="E91" s="12"/>
      <c r="F91" s="13" t="s">
        <v>13483</v>
      </c>
      <c r="G91" s="285" t="s">
        <v>13484</v>
      </c>
      <c r="H91" s="285" t="s">
        <v>7605</v>
      </c>
      <c r="I91" s="285" t="s">
        <v>7606</v>
      </c>
      <c r="J91" s="285"/>
      <c r="K91" s="22" t="s">
        <v>7610</v>
      </c>
      <c r="L91" s="14" t="s">
        <v>7607</v>
      </c>
      <c r="M91" s="285" t="s">
        <v>7608</v>
      </c>
      <c r="N91" s="16"/>
      <c r="O91" s="14">
        <v>42023</v>
      </c>
      <c r="P91" s="17">
        <v>1</v>
      </c>
      <c r="Q91" s="40">
        <v>1</v>
      </c>
      <c r="R91" s="40">
        <f t="shared" si="4"/>
        <v>0</v>
      </c>
      <c r="S91" s="15"/>
      <c r="T91" s="285" t="s">
        <v>412</v>
      </c>
      <c r="U91" s="285" t="s">
        <v>413</v>
      </c>
      <c r="V91" s="289">
        <v>798</v>
      </c>
      <c r="W91" s="289"/>
      <c r="X91" s="289"/>
    </row>
    <row r="92" spans="1:24" s="19" customFormat="1" ht="55.5" customHeight="1" x14ac:dyDescent="0.2">
      <c r="A92" s="289">
        <v>71</v>
      </c>
      <c r="B92" s="289" t="s">
        <v>13485</v>
      </c>
      <c r="C92" s="285"/>
      <c r="D92" s="442" t="s">
        <v>13486</v>
      </c>
      <c r="E92" s="12" t="s">
        <v>13478</v>
      </c>
      <c r="F92" s="442" t="s">
        <v>13487</v>
      </c>
      <c r="G92" s="285" t="s">
        <v>13488</v>
      </c>
      <c r="H92" s="285" t="s">
        <v>7605</v>
      </c>
      <c r="I92" s="285" t="s">
        <v>7606</v>
      </c>
      <c r="J92" s="285"/>
      <c r="K92" s="22" t="s">
        <v>7610</v>
      </c>
      <c r="L92" s="14" t="s">
        <v>7607</v>
      </c>
      <c r="M92" s="285" t="s">
        <v>7608</v>
      </c>
      <c r="N92" s="16"/>
      <c r="O92" s="14">
        <v>42023</v>
      </c>
      <c r="P92" s="17">
        <v>1</v>
      </c>
      <c r="Q92" s="40">
        <v>1</v>
      </c>
      <c r="R92" s="40">
        <f t="shared" si="4"/>
        <v>0</v>
      </c>
      <c r="S92" s="15"/>
      <c r="T92" s="285" t="s">
        <v>412</v>
      </c>
      <c r="U92" s="285" t="s">
        <v>413</v>
      </c>
      <c r="V92" s="289">
        <v>798</v>
      </c>
      <c r="W92" s="289"/>
      <c r="X92" s="289"/>
    </row>
    <row r="93" spans="1:24" s="19" customFormat="1" ht="92.25" customHeight="1" x14ac:dyDescent="0.2">
      <c r="A93" s="289">
        <v>72</v>
      </c>
      <c r="B93" s="289" t="s">
        <v>13489</v>
      </c>
      <c r="C93" s="285"/>
      <c r="D93" s="255" t="s">
        <v>13490</v>
      </c>
      <c r="E93" s="12" t="s">
        <v>13478</v>
      </c>
      <c r="F93" s="442" t="s">
        <v>13491</v>
      </c>
      <c r="G93" s="285" t="s">
        <v>13492</v>
      </c>
      <c r="H93" s="285" t="s">
        <v>7605</v>
      </c>
      <c r="I93" s="285" t="s">
        <v>7606</v>
      </c>
      <c r="J93" s="285"/>
      <c r="K93" s="22" t="s">
        <v>7610</v>
      </c>
      <c r="L93" s="14" t="s">
        <v>7607</v>
      </c>
      <c r="M93" s="285" t="s">
        <v>7608</v>
      </c>
      <c r="N93" s="16"/>
      <c r="O93" s="14">
        <v>42023</v>
      </c>
      <c r="P93" s="17">
        <v>1</v>
      </c>
      <c r="Q93" s="40">
        <v>1</v>
      </c>
      <c r="R93" s="40">
        <f t="shared" si="4"/>
        <v>0</v>
      </c>
      <c r="S93" s="15"/>
      <c r="T93" s="285" t="s">
        <v>412</v>
      </c>
      <c r="U93" s="285" t="s">
        <v>413</v>
      </c>
      <c r="V93" s="289">
        <v>798</v>
      </c>
      <c r="W93" s="289"/>
      <c r="X93" s="289"/>
    </row>
    <row r="94" spans="1:24" s="19" customFormat="1" ht="52.5" customHeight="1" x14ac:dyDescent="0.2">
      <c r="A94" s="289">
        <v>73</v>
      </c>
      <c r="B94" s="289" t="s">
        <v>13493</v>
      </c>
      <c r="C94" s="285"/>
      <c r="D94" s="442" t="s">
        <v>13494</v>
      </c>
      <c r="E94" s="12" t="s">
        <v>13495</v>
      </c>
      <c r="F94" s="442" t="s">
        <v>13496</v>
      </c>
      <c r="G94" s="285" t="s">
        <v>13497</v>
      </c>
      <c r="H94" s="285" t="s">
        <v>7605</v>
      </c>
      <c r="I94" s="285" t="s">
        <v>7606</v>
      </c>
      <c r="J94" s="285"/>
      <c r="K94" s="22" t="s">
        <v>7610</v>
      </c>
      <c r="L94" s="14" t="s">
        <v>7607</v>
      </c>
      <c r="M94" s="285" t="s">
        <v>7608</v>
      </c>
      <c r="N94" s="16"/>
      <c r="O94" s="14">
        <v>42023</v>
      </c>
      <c r="P94" s="17">
        <v>1</v>
      </c>
      <c r="Q94" s="40">
        <v>1</v>
      </c>
      <c r="R94" s="40">
        <f t="shared" si="4"/>
        <v>0</v>
      </c>
      <c r="S94" s="15"/>
      <c r="T94" s="285" t="s">
        <v>412</v>
      </c>
      <c r="U94" s="285" t="s">
        <v>413</v>
      </c>
      <c r="V94" s="289">
        <v>798</v>
      </c>
      <c r="W94" s="289"/>
      <c r="X94" s="289"/>
    </row>
    <row r="95" spans="1:24" s="19" customFormat="1" ht="52.9" customHeight="1" x14ac:dyDescent="0.2">
      <c r="A95" s="289">
        <v>74</v>
      </c>
      <c r="B95" s="289" t="s">
        <v>13498</v>
      </c>
      <c r="C95" s="285"/>
      <c r="D95" s="255" t="s">
        <v>13499</v>
      </c>
      <c r="E95" s="12" t="s">
        <v>5027</v>
      </c>
      <c r="F95" s="255" t="s">
        <v>13500</v>
      </c>
      <c r="G95" s="285" t="s">
        <v>13501</v>
      </c>
      <c r="H95" s="285" t="s">
        <v>7605</v>
      </c>
      <c r="I95" s="285" t="s">
        <v>7606</v>
      </c>
      <c r="J95" s="285"/>
      <c r="K95" s="22" t="s">
        <v>7610</v>
      </c>
      <c r="L95" s="14" t="s">
        <v>7607</v>
      </c>
      <c r="M95" s="285" t="s">
        <v>7608</v>
      </c>
      <c r="N95" s="16"/>
      <c r="O95" s="14">
        <v>42023</v>
      </c>
      <c r="P95" s="17">
        <v>1</v>
      </c>
      <c r="Q95" s="40">
        <v>1</v>
      </c>
      <c r="R95" s="40">
        <f t="shared" si="4"/>
        <v>0</v>
      </c>
      <c r="S95" s="15"/>
      <c r="T95" s="285" t="s">
        <v>412</v>
      </c>
      <c r="U95" s="285" t="s">
        <v>413</v>
      </c>
      <c r="V95" s="289">
        <v>798</v>
      </c>
      <c r="W95" s="289"/>
      <c r="X95" s="289"/>
    </row>
    <row r="96" spans="1:24" s="19" customFormat="1" ht="52.5" customHeight="1" x14ac:dyDescent="0.2">
      <c r="A96" s="289">
        <v>75</v>
      </c>
      <c r="B96" s="289" t="s">
        <v>13502</v>
      </c>
      <c r="C96" s="285"/>
      <c r="D96" s="442" t="s">
        <v>13503</v>
      </c>
      <c r="E96" s="12" t="s">
        <v>13478</v>
      </c>
      <c r="F96" s="442" t="s">
        <v>13504</v>
      </c>
      <c r="G96" s="285" t="s">
        <v>13505</v>
      </c>
      <c r="H96" s="285" t="s">
        <v>7605</v>
      </c>
      <c r="I96" s="285" t="s">
        <v>7606</v>
      </c>
      <c r="J96" s="285"/>
      <c r="K96" s="22" t="s">
        <v>7610</v>
      </c>
      <c r="L96" s="14" t="s">
        <v>7607</v>
      </c>
      <c r="M96" s="285" t="s">
        <v>7608</v>
      </c>
      <c r="N96" s="16"/>
      <c r="O96" s="14">
        <v>42023</v>
      </c>
      <c r="P96" s="17">
        <v>1</v>
      </c>
      <c r="Q96" s="40">
        <v>1</v>
      </c>
      <c r="R96" s="40">
        <f t="shared" si="4"/>
        <v>0</v>
      </c>
      <c r="S96" s="15"/>
      <c r="T96" s="285" t="s">
        <v>412</v>
      </c>
      <c r="U96" s="285" t="s">
        <v>413</v>
      </c>
      <c r="V96" s="289">
        <v>798</v>
      </c>
      <c r="W96" s="289"/>
      <c r="X96" s="289"/>
    </row>
    <row r="97" spans="1:24" s="19" customFormat="1" ht="51" customHeight="1" x14ac:dyDescent="0.2">
      <c r="A97" s="289">
        <v>76</v>
      </c>
      <c r="B97" s="289" t="s">
        <v>13506</v>
      </c>
      <c r="C97" s="285"/>
      <c r="D97" s="442" t="s">
        <v>13507</v>
      </c>
      <c r="E97" s="12" t="s">
        <v>13478</v>
      </c>
      <c r="F97" s="442" t="s">
        <v>13508</v>
      </c>
      <c r="G97" s="285" t="s">
        <v>13509</v>
      </c>
      <c r="H97" s="285" t="s">
        <v>7605</v>
      </c>
      <c r="I97" s="285" t="s">
        <v>7606</v>
      </c>
      <c r="J97" s="285"/>
      <c r="K97" s="22" t="s">
        <v>7610</v>
      </c>
      <c r="L97" s="14" t="s">
        <v>7607</v>
      </c>
      <c r="M97" s="285" t="s">
        <v>7608</v>
      </c>
      <c r="N97" s="16"/>
      <c r="O97" s="14">
        <v>42023</v>
      </c>
      <c r="P97" s="17">
        <v>1</v>
      </c>
      <c r="Q97" s="40">
        <v>1</v>
      </c>
      <c r="R97" s="40">
        <f t="shared" si="4"/>
        <v>0</v>
      </c>
      <c r="S97" s="15"/>
      <c r="T97" s="285" t="s">
        <v>412</v>
      </c>
      <c r="U97" s="285" t="s">
        <v>413</v>
      </c>
      <c r="V97" s="289">
        <v>798</v>
      </c>
      <c r="W97" s="289"/>
      <c r="X97" s="289"/>
    </row>
    <row r="98" spans="1:24" s="19" customFormat="1" ht="51" customHeight="1" x14ac:dyDescent="0.2">
      <c r="A98" s="289">
        <v>77</v>
      </c>
      <c r="B98" s="289" t="s">
        <v>13510</v>
      </c>
      <c r="C98" s="285"/>
      <c r="D98" s="442" t="s">
        <v>13511</v>
      </c>
      <c r="E98" s="12" t="s">
        <v>13478</v>
      </c>
      <c r="F98" s="442" t="s">
        <v>13512</v>
      </c>
      <c r="G98" s="285" t="s">
        <v>13513</v>
      </c>
      <c r="H98" s="285" t="s">
        <v>7605</v>
      </c>
      <c r="I98" s="285" t="s">
        <v>7606</v>
      </c>
      <c r="J98" s="285"/>
      <c r="K98" s="22" t="s">
        <v>7610</v>
      </c>
      <c r="L98" s="14" t="s">
        <v>7607</v>
      </c>
      <c r="M98" s="285" t="s">
        <v>7608</v>
      </c>
      <c r="N98" s="16"/>
      <c r="O98" s="14">
        <v>42023</v>
      </c>
      <c r="P98" s="17">
        <v>1</v>
      </c>
      <c r="Q98" s="40">
        <v>1</v>
      </c>
      <c r="R98" s="40">
        <f t="shared" si="4"/>
        <v>0</v>
      </c>
      <c r="S98" s="15"/>
      <c r="T98" s="285" t="s">
        <v>412</v>
      </c>
      <c r="U98" s="285" t="s">
        <v>413</v>
      </c>
      <c r="V98" s="289">
        <v>798</v>
      </c>
      <c r="W98" s="289"/>
      <c r="X98" s="289"/>
    </row>
    <row r="99" spans="1:24" s="19" customFormat="1" ht="54" customHeight="1" x14ac:dyDescent="0.2">
      <c r="A99" s="289">
        <v>78</v>
      </c>
      <c r="B99" s="289" t="s">
        <v>13514</v>
      </c>
      <c r="C99" s="285"/>
      <c r="D99" s="442" t="s">
        <v>13515</v>
      </c>
      <c r="E99" s="12" t="s">
        <v>13478</v>
      </c>
      <c r="F99" s="442" t="s">
        <v>13516</v>
      </c>
      <c r="G99" s="285" t="s">
        <v>13517</v>
      </c>
      <c r="H99" s="285" t="s">
        <v>7605</v>
      </c>
      <c r="I99" s="285" t="s">
        <v>7606</v>
      </c>
      <c r="J99" s="285"/>
      <c r="K99" s="22" t="s">
        <v>7610</v>
      </c>
      <c r="L99" s="14" t="s">
        <v>7607</v>
      </c>
      <c r="M99" s="285" t="s">
        <v>7608</v>
      </c>
      <c r="N99" s="16"/>
      <c r="O99" s="14">
        <v>42023</v>
      </c>
      <c r="P99" s="17">
        <v>1</v>
      </c>
      <c r="Q99" s="40">
        <v>1</v>
      </c>
      <c r="R99" s="40">
        <f t="shared" si="4"/>
        <v>0</v>
      </c>
      <c r="S99" s="15"/>
      <c r="T99" s="285" t="s">
        <v>412</v>
      </c>
      <c r="U99" s="285" t="s">
        <v>413</v>
      </c>
      <c r="V99" s="289">
        <v>798</v>
      </c>
      <c r="W99" s="289"/>
      <c r="X99" s="289"/>
    </row>
    <row r="100" spans="1:24" s="19" customFormat="1" ht="51.75" customHeight="1" x14ac:dyDescent="0.2">
      <c r="A100" s="289">
        <v>79</v>
      </c>
      <c r="B100" s="289" t="s">
        <v>13518</v>
      </c>
      <c r="C100" s="285"/>
      <c r="D100" s="442" t="s">
        <v>13519</v>
      </c>
      <c r="E100" s="12" t="s">
        <v>13478</v>
      </c>
      <c r="F100" s="442" t="s">
        <v>13520</v>
      </c>
      <c r="G100" s="285" t="s">
        <v>13521</v>
      </c>
      <c r="H100" s="285" t="s">
        <v>7605</v>
      </c>
      <c r="I100" s="285" t="s">
        <v>7606</v>
      </c>
      <c r="J100" s="285"/>
      <c r="K100" s="22" t="s">
        <v>7610</v>
      </c>
      <c r="L100" s="14" t="s">
        <v>7607</v>
      </c>
      <c r="M100" s="285" t="s">
        <v>7608</v>
      </c>
      <c r="N100" s="16"/>
      <c r="O100" s="14">
        <v>42023</v>
      </c>
      <c r="P100" s="17">
        <v>1</v>
      </c>
      <c r="Q100" s="40">
        <v>1</v>
      </c>
      <c r="R100" s="40">
        <f t="shared" si="4"/>
        <v>0</v>
      </c>
      <c r="S100" s="15"/>
      <c r="T100" s="285" t="s">
        <v>412</v>
      </c>
      <c r="U100" s="285" t="s">
        <v>413</v>
      </c>
      <c r="V100" s="289">
        <v>798</v>
      </c>
      <c r="W100" s="289"/>
      <c r="X100" s="289"/>
    </row>
    <row r="101" spans="1:24" s="19" customFormat="1" ht="50.25" customHeight="1" x14ac:dyDescent="0.2">
      <c r="A101" s="289">
        <v>80</v>
      </c>
      <c r="B101" s="289" t="s">
        <v>13522</v>
      </c>
      <c r="C101" s="285"/>
      <c r="D101" s="442" t="s">
        <v>13523</v>
      </c>
      <c r="E101" s="12" t="s">
        <v>13478</v>
      </c>
      <c r="F101" s="442" t="s">
        <v>13524</v>
      </c>
      <c r="G101" s="285" t="s">
        <v>13525</v>
      </c>
      <c r="H101" s="285" t="s">
        <v>7605</v>
      </c>
      <c r="I101" s="285" t="s">
        <v>7606</v>
      </c>
      <c r="J101" s="285"/>
      <c r="K101" s="22" t="s">
        <v>7610</v>
      </c>
      <c r="L101" s="14" t="s">
        <v>7607</v>
      </c>
      <c r="M101" s="285" t="s">
        <v>7608</v>
      </c>
      <c r="N101" s="16"/>
      <c r="O101" s="14">
        <v>42023</v>
      </c>
      <c r="P101" s="17">
        <v>1</v>
      </c>
      <c r="Q101" s="40">
        <v>1</v>
      </c>
      <c r="R101" s="40">
        <f t="shared" si="4"/>
        <v>0</v>
      </c>
      <c r="S101" s="15"/>
      <c r="T101" s="285" t="s">
        <v>412</v>
      </c>
      <c r="U101" s="285" t="s">
        <v>413</v>
      </c>
      <c r="V101" s="289">
        <v>798</v>
      </c>
      <c r="W101" s="289"/>
      <c r="X101" s="289"/>
    </row>
    <row r="102" spans="1:24" s="19" customFormat="1" ht="54.75" customHeight="1" x14ac:dyDescent="0.2">
      <c r="A102" s="289">
        <v>81</v>
      </c>
      <c r="B102" s="289" t="s">
        <v>13526</v>
      </c>
      <c r="C102" s="285"/>
      <c r="D102" s="442" t="s">
        <v>13527</v>
      </c>
      <c r="E102" s="12" t="s">
        <v>13478</v>
      </c>
      <c r="F102" s="442" t="s">
        <v>13528</v>
      </c>
      <c r="G102" s="285" t="s">
        <v>13529</v>
      </c>
      <c r="H102" s="285" t="s">
        <v>7605</v>
      </c>
      <c r="I102" s="285" t="s">
        <v>7606</v>
      </c>
      <c r="J102" s="285"/>
      <c r="K102" s="22" t="s">
        <v>7610</v>
      </c>
      <c r="L102" s="14" t="s">
        <v>7607</v>
      </c>
      <c r="M102" s="285" t="s">
        <v>7608</v>
      </c>
      <c r="N102" s="16"/>
      <c r="O102" s="14">
        <v>42023</v>
      </c>
      <c r="P102" s="17">
        <v>1</v>
      </c>
      <c r="Q102" s="40">
        <v>1</v>
      </c>
      <c r="R102" s="40">
        <f t="shared" si="4"/>
        <v>0</v>
      </c>
      <c r="S102" s="15"/>
      <c r="T102" s="285" t="s">
        <v>412</v>
      </c>
      <c r="U102" s="285" t="s">
        <v>413</v>
      </c>
      <c r="V102" s="289">
        <v>798</v>
      </c>
      <c r="W102" s="289"/>
      <c r="X102" s="289"/>
    </row>
    <row r="103" spans="1:24" s="19" customFormat="1" ht="50.25" customHeight="1" x14ac:dyDescent="0.2">
      <c r="A103" s="289">
        <v>82</v>
      </c>
      <c r="B103" s="289" t="s">
        <v>13530</v>
      </c>
      <c r="C103" s="285"/>
      <c r="D103" s="442" t="s">
        <v>13531</v>
      </c>
      <c r="E103" s="12"/>
      <c r="F103" s="442" t="s">
        <v>13532</v>
      </c>
      <c r="G103" s="285" t="s">
        <v>13533</v>
      </c>
      <c r="H103" s="285" t="s">
        <v>7605</v>
      </c>
      <c r="I103" s="285" t="s">
        <v>7606</v>
      </c>
      <c r="J103" s="285"/>
      <c r="K103" s="22" t="s">
        <v>7610</v>
      </c>
      <c r="L103" s="14" t="s">
        <v>7607</v>
      </c>
      <c r="M103" s="285" t="s">
        <v>7608</v>
      </c>
      <c r="N103" s="16"/>
      <c r="O103" s="14">
        <v>42023</v>
      </c>
      <c r="P103" s="17">
        <v>1</v>
      </c>
      <c r="Q103" s="40">
        <v>1</v>
      </c>
      <c r="R103" s="40">
        <f t="shared" si="4"/>
        <v>0</v>
      </c>
      <c r="S103" s="15"/>
      <c r="T103" s="285" t="s">
        <v>412</v>
      </c>
      <c r="U103" s="285" t="s">
        <v>413</v>
      </c>
      <c r="V103" s="289">
        <v>798</v>
      </c>
      <c r="W103" s="289"/>
      <c r="X103" s="289"/>
    </row>
    <row r="104" spans="1:24" s="19" customFormat="1" ht="97.5" customHeight="1" x14ac:dyDescent="0.2">
      <c r="A104" s="289">
        <v>83</v>
      </c>
      <c r="B104" s="289" t="s">
        <v>13534</v>
      </c>
      <c r="C104" s="285" t="s">
        <v>13535</v>
      </c>
      <c r="D104" s="255" t="s">
        <v>13536</v>
      </c>
      <c r="E104" s="12" t="s">
        <v>3746</v>
      </c>
      <c r="F104" s="442" t="s">
        <v>13537</v>
      </c>
      <c r="G104" s="285" t="s">
        <v>13538</v>
      </c>
      <c r="H104" s="361" t="s">
        <v>4296</v>
      </c>
      <c r="I104" s="285" t="s">
        <v>3793</v>
      </c>
      <c r="J104" s="285"/>
      <c r="K104" s="22" t="s">
        <v>3136</v>
      </c>
      <c r="L104" s="14" t="s">
        <v>13539</v>
      </c>
      <c r="M104" s="289" t="s">
        <v>13540</v>
      </c>
      <c r="N104" s="16">
        <v>1040.2</v>
      </c>
      <c r="O104" s="14">
        <v>42166</v>
      </c>
      <c r="P104" s="17">
        <v>1</v>
      </c>
      <c r="Q104" s="40">
        <v>1</v>
      </c>
      <c r="R104" s="40">
        <f t="shared" si="4"/>
        <v>0</v>
      </c>
      <c r="S104" s="40">
        <v>4622956</v>
      </c>
      <c r="T104" s="285" t="s">
        <v>1595</v>
      </c>
      <c r="U104" s="285" t="s">
        <v>1596</v>
      </c>
      <c r="V104" s="289" t="s">
        <v>1597</v>
      </c>
      <c r="W104" s="285" t="s">
        <v>13541</v>
      </c>
      <c r="X104" s="14" t="s">
        <v>13542</v>
      </c>
    </row>
    <row r="105" spans="1:24" s="19" customFormat="1" ht="73.5" customHeight="1" x14ac:dyDescent="0.2">
      <c r="A105" s="289">
        <v>84</v>
      </c>
      <c r="B105" s="289" t="s">
        <v>13543</v>
      </c>
      <c r="C105" s="285" t="s">
        <v>13544</v>
      </c>
      <c r="D105" s="255" t="s">
        <v>13545</v>
      </c>
      <c r="E105" s="12" t="s">
        <v>13546</v>
      </c>
      <c r="F105" s="442" t="s">
        <v>13547</v>
      </c>
      <c r="G105" s="285" t="s">
        <v>13548</v>
      </c>
      <c r="H105" s="361"/>
      <c r="I105" s="285" t="s">
        <v>2042</v>
      </c>
      <c r="J105" s="285" t="s">
        <v>2207</v>
      </c>
      <c r="K105" s="22" t="s">
        <v>3136</v>
      </c>
      <c r="L105" s="14" t="s">
        <v>13549</v>
      </c>
      <c r="M105" s="289" t="s">
        <v>13550</v>
      </c>
      <c r="N105" s="16">
        <v>2530.1999999999998</v>
      </c>
      <c r="O105" s="14">
        <v>42166</v>
      </c>
      <c r="P105" s="17">
        <v>1</v>
      </c>
      <c r="Q105" s="40">
        <v>0</v>
      </c>
      <c r="R105" s="40">
        <f t="shared" si="4"/>
        <v>1</v>
      </c>
      <c r="S105" s="40">
        <v>5451951</v>
      </c>
      <c r="T105" s="285" t="s">
        <v>1595</v>
      </c>
      <c r="U105" s="285" t="s">
        <v>1596</v>
      </c>
      <c r="V105" s="289" t="s">
        <v>1597</v>
      </c>
      <c r="W105" s="289"/>
      <c r="X105" s="285" t="s">
        <v>13551</v>
      </c>
    </row>
    <row r="106" spans="1:24" s="19" customFormat="1" ht="79.5" customHeight="1" x14ac:dyDescent="0.2">
      <c r="A106" s="289">
        <v>85</v>
      </c>
      <c r="B106" s="289" t="s">
        <v>13552</v>
      </c>
      <c r="C106" s="285" t="s">
        <v>13553</v>
      </c>
      <c r="D106" s="255" t="s">
        <v>13554</v>
      </c>
      <c r="E106" s="12" t="s">
        <v>13546</v>
      </c>
      <c r="F106" s="442" t="s">
        <v>13555</v>
      </c>
      <c r="G106" s="285" t="s">
        <v>13538</v>
      </c>
      <c r="H106" s="361" t="s">
        <v>4296</v>
      </c>
      <c r="I106" s="285" t="s">
        <v>3793</v>
      </c>
      <c r="J106" s="285"/>
      <c r="K106" s="22" t="s">
        <v>3136</v>
      </c>
      <c r="L106" s="14" t="s">
        <v>13539</v>
      </c>
      <c r="M106" s="289" t="s">
        <v>13540</v>
      </c>
      <c r="N106" s="16">
        <v>1448.6</v>
      </c>
      <c r="O106" s="14">
        <v>42166</v>
      </c>
      <c r="P106" s="17">
        <v>1</v>
      </c>
      <c r="Q106" s="40">
        <v>1</v>
      </c>
      <c r="R106" s="40">
        <f t="shared" si="4"/>
        <v>0</v>
      </c>
      <c r="S106" s="40">
        <v>3366829</v>
      </c>
      <c r="T106" s="285" t="s">
        <v>1595</v>
      </c>
      <c r="U106" s="285" t="s">
        <v>1596</v>
      </c>
      <c r="V106" s="289" t="s">
        <v>1597</v>
      </c>
      <c r="W106" s="285" t="s">
        <v>13556</v>
      </c>
      <c r="X106" s="14" t="s">
        <v>13557</v>
      </c>
    </row>
    <row r="107" spans="1:24" s="19" customFormat="1" ht="79.5" customHeight="1" x14ac:dyDescent="0.2">
      <c r="A107" s="289">
        <v>86</v>
      </c>
      <c r="B107" s="289" t="s">
        <v>13558</v>
      </c>
      <c r="C107" s="285" t="s">
        <v>13559</v>
      </c>
      <c r="D107" s="255" t="s">
        <v>13560</v>
      </c>
      <c r="E107" s="12" t="s">
        <v>13546</v>
      </c>
      <c r="F107" s="255" t="s">
        <v>13561</v>
      </c>
      <c r="G107" s="285" t="s">
        <v>13538</v>
      </c>
      <c r="H107" s="361" t="s">
        <v>4296</v>
      </c>
      <c r="I107" s="285" t="s">
        <v>3793</v>
      </c>
      <c r="J107" s="285"/>
      <c r="K107" s="22" t="s">
        <v>3136</v>
      </c>
      <c r="L107" s="14" t="s">
        <v>13539</v>
      </c>
      <c r="M107" s="289" t="s">
        <v>13540</v>
      </c>
      <c r="N107" s="16">
        <v>8.6999999999999993</v>
      </c>
      <c r="O107" s="14">
        <v>42166</v>
      </c>
      <c r="P107" s="17">
        <v>1</v>
      </c>
      <c r="Q107" s="40">
        <v>1</v>
      </c>
      <c r="R107" s="40">
        <f t="shared" si="4"/>
        <v>0</v>
      </c>
      <c r="S107" s="40">
        <v>38467</v>
      </c>
      <c r="T107" s="285" t="s">
        <v>1595</v>
      </c>
      <c r="U107" s="285" t="s">
        <v>1596</v>
      </c>
      <c r="V107" s="289" t="s">
        <v>1597</v>
      </c>
      <c r="W107" s="289"/>
      <c r="X107" s="285" t="s">
        <v>13562</v>
      </c>
    </row>
    <row r="108" spans="1:24" s="19" customFormat="1" ht="73.5" customHeight="1" x14ac:dyDescent="0.2">
      <c r="A108" s="289">
        <v>87</v>
      </c>
      <c r="B108" s="289" t="s">
        <v>13563</v>
      </c>
      <c r="C108" s="285" t="s">
        <v>13564</v>
      </c>
      <c r="D108" s="255" t="s">
        <v>13565</v>
      </c>
      <c r="E108" s="12" t="s">
        <v>13546</v>
      </c>
      <c r="F108" s="255" t="s">
        <v>13566</v>
      </c>
      <c r="G108" s="285" t="s">
        <v>13538</v>
      </c>
      <c r="H108" s="361" t="s">
        <v>4296</v>
      </c>
      <c r="I108" s="285" t="s">
        <v>3793</v>
      </c>
      <c r="J108" s="285"/>
      <c r="K108" s="22" t="s">
        <v>3136</v>
      </c>
      <c r="L108" s="14" t="s">
        <v>13539</v>
      </c>
      <c r="M108" s="289" t="s">
        <v>13540</v>
      </c>
      <c r="N108" s="16">
        <v>367.7</v>
      </c>
      <c r="O108" s="14">
        <v>42166</v>
      </c>
      <c r="P108" s="17">
        <v>1</v>
      </c>
      <c r="Q108" s="40">
        <v>1</v>
      </c>
      <c r="R108" s="40">
        <f t="shared" si="4"/>
        <v>0</v>
      </c>
      <c r="S108" s="40">
        <v>767415</v>
      </c>
      <c r="T108" s="285" t="s">
        <v>1595</v>
      </c>
      <c r="U108" s="285" t="s">
        <v>1596</v>
      </c>
      <c r="V108" s="289" t="s">
        <v>1597</v>
      </c>
      <c r="W108" s="285" t="s">
        <v>13567</v>
      </c>
      <c r="X108" s="285" t="s">
        <v>13568</v>
      </c>
    </row>
    <row r="109" spans="1:24" s="19" customFormat="1" ht="74.25" customHeight="1" x14ac:dyDescent="0.2">
      <c r="A109" s="289">
        <v>88</v>
      </c>
      <c r="B109" s="289" t="s">
        <v>13569</v>
      </c>
      <c r="C109" s="285" t="s">
        <v>13570</v>
      </c>
      <c r="D109" s="255" t="s">
        <v>13571</v>
      </c>
      <c r="E109" s="12" t="s">
        <v>13546</v>
      </c>
      <c r="F109" s="255" t="s">
        <v>13572</v>
      </c>
      <c r="G109" s="285" t="s">
        <v>13538</v>
      </c>
      <c r="H109" s="361" t="s">
        <v>4296</v>
      </c>
      <c r="I109" s="285" t="s">
        <v>3793</v>
      </c>
      <c r="J109" s="285"/>
      <c r="K109" s="22" t="s">
        <v>3136</v>
      </c>
      <c r="L109" s="14" t="s">
        <v>13539</v>
      </c>
      <c r="M109" s="289" t="s">
        <v>13540</v>
      </c>
      <c r="N109" s="16">
        <v>343.7</v>
      </c>
      <c r="O109" s="14">
        <v>42166</v>
      </c>
      <c r="P109" s="17">
        <v>1</v>
      </c>
      <c r="Q109" s="40">
        <v>1</v>
      </c>
      <c r="R109" s="40">
        <f t="shared" si="4"/>
        <v>0</v>
      </c>
      <c r="S109" s="40">
        <v>1529540</v>
      </c>
      <c r="T109" s="285" t="s">
        <v>1595</v>
      </c>
      <c r="U109" s="285" t="s">
        <v>1596</v>
      </c>
      <c r="V109" s="289" t="s">
        <v>1597</v>
      </c>
      <c r="W109" s="285" t="s">
        <v>13573</v>
      </c>
      <c r="X109" s="285" t="s">
        <v>13574</v>
      </c>
    </row>
    <row r="110" spans="1:24" s="19" customFormat="1" ht="74.25" customHeight="1" x14ac:dyDescent="0.2">
      <c r="A110" s="289">
        <v>89</v>
      </c>
      <c r="B110" s="289" t="s">
        <v>13575</v>
      </c>
      <c r="C110" s="285" t="s">
        <v>13576</v>
      </c>
      <c r="D110" s="255" t="s">
        <v>13577</v>
      </c>
      <c r="E110" s="12" t="s">
        <v>13546</v>
      </c>
      <c r="F110" s="255" t="s">
        <v>13578</v>
      </c>
      <c r="G110" s="285" t="s">
        <v>13548</v>
      </c>
      <c r="H110" s="361" t="s">
        <v>13579</v>
      </c>
      <c r="I110" s="285" t="s">
        <v>2614</v>
      </c>
      <c r="J110" s="285" t="s">
        <v>2207</v>
      </c>
      <c r="K110" s="22" t="s">
        <v>13580</v>
      </c>
      <c r="L110" s="14" t="s">
        <v>13581</v>
      </c>
      <c r="M110" s="285" t="s">
        <v>13582</v>
      </c>
      <c r="N110" s="16">
        <v>166.3</v>
      </c>
      <c r="O110" s="14">
        <v>42166</v>
      </c>
      <c r="P110" s="17">
        <v>1</v>
      </c>
      <c r="Q110" s="40">
        <v>0</v>
      </c>
      <c r="R110" s="40">
        <f t="shared" si="4"/>
        <v>1</v>
      </c>
      <c r="S110" s="40">
        <v>891329</v>
      </c>
      <c r="T110" s="285" t="s">
        <v>1595</v>
      </c>
      <c r="U110" s="285" t="s">
        <v>1596</v>
      </c>
      <c r="V110" s="289" t="s">
        <v>1597</v>
      </c>
      <c r="W110" s="289"/>
      <c r="X110" s="285" t="s">
        <v>13583</v>
      </c>
    </row>
    <row r="111" spans="1:24" s="19" customFormat="1" ht="81" customHeight="1" x14ac:dyDescent="0.2">
      <c r="A111" s="289">
        <v>90</v>
      </c>
      <c r="B111" s="289" t="s">
        <v>13584</v>
      </c>
      <c r="C111" s="285" t="s">
        <v>13585</v>
      </c>
      <c r="D111" s="255" t="s">
        <v>13586</v>
      </c>
      <c r="E111" s="12" t="s">
        <v>13546</v>
      </c>
      <c r="F111" s="255" t="s">
        <v>13587</v>
      </c>
      <c r="G111" s="285" t="s">
        <v>13538</v>
      </c>
      <c r="H111" s="361" t="s">
        <v>4296</v>
      </c>
      <c r="I111" s="285" t="s">
        <v>3793</v>
      </c>
      <c r="J111" s="285"/>
      <c r="K111" s="22" t="s">
        <v>3136</v>
      </c>
      <c r="L111" s="14" t="s">
        <v>13539</v>
      </c>
      <c r="M111" s="289" t="s">
        <v>13540</v>
      </c>
      <c r="N111" s="16">
        <v>2211.8000000000002</v>
      </c>
      <c r="O111" s="14">
        <v>42166</v>
      </c>
      <c r="P111" s="17">
        <v>1</v>
      </c>
      <c r="Q111" s="40">
        <v>1</v>
      </c>
      <c r="R111" s="40">
        <f t="shared" si="4"/>
        <v>0</v>
      </c>
      <c r="S111" s="40">
        <v>212</v>
      </c>
      <c r="T111" s="285" t="s">
        <v>1595</v>
      </c>
      <c r="U111" s="285" t="s">
        <v>1596</v>
      </c>
      <c r="V111" s="289" t="s">
        <v>1597</v>
      </c>
      <c r="W111" s="285" t="s">
        <v>13588</v>
      </c>
      <c r="X111" s="285" t="s">
        <v>13574</v>
      </c>
    </row>
    <row r="112" spans="1:24" s="19" customFormat="1" ht="39" customHeight="1" x14ac:dyDescent="0.2">
      <c r="A112" s="289">
        <v>91</v>
      </c>
      <c r="B112" s="289" t="s">
        <v>13589</v>
      </c>
      <c r="C112" s="285" t="s">
        <v>13590</v>
      </c>
      <c r="D112" s="255" t="s">
        <v>13591</v>
      </c>
      <c r="E112" s="12" t="s">
        <v>13546</v>
      </c>
      <c r="F112" s="255" t="s">
        <v>13592</v>
      </c>
      <c r="G112" s="285" t="s">
        <v>13548</v>
      </c>
      <c r="H112" s="361"/>
      <c r="I112" s="285" t="s">
        <v>2042</v>
      </c>
      <c r="J112" s="285" t="s">
        <v>2207</v>
      </c>
      <c r="K112" s="22" t="s">
        <v>3136</v>
      </c>
      <c r="L112" s="14" t="s">
        <v>13593</v>
      </c>
      <c r="M112" s="289" t="s">
        <v>13594</v>
      </c>
      <c r="N112" s="16">
        <v>29.2</v>
      </c>
      <c r="O112" s="14">
        <v>42166</v>
      </c>
      <c r="P112" s="17">
        <v>1</v>
      </c>
      <c r="Q112" s="40">
        <v>0</v>
      </c>
      <c r="R112" s="40">
        <f t="shared" si="4"/>
        <v>1</v>
      </c>
      <c r="S112" s="40">
        <v>5896</v>
      </c>
      <c r="T112" s="285" t="s">
        <v>1595</v>
      </c>
      <c r="U112" s="285" t="s">
        <v>1596</v>
      </c>
      <c r="V112" s="289" t="s">
        <v>1597</v>
      </c>
      <c r="W112" s="289"/>
      <c r="X112" s="285" t="s">
        <v>13595</v>
      </c>
    </row>
    <row r="113" spans="1:24" s="19" customFormat="1" ht="81" customHeight="1" x14ac:dyDescent="0.2">
      <c r="A113" s="289">
        <v>92</v>
      </c>
      <c r="B113" s="289" t="s">
        <v>13596</v>
      </c>
      <c r="C113" s="285" t="s">
        <v>13597</v>
      </c>
      <c r="D113" s="255" t="s">
        <v>13598</v>
      </c>
      <c r="E113" s="12" t="s">
        <v>13546</v>
      </c>
      <c r="F113" s="255" t="s">
        <v>13599</v>
      </c>
      <c r="G113" s="285" t="s">
        <v>13538</v>
      </c>
      <c r="H113" s="361" t="s">
        <v>4296</v>
      </c>
      <c r="I113" s="285" t="s">
        <v>3793</v>
      </c>
      <c r="J113" s="285"/>
      <c r="K113" s="22" t="s">
        <v>3136</v>
      </c>
      <c r="L113" s="14" t="s">
        <v>13539</v>
      </c>
      <c r="M113" s="289" t="s">
        <v>13540</v>
      </c>
      <c r="N113" s="16">
        <v>32.5</v>
      </c>
      <c r="O113" s="14">
        <v>42166</v>
      </c>
      <c r="P113" s="17">
        <v>1</v>
      </c>
      <c r="Q113" s="40">
        <v>1</v>
      </c>
      <c r="R113" s="40">
        <f t="shared" si="4"/>
        <v>0</v>
      </c>
      <c r="S113" s="40">
        <v>104686</v>
      </c>
      <c r="T113" s="285" t="s">
        <v>1595</v>
      </c>
      <c r="U113" s="285" t="s">
        <v>1596</v>
      </c>
      <c r="V113" s="289" t="s">
        <v>1597</v>
      </c>
      <c r="W113" s="285" t="s">
        <v>13600</v>
      </c>
      <c r="X113" s="285" t="s">
        <v>13601</v>
      </c>
    </row>
    <row r="114" spans="1:24" s="19" customFormat="1" ht="77.25" customHeight="1" x14ac:dyDescent="0.2">
      <c r="A114" s="289">
        <v>93</v>
      </c>
      <c r="B114" s="289" t="s">
        <v>13602</v>
      </c>
      <c r="C114" s="285" t="s">
        <v>13603</v>
      </c>
      <c r="D114" s="255" t="s">
        <v>13604</v>
      </c>
      <c r="E114" s="12" t="s">
        <v>13546</v>
      </c>
      <c r="F114" s="255" t="s">
        <v>13605</v>
      </c>
      <c r="G114" s="285" t="s">
        <v>13538</v>
      </c>
      <c r="H114" s="361" t="s">
        <v>4296</v>
      </c>
      <c r="I114" s="285" t="s">
        <v>3793</v>
      </c>
      <c r="J114" s="285"/>
      <c r="K114" s="22" t="s">
        <v>3136</v>
      </c>
      <c r="L114" s="14" t="s">
        <v>13539</v>
      </c>
      <c r="M114" s="289" t="s">
        <v>13540</v>
      </c>
      <c r="N114" s="16">
        <v>180.2</v>
      </c>
      <c r="O114" s="14">
        <v>42166</v>
      </c>
      <c r="P114" s="17">
        <v>1</v>
      </c>
      <c r="Q114" s="40">
        <v>1</v>
      </c>
      <c r="R114" s="40">
        <f t="shared" si="4"/>
        <v>0</v>
      </c>
      <c r="S114" s="40">
        <v>375266</v>
      </c>
      <c r="T114" s="285" t="s">
        <v>1595</v>
      </c>
      <c r="U114" s="285" t="s">
        <v>1596</v>
      </c>
      <c r="V114" s="289" t="s">
        <v>1597</v>
      </c>
      <c r="W114" s="285" t="s">
        <v>13606</v>
      </c>
      <c r="X114" s="285" t="s">
        <v>13607</v>
      </c>
    </row>
    <row r="115" spans="1:24" s="19" customFormat="1" ht="58.5" customHeight="1" x14ac:dyDescent="0.2">
      <c r="A115" s="289">
        <v>94</v>
      </c>
      <c r="B115" s="289" t="s">
        <v>13608</v>
      </c>
      <c r="C115" s="285" t="s">
        <v>13609</v>
      </c>
      <c r="D115" s="255" t="s">
        <v>13610</v>
      </c>
      <c r="E115" s="12" t="s">
        <v>13546</v>
      </c>
      <c r="F115" s="255" t="s">
        <v>13611</v>
      </c>
      <c r="G115" s="285" t="s">
        <v>13538</v>
      </c>
      <c r="H115" s="361" t="s">
        <v>4296</v>
      </c>
      <c r="I115" s="285" t="s">
        <v>3793</v>
      </c>
      <c r="J115" s="285"/>
      <c r="K115" s="22" t="s">
        <v>3136</v>
      </c>
      <c r="L115" s="14" t="s">
        <v>13539</v>
      </c>
      <c r="M115" s="289" t="s">
        <v>13540</v>
      </c>
      <c r="N115" s="16">
        <v>1544.7</v>
      </c>
      <c r="O115" s="14">
        <v>42166</v>
      </c>
      <c r="P115" s="17">
        <v>1</v>
      </c>
      <c r="Q115" s="40">
        <v>1</v>
      </c>
      <c r="R115" s="40">
        <f t="shared" si="4"/>
        <v>0</v>
      </c>
      <c r="S115" s="40">
        <v>10119373</v>
      </c>
      <c r="T115" s="285" t="s">
        <v>1595</v>
      </c>
      <c r="U115" s="285" t="s">
        <v>1596</v>
      </c>
      <c r="V115" s="289" t="s">
        <v>1597</v>
      </c>
      <c r="W115" s="285" t="s">
        <v>13612</v>
      </c>
      <c r="X115" s="285" t="s">
        <v>13613</v>
      </c>
    </row>
    <row r="116" spans="1:24" s="19" customFormat="1" ht="60.75" customHeight="1" x14ac:dyDescent="0.2">
      <c r="A116" s="289">
        <v>95</v>
      </c>
      <c r="B116" s="289" t="s">
        <v>13614</v>
      </c>
      <c r="C116" s="285" t="s">
        <v>13615</v>
      </c>
      <c r="D116" s="255" t="s">
        <v>13616</v>
      </c>
      <c r="E116" s="12" t="s">
        <v>9478</v>
      </c>
      <c r="F116" s="255" t="s">
        <v>13617</v>
      </c>
      <c r="G116" s="285" t="s">
        <v>13538</v>
      </c>
      <c r="H116" s="361" t="s">
        <v>4296</v>
      </c>
      <c r="I116" s="285" t="s">
        <v>3793</v>
      </c>
      <c r="J116" s="285"/>
      <c r="K116" s="22" t="s">
        <v>3136</v>
      </c>
      <c r="L116" s="14" t="s">
        <v>13539</v>
      </c>
      <c r="M116" s="289" t="s">
        <v>13540</v>
      </c>
      <c r="N116" s="16">
        <v>456</v>
      </c>
      <c r="O116" s="14">
        <v>42166</v>
      </c>
      <c r="P116" s="17">
        <v>1</v>
      </c>
      <c r="Q116" s="40">
        <v>1</v>
      </c>
      <c r="R116" s="40">
        <f t="shared" si="4"/>
        <v>0</v>
      </c>
      <c r="S116" s="40">
        <v>728649</v>
      </c>
      <c r="T116" s="285" t="s">
        <v>1595</v>
      </c>
      <c r="U116" s="285" t="s">
        <v>1596</v>
      </c>
      <c r="V116" s="289" t="s">
        <v>1597</v>
      </c>
      <c r="W116" s="285" t="s">
        <v>13618</v>
      </c>
      <c r="X116" s="285" t="s">
        <v>13619</v>
      </c>
    </row>
    <row r="117" spans="1:24" s="19" customFormat="1" ht="54.75" customHeight="1" x14ac:dyDescent="0.2">
      <c r="A117" s="289">
        <v>96</v>
      </c>
      <c r="B117" s="12" t="s">
        <v>13620</v>
      </c>
      <c r="C117" s="285" t="s">
        <v>13621</v>
      </c>
      <c r="D117" s="13" t="s">
        <v>13622</v>
      </c>
      <c r="E117" s="22" t="s">
        <v>13623</v>
      </c>
      <c r="F117" s="13" t="s">
        <v>13624</v>
      </c>
      <c r="G117" s="361" t="s">
        <v>13625</v>
      </c>
      <c r="H117" s="285" t="s">
        <v>13149</v>
      </c>
      <c r="I117" s="285" t="s">
        <v>5127</v>
      </c>
      <c r="J117" s="285"/>
      <c r="K117" s="285" t="s">
        <v>3136</v>
      </c>
      <c r="L117" s="14" t="s">
        <v>13626</v>
      </c>
      <c r="M117" s="285" t="s">
        <v>13627</v>
      </c>
      <c r="N117" s="439">
        <v>1722.2</v>
      </c>
      <c r="O117" s="14">
        <v>42935</v>
      </c>
      <c r="P117" s="17">
        <v>620130.42000000004</v>
      </c>
      <c r="Q117" s="40">
        <v>567639.94999999995</v>
      </c>
      <c r="R117" s="17">
        <f t="shared" si="4"/>
        <v>52490.470000000088</v>
      </c>
      <c r="S117" s="17">
        <v>13979490</v>
      </c>
      <c r="T117" s="285" t="s">
        <v>13628</v>
      </c>
      <c r="U117" s="14" t="s">
        <v>13629</v>
      </c>
      <c r="V117" s="285" t="s">
        <v>13630</v>
      </c>
      <c r="W117" s="15"/>
      <c r="X117" s="401" t="s">
        <v>13631</v>
      </c>
    </row>
    <row r="118" spans="1:24" s="19" customFormat="1" ht="48.75" customHeight="1" x14ac:dyDescent="0.2">
      <c r="A118" s="289">
        <v>97</v>
      </c>
      <c r="B118" s="12" t="s">
        <v>13632</v>
      </c>
      <c r="C118" s="285" t="s">
        <v>13633</v>
      </c>
      <c r="D118" s="13" t="s">
        <v>13634</v>
      </c>
      <c r="E118" s="12" t="s">
        <v>13635</v>
      </c>
      <c r="F118" s="13" t="s">
        <v>13636</v>
      </c>
      <c r="G118" s="285" t="s">
        <v>13637</v>
      </c>
      <c r="H118" s="285" t="s">
        <v>4296</v>
      </c>
      <c r="I118" s="285" t="s">
        <v>3793</v>
      </c>
      <c r="J118" s="285"/>
      <c r="K118" s="285" t="s">
        <v>3136</v>
      </c>
      <c r="L118" s="14" t="s">
        <v>13638</v>
      </c>
      <c r="M118" s="285" t="s">
        <v>13639</v>
      </c>
      <c r="N118" s="370">
        <v>40.5</v>
      </c>
      <c r="O118" s="15">
        <v>41740</v>
      </c>
      <c r="P118" s="40">
        <v>10862.46</v>
      </c>
      <c r="Q118" s="40">
        <v>10862.46</v>
      </c>
      <c r="R118" s="40">
        <f t="shared" si="4"/>
        <v>0</v>
      </c>
      <c r="S118" s="40">
        <v>301140.18</v>
      </c>
      <c r="T118" s="285" t="s">
        <v>13196</v>
      </c>
      <c r="U118" s="289" t="s">
        <v>13002</v>
      </c>
      <c r="V118" s="70">
        <v>44</v>
      </c>
      <c r="W118" s="285" t="s">
        <v>13640</v>
      </c>
      <c r="X118" s="285" t="s">
        <v>13641</v>
      </c>
    </row>
    <row r="119" spans="1:24" s="19" customFormat="1" ht="47.25" customHeight="1" x14ac:dyDescent="0.2">
      <c r="A119" s="289">
        <v>98</v>
      </c>
      <c r="B119" s="12" t="s">
        <v>13642</v>
      </c>
      <c r="C119" s="285" t="s">
        <v>13643</v>
      </c>
      <c r="D119" s="13" t="s">
        <v>13634</v>
      </c>
      <c r="E119" s="12" t="s">
        <v>13635</v>
      </c>
      <c r="F119" s="13" t="s">
        <v>13636</v>
      </c>
      <c r="G119" s="285" t="s">
        <v>13644</v>
      </c>
      <c r="H119" s="285" t="s">
        <v>4296</v>
      </c>
      <c r="I119" s="285" t="s">
        <v>3793</v>
      </c>
      <c r="J119" s="285"/>
      <c r="K119" s="285" t="s">
        <v>3136</v>
      </c>
      <c r="L119" s="14" t="s">
        <v>13638</v>
      </c>
      <c r="M119" s="285" t="s">
        <v>13639</v>
      </c>
      <c r="N119" s="439">
        <v>62.7</v>
      </c>
      <c r="O119" s="15">
        <v>41740</v>
      </c>
      <c r="P119" s="17">
        <v>16816.7</v>
      </c>
      <c r="Q119" s="40">
        <v>16816.7</v>
      </c>
      <c r="R119" s="17">
        <f t="shared" si="4"/>
        <v>0</v>
      </c>
      <c r="S119" s="17">
        <v>466209.61</v>
      </c>
      <c r="T119" s="285" t="s">
        <v>13196</v>
      </c>
      <c r="U119" s="289" t="s">
        <v>13002</v>
      </c>
      <c r="V119" s="70">
        <v>44</v>
      </c>
      <c r="W119" s="285" t="s">
        <v>13640</v>
      </c>
      <c r="X119" s="285" t="s">
        <v>13645</v>
      </c>
    </row>
    <row r="120" spans="1:24" s="19" customFormat="1" ht="81" customHeight="1" x14ac:dyDescent="0.2">
      <c r="A120" s="289">
        <v>99</v>
      </c>
      <c r="B120" s="12" t="s">
        <v>13646</v>
      </c>
      <c r="C120" s="285" t="s">
        <v>13647</v>
      </c>
      <c r="D120" s="13" t="s">
        <v>13634</v>
      </c>
      <c r="E120" s="12" t="s">
        <v>13635</v>
      </c>
      <c r="F120" s="13" t="s">
        <v>13636</v>
      </c>
      <c r="G120" s="285" t="s">
        <v>13648</v>
      </c>
      <c r="H120" s="285" t="s">
        <v>4296</v>
      </c>
      <c r="I120" s="285" t="s">
        <v>3793</v>
      </c>
      <c r="J120" s="285"/>
      <c r="K120" s="285" t="s">
        <v>3136</v>
      </c>
      <c r="L120" s="14" t="s">
        <v>13638</v>
      </c>
      <c r="M120" s="285" t="s">
        <v>13639</v>
      </c>
      <c r="N120" s="439">
        <v>50.6</v>
      </c>
      <c r="O120" s="15">
        <v>41740</v>
      </c>
      <c r="P120" s="17">
        <v>13571.45</v>
      </c>
      <c r="Q120" s="40">
        <v>13571.45</v>
      </c>
      <c r="R120" s="17">
        <f t="shared" si="4"/>
        <v>0</v>
      </c>
      <c r="S120" s="17">
        <v>376239.34</v>
      </c>
      <c r="T120" s="285" t="s">
        <v>13196</v>
      </c>
      <c r="U120" s="289" t="s">
        <v>13002</v>
      </c>
      <c r="V120" s="70">
        <v>44</v>
      </c>
      <c r="W120" s="285" t="s">
        <v>13640</v>
      </c>
      <c r="X120" s="285" t="s">
        <v>13649</v>
      </c>
    </row>
    <row r="121" spans="1:24" s="19" customFormat="1" ht="62.25" customHeight="1" x14ac:dyDescent="0.2">
      <c r="A121" s="289">
        <v>100</v>
      </c>
      <c r="B121" s="12" t="s">
        <v>13650</v>
      </c>
      <c r="C121" s="285" t="s">
        <v>13651</v>
      </c>
      <c r="D121" s="13" t="s">
        <v>13634</v>
      </c>
      <c r="E121" s="12" t="s">
        <v>13635</v>
      </c>
      <c r="F121" s="13" t="s">
        <v>13636</v>
      </c>
      <c r="G121" s="285" t="s">
        <v>13652</v>
      </c>
      <c r="H121" s="285" t="s">
        <v>4296</v>
      </c>
      <c r="I121" s="285" t="s">
        <v>3793</v>
      </c>
      <c r="J121" s="285"/>
      <c r="K121" s="285" t="s">
        <v>3136</v>
      </c>
      <c r="L121" s="14" t="s">
        <v>13638</v>
      </c>
      <c r="M121" s="285" t="s">
        <v>13639</v>
      </c>
      <c r="N121" s="439">
        <v>54.7</v>
      </c>
      <c r="O121" s="15">
        <v>41740</v>
      </c>
      <c r="P121" s="17">
        <v>14670.98</v>
      </c>
      <c r="Q121" s="40">
        <v>14670.98</v>
      </c>
      <c r="R121" s="17">
        <f t="shared" si="4"/>
        <v>0</v>
      </c>
      <c r="S121" s="17">
        <v>406725.13</v>
      </c>
      <c r="T121" s="285" t="s">
        <v>13196</v>
      </c>
      <c r="U121" s="289" t="s">
        <v>13002</v>
      </c>
      <c r="V121" s="70">
        <v>44</v>
      </c>
      <c r="W121" s="285" t="s">
        <v>13640</v>
      </c>
      <c r="X121" s="285" t="s">
        <v>13653</v>
      </c>
    </row>
    <row r="122" spans="1:24" s="19" customFormat="1" ht="66" customHeight="1" x14ac:dyDescent="0.2">
      <c r="A122" s="289">
        <v>101</v>
      </c>
      <c r="B122" s="12" t="s">
        <v>13654</v>
      </c>
      <c r="C122" s="285" t="s">
        <v>13655</v>
      </c>
      <c r="D122" s="13" t="s">
        <v>13634</v>
      </c>
      <c r="E122" s="12" t="s">
        <v>13635</v>
      </c>
      <c r="F122" s="13" t="s">
        <v>13636</v>
      </c>
      <c r="G122" s="285" t="s">
        <v>13656</v>
      </c>
      <c r="H122" s="285" t="s">
        <v>4296</v>
      </c>
      <c r="I122" s="285" t="s">
        <v>3793</v>
      </c>
      <c r="J122" s="285"/>
      <c r="K122" s="285" t="s">
        <v>3136</v>
      </c>
      <c r="L122" s="14" t="s">
        <v>13638</v>
      </c>
      <c r="M122" s="285" t="s">
        <v>13639</v>
      </c>
      <c r="N122" s="289">
        <v>54.3</v>
      </c>
      <c r="O122" s="15">
        <v>41740</v>
      </c>
      <c r="P122" s="40">
        <v>14563.5</v>
      </c>
      <c r="Q122" s="40">
        <v>14563.5</v>
      </c>
      <c r="R122" s="16">
        <f t="shared" si="4"/>
        <v>0</v>
      </c>
      <c r="S122" s="40">
        <v>403750.91</v>
      </c>
      <c r="T122" s="285" t="s">
        <v>13196</v>
      </c>
      <c r="U122" s="289" t="s">
        <v>13002</v>
      </c>
      <c r="V122" s="70">
        <v>44</v>
      </c>
      <c r="W122" s="285" t="s">
        <v>13640</v>
      </c>
      <c r="X122" s="285" t="s">
        <v>13657</v>
      </c>
    </row>
    <row r="123" spans="1:24" ht="71.25" customHeight="1" x14ac:dyDescent="0.2">
      <c r="A123" s="289">
        <v>102</v>
      </c>
      <c r="B123" s="12" t="s">
        <v>13658</v>
      </c>
      <c r="C123" s="285" t="s">
        <v>13659</v>
      </c>
      <c r="D123" s="13" t="s">
        <v>13634</v>
      </c>
      <c r="E123" s="12" t="s">
        <v>13635</v>
      </c>
      <c r="F123" s="13" t="s">
        <v>13636</v>
      </c>
      <c r="G123" s="285" t="s">
        <v>13660</v>
      </c>
      <c r="H123" s="285" t="s">
        <v>4296</v>
      </c>
      <c r="I123" s="285" t="s">
        <v>3793</v>
      </c>
      <c r="J123" s="285"/>
      <c r="K123" s="285" t="s">
        <v>3136</v>
      </c>
      <c r="L123" s="14" t="s">
        <v>13638</v>
      </c>
      <c r="M123" s="285" t="s">
        <v>13639</v>
      </c>
      <c r="N123" s="443">
        <v>54</v>
      </c>
      <c r="O123" s="15">
        <v>41740</v>
      </c>
      <c r="P123" s="40">
        <v>14483.5</v>
      </c>
      <c r="Q123" s="40">
        <v>14483.5</v>
      </c>
      <c r="R123" s="40">
        <f t="shared" si="4"/>
        <v>0</v>
      </c>
      <c r="S123" s="174">
        <v>401520.24</v>
      </c>
      <c r="T123" s="285" t="s">
        <v>13196</v>
      </c>
      <c r="U123" s="289" t="s">
        <v>13002</v>
      </c>
      <c r="V123" s="70">
        <v>44</v>
      </c>
      <c r="W123" s="285" t="s">
        <v>13640</v>
      </c>
      <c r="X123" s="285" t="s">
        <v>13661</v>
      </c>
    </row>
    <row r="124" spans="1:24" ht="63.75" customHeight="1" x14ac:dyDescent="0.2">
      <c r="A124" s="289">
        <v>103</v>
      </c>
      <c r="B124" s="12" t="s">
        <v>13662</v>
      </c>
      <c r="C124" s="285" t="s">
        <v>13663</v>
      </c>
      <c r="D124" s="13" t="s">
        <v>13634</v>
      </c>
      <c r="E124" s="12" t="s">
        <v>13635</v>
      </c>
      <c r="F124" s="13" t="s">
        <v>13636</v>
      </c>
      <c r="G124" s="285" t="s">
        <v>13664</v>
      </c>
      <c r="H124" s="285" t="s">
        <v>4296</v>
      </c>
      <c r="I124" s="285" t="s">
        <v>3793</v>
      </c>
      <c r="J124" s="285"/>
      <c r="K124" s="285" t="s">
        <v>3136</v>
      </c>
      <c r="L124" s="14" t="s">
        <v>13638</v>
      </c>
      <c r="M124" s="285" t="s">
        <v>13639</v>
      </c>
      <c r="N124" s="443">
        <v>29.9</v>
      </c>
      <c r="O124" s="15">
        <v>41740</v>
      </c>
      <c r="P124" s="40">
        <v>8019.41</v>
      </c>
      <c r="Q124" s="40">
        <v>8019.41</v>
      </c>
      <c r="R124" s="40">
        <f t="shared" si="4"/>
        <v>0</v>
      </c>
      <c r="S124" s="174">
        <v>222323.24</v>
      </c>
      <c r="T124" s="285" t="s">
        <v>13196</v>
      </c>
      <c r="U124" s="289" t="s">
        <v>13002</v>
      </c>
      <c r="V124" s="70">
        <v>44</v>
      </c>
      <c r="W124" s="285" t="s">
        <v>13640</v>
      </c>
      <c r="X124" s="285" t="s">
        <v>13665</v>
      </c>
    </row>
    <row r="125" spans="1:24" ht="66" customHeight="1" x14ac:dyDescent="0.2">
      <c r="A125" s="289">
        <v>104</v>
      </c>
      <c r="B125" s="12" t="s">
        <v>13666</v>
      </c>
      <c r="C125" s="285" t="s">
        <v>13667</v>
      </c>
      <c r="D125" s="13" t="s">
        <v>13668</v>
      </c>
      <c r="E125" s="12"/>
      <c r="F125" s="13" t="s">
        <v>13669</v>
      </c>
      <c r="G125" s="285" t="s">
        <v>13670</v>
      </c>
      <c r="H125" s="285" t="s">
        <v>4296</v>
      </c>
      <c r="I125" s="285" t="s">
        <v>3793</v>
      </c>
      <c r="J125" s="285"/>
      <c r="K125" s="285" t="s">
        <v>3136</v>
      </c>
      <c r="L125" s="14" t="s">
        <v>13425</v>
      </c>
      <c r="M125" s="285" t="s">
        <v>13426</v>
      </c>
      <c r="N125" s="443">
        <v>287.3</v>
      </c>
      <c r="O125" s="15">
        <v>43290</v>
      </c>
      <c r="P125" s="40">
        <v>475013.41</v>
      </c>
      <c r="Q125" s="40">
        <v>379418.94</v>
      </c>
      <c r="R125" s="40">
        <f t="shared" si="4"/>
        <v>95594.469999999972</v>
      </c>
      <c r="S125" s="174">
        <v>3916944.77</v>
      </c>
      <c r="T125" s="285" t="s">
        <v>13671</v>
      </c>
      <c r="U125" s="15">
        <v>43278</v>
      </c>
      <c r="V125" s="70" t="s">
        <v>1029</v>
      </c>
      <c r="W125" s="285"/>
      <c r="X125" s="285" t="s">
        <v>13672</v>
      </c>
    </row>
    <row r="126" spans="1:24" ht="76.5" customHeight="1" x14ac:dyDescent="0.2">
      <c r="A126" s="289">
        <v>105</v>
      </c>
      <c r="B126" s="12" t="s">
        <v>13673</v>
      </c>
      <c r="C126" s="285" t="s">
        <v>13674</v>
      </c>
      <c r="D126" s="13" t="s">
        <v>13675</v>
      </c>
      <c r="E126" s="12" t="s">
        <v>13676</v>
      </c>
      <c r="F126" s="13" t="s">
        <v>13677</v>
      </c>
      <c r="G126" s="285" t="s">
        <v>13678</v>
      </c>
      <c r="H126" s="285" t="s">
        <v>4296</v>
      </c>
      <c r="I126" s="285" t="s">
        <v>3793</v>
      </c>
      <c r="J126" s="285"/>
      <c r="K126" s="285" t="s">
        <v>3136</v>
      </c>
      <c r="L126" s="14">
        <v>44132</v>
      </c>
      <c r="M126" s="285">
        <v>895</v>
      </c>
      <c r="N126" s="443">
        <v>12825.4</v>
      </c>
      <c r="O126" s="15">
        <v>44105</v>
      </c>
      <c r="P126" s="40">
        <v>18868000</v>
      </c>
      <c r="Q126" s="40">
        <v>1168019.06</v>
      </c>
      <c r="R126" s="40">
        <f t="shared" si="4"/>
        <v>17699980.940000001</v>
      </c>
      <c r="S126" s="174">
        <v>36035693</v>
      </c>
      <c r="T126" s="285" t="s">
        <v>13679</v>
      </c>
      <c r="U126" s="15">
        <v>44072</v>
      </c>
      <c r="V126" s="22"/>
      <c r="W126" s="285"/>
      <c r="X126" s="285" t="s">
        <v>13680</v>
      </c>
    </row>
    <row r="127" spans="1:24" ht="125.25" customHeight="1" x14ac:dyDescent="0.2">
      <c r="A127" s="289">
        <v>106</v>
      </c>
      <c r="B127" s="12" t="s">
        <v>13681</v>
      </c>
      <c r="C127" s="285"/>
      <c r="D127" s="13" t="s">
        <v>13682</v>
      </c>
      <c r="E127" s="12" t="s">
        <v>13683</v>
      </c>
      <c r="F127" s="13" t="s">
        <v>13684</v>
      </c>
      <c r="G127" s="285" t="s">
        <v>13678</v>
      </c>
      <c r="H127" s="285" t="s">
        <v>4296</v>
      </c>
      <c r="I127" s="285" t="s">
        <v>3793</v>
      </c>
      <c r="J127" s="285"/>
      <c r="K127" s="285" t="s">
        <v>3136</v>
      </c>
      <c r="L127" s="14">
        <v>44132</v>
      </c>
      <c r="M127" s="285">
        <v>895</v>
      </c>
      <c r="N127" s="443">
        <v>3571.6</v>
      </c>
      <c r="O127" s="15">
        <v>44105</v>
      </c>
      <c r="P127" s="40">
        <v>2863000</v>
      </c>
      <c r="Q127" s="40">
        <v>177233.42</v>
      </c>
      <c r="R127" s="40">
        <f t="shared" si="4"/>
        <v>2685766.58</v>
      </c>
      <c r="S127" s="174"/>
      <c r="T127" s="285" t="s">
        <v>13679</v>
      </c>
      <c r="U127" s="15">
        <v>44072</v>
      </c>
      <c r="V127" s="22"/>
      <c r="W127" s="285"/>
      <c r="X127" s="401"/>
    </row>
    <row r="128" spans="1:24" ht="76.5" customHeight="1" x14ac:dyDescent="0.2">
      <c r="A128" s="289">
        <v>107</v>
      </c>
      <c r="B128" s="12" t="s">
        <v>13685</v>
      </c>
      <c r="C128" s="285"/>
      <c r="D128" s="13" t="s">
        <v>13686</v>
      </c>
      <c r="E128" s="12" t="s">
        <v>13687</v>
      </c>
      <c r="F128" s="13" t="s">
        <v>13688</v>
      </c>
      <c r="G128" s="285" t="s">
        <v>13678</v>
      </c>
      <c r="H128" s="285" t="s">
        <v>4296</v>
      </c>
      <c r="I128" s="285" t="s">
        <v>3793</v>
      </c>
      <c r="J128" s="285"/>
      <c r="K128" s="285" t="s">
        <v>3136</v>
      </c>
      <c r="L128" s="14">
        <v>44132</v>
      </c>
      <c r="M128" s="285">
        <v>895</v>
      </c>
      <c r="N128" s="443">
        <v>305.8</v>
      </c>
      <c r="O128" s="15">
        <v>44105</v>
      </c>
      <c r="P128" s="40">
        <v>207000</v>
      </c>
      <c r="Q128" s="40">
        <v>12814.36</v>
      </c>
      <c r="R128" s="40">
        <f t="shared" si="4"/>
        <v>194185.64</v>
      </c>
      <c r="S128" s="174"/>
      <c r="T128" s="285" t="s">
        <v>13679</v>
      </c>
      <c r="U128" s="15">
        <v>44072</v>
      </c>
      <c r="V128" s="22"/>
      <c r="W128" s="285"/>
      <c r="X128" s="401"/>
    </row>
    <row r="129" spans="1:24" ht="80.25" customHeight="1" x14ac:dyDescent="0.2">
      <c r="A129" s="289">
        <v>108</v>
      </c>
      <c r="B129" s="12" t="s">
        <v>13689</v>
      </c>
      <c r="C129" s="285"/>
      <c r="D129" s="13" t="s">
        <v>13690</v>
      </c>
      <c r="E129" s="12" t="s">
        <v>13687</v>
      </c>
      <c r="F129" s="13" t="s">
        <v>13691</v>
      </c>
      <c r="G129" s="285" t="s">
        <v>13678</v>
      </c>
      <c r="H129" s="285" t="s">
        <v>4296</v>
      </c>
      <c r="I129" s="285" t="s">
        <v>3793</v>
      </c>
      <c r="J129" s="285"/>
      <c r="K129" s="285" t="s">
        <v>3136</v>
      </c>
      <c r="L129" s="14">
        <v>44132</v>
      </c>
      <c r="M129" s="285">
        <v>895</v>
      </c>
      <c r="N129" s="443">
        <v>1427.1</v>
      </c>
      <c r="O129" s="15">
        <v>44105</v>
      </c>
      <c r="P129" s="40">
        <v>937000</v>
      </c>
      <c r="Q129" s="40">
        <v>58004.7</v>
      </c>
      <c r="R129" s="40">
        <f t="shared" si="4"/>
        <v>878995.3</v>
      </c>
      <c r="S129" s="174"/>
      <c r="T129" s="285" t="s">
        <v>13679</v>
      </c>
      <c r="U129" s="15">
        <v>44072</v>
      </c>
      <c r="V129" s="22"/>
      <c r="W129" s="285"/>
      <c r="X129" s="401"/>
    </row>
    <row r="130" spans="1:24" ht="77.25" customHeight="1" x14ac:dyDescent="0.2">
      <c r="A130" s="289">
        <v>109</v>
      </c>
      <c r="B130" s="12" t="s">
        <v>13692</v>
      </c>
      <c r="C130" s="285"/>
      <c r="D130" s="13" t="s">
        <v>13693</v>
      </c>
      <c r="E130" s="12" t="s">
        <v>13371</v>
      </c>
      <c r="F130" s="13" t="s">
        <v>13694</v>
      </c>
      <c r="G130" s="285" t="s">
        <v>13678</v>
      </c>
      <c r="H130" s="285" t="s">
        <v>4296</v>
      </c>
      <c r="I130" s="285" t="s">
        <v>3793</v>
      </c>
      <c r="J130" s="285"/>
      <c r="K130" s="285" t="s">
        <v>3136</v>
      </c>
      <c r="L130" s="14">
        <v>44132</v>
      </c>
      <c r="M130" s="285">
        <v>895</v>
      </c>
      <c r="N130" s="443">
        <v>146</v>
      </c>
      <c r="O130" s="15">
        <v>44105</v>
      </c>
      <c r="P130" s="40">
        <v>169000</v>
      </c>
      <c r="Q130" s="40">
        <v>10461.879999999999</v>
      </c>
      <c r="R130" s="40">
        <f t="shared" si="4"/>
        <v>158538.12</v>
      </c>
      <c r="S130" s="174"/>
      <c r="T130" s="285" t="s">
        <v>13679</v>
      </c>
      <c r="U130" s="15">
        <v>44072</v>
      </c>
      <c r="V130" s="22"/>
      <c r="W130" s="285"/>
      <c r="X130" s="401"/>
    </row>
    <row r="131" spans="1:24" ht="77.25" customHeight="1" x14ac:dyDescent="0.2">
      <c r="A131" s="289">
        <v>110</v>
      </c>
      <c r="B131" s="12" t="s">
        <v>13695</v>
      </c>
      <c r="C131" s="285"/>
      <c r="D131" s="13" t="s">
        <v>13696</v>
      </c>
      <c r="E131" s="12" t="s">
        <v>13676</v>
      </c>
      <c r="F131" s="13" t="s">
        <v>13697</v>
      </c>
      <c r="G131" s="285" t="s">
        <v>13698</v>
      </c>
      <c r="H131" s="285" t="s">
        <v>4296</v>
      </c>
      <c r="I131" s="285" t="s">
        <v>3793</v>
      </c>
      <c r="J131" s="285"/>
      <c r="K131" s="285" t="s">
        <v>3136</v>
      </c>
      <c r="L131" s="14">
        <v>44132</v>
      </c>
      <c r="M131" s="285">
        <v>895</v>
      </c>
      <c r="N131" s="443">
        <v>754.3</v>
      </c>
      <c r="O131" s="15">
        <v>44105</v>
      </c>
      <c r="P131" s="40">
        <v>1855000</v>
      </c>
      <c r="Q131" s="40">
        <v>114833.42</v>
      </c>
      <c r="R131" s="40">
        <f t="shared" si="4"/>
        <v>1740166.58</v>
      </c>
      <c r="S131" s="174"/>
      <c r="T131" s="285" t="s">
        <v>13679</v>
      </c>
      <c r="U131" s="15">
        <v>44072</v>
      </c>
      <c r="V131" s="22"/>
      <c r="W131" s="285"/>
      <c r="X131" s="401"/>
    </row>
    <row r="132" spans="1:24" ht="88.5" customHeight="1" x14ac:dyDescent="0.2">
      <c r="A132" s="289">
        <v>111</v>
      </c>
      <c r="B132" s="12" t="s">
        <v>13699</v>
      </c>
      <c r="C132" s="285"/>
      <c r="D132" s="13" t="s">
        <v>13700</v>
      </c>
      <c r="E132" s="12" t="s">
        <v>13701</v>
      </c>
      <c r="F132" s="13" t="s">
        <v>13702</v>
      </c>
      <c r="G132" s="285" t="s">
        <v>13678</v>
      </c>
      <c r="H132" s="285" t="s">
        <v>4296</v>
      </c>
      <c r="I132" s="285" t="s">
        <v>3793</v>
      </c>
      <c r="J132" s="285"/>
      <c r="K132" s="285" t="s">
        <v>3136</v>
      </c>
      <c r="L132" s="14">
        <v>44132</v>
      </c>
      <c r="M132" s="285">
        <v>895</v>
      </c>
      <c r="N132" s="443">
        <v>98.1</v>
      </c>
      <c r="O132" s="15">
        <v>44105</v>
      </c>
      <c r="P132" s="40">
        <v>949000</v>
      </c>
      <c r="Q132" s="40">
        <v>58747.519999999997</v>
      </c>
      <c r="R132" s="40">
        <f t="shared" si="4"/>
        <v>890252.48</v>
      </c>
      <c r="S132" s="174"/>
      <c r="T132" s="285" t="s">
        <v>13679</v>
      </c>
      <c r="U132" s="15">
        <v>44072</v>
      </c>
      <c r="V132" s="22"/>
      <c r="W132" s="285"/>
      <c r="X132" s="401"/>
    </row>
    <row r="133" spans="1:24" ht="87" customHeight="1" x14ac:dyDescent="0.2">
      <c r="A133" s="289">
        <v>112</v>
      </c>
      <c r="B133" s="12" t="s">
        <v>13703</v>
      </c>
      <c r="C133" s="285"/>
      <c r="D133" s="13" t="s">
        <v>13704</v>
      </c>
      <c r="E133" s="12" t="s">
        <v>13705</v>
      </c>
      <c r="F133" s="13" t="s">
        <v>13706</v>
      </c>
      <c r="G133" s="285" t="s">
        <v>13678</v>
      </c>
      <c r="H133" s="285" t="s">
        <v>4296</v>
      </c>
      <c r="I133" s="285" t="s">
        <v>3793</v>
      </c>
      <c r="J133" s="285"/>
      <c r="K133" s="285" t="s">
        <v>3136</v>
      </c>
      <c r="L133" s="14">
        <v>44132</v>
      </c>
      <c r="M133" s="285">
        <v>895</v>
      </c>
      <c r="N133" s="443">
        <v>1088.0999999999999</v>
      </c>
      <c r="O133" s="15">
        <v>44105</v>
      </c>
      <c r="P133" s="40">
        <v>481000</v>
      </c>
      <c r="Q133" s="40">
        <v>29776.240000000002</v>
      </c>
      <c r="R133" s="40">
        <f t="shared" si="4"/>
        <v>451223.76</v>
      </c>
      <c r="S133" s="174"/>
      <c r="T133" s="285" t="s">
        <v>13679</v>
      </c>
      <c r="U133" s="15">
        <v>44072</v>
      </c>
      <c r="V133" s="22"/>
      <c r="W133" s="285"/>
      <c r="X133" s="401"/>
    </row>
    <row r="134" spans="1:24" ht="78" customHeight="1" x14ac:dyDescent="0.2">
      <c r="A134" s="289">
        <v>113</v>
      </c>
      <c r="B134" s="12" t="s">
        <v>13707</v>
      </c>
      <c r="C134" s="285"/>
      <c r="D134" s="13" t="s">
        <v>13708</v>
      </c>
      <c r="E134" s="12" t="s">
        <v>13705</v>
      </c>
      <c r="F134" s="13" t="s">
        <v>13709</v>
      </c>
      <c r="G134" s="285" t="s">
        <v>13678</v>
      </c>
      <c r="H134" s="285" t="s">
        <v>4296</v>
      </c>
      <c r="I134" s="285" t="s">
        <v>3793</v>
      </c>
      <c r="J134" s="285"/>
      <c r="K134" s="285" t="s">
        <v>3136</v>
      </c>
      <c r="L134" s="14">
        <v>44132</v>
      </c>
      <c r="M134" s="285">
        <v>895</v>
      </c>
      <c r="N134" s="443">
        <v>119</v>
      </c>
      <c r="O134" s="15">
        <v>44105</v>
      </c>
      <c r="P134" s="40">
        <v>499000</v>
      </c>
      <c r="Q134" s="40">
        <v>30890.6</v>
      </c>
      <c r="R134" s="40">
        <f t="shared" si="4"/>
        <v>468109.4</v>
      </c>
      <c r="S134" s="174"/>
      <c r="T134" s="285" t="s">
        <v>13679</v>
      </c>
      <c r="U134" s="15">
        <v>44072</v>
      </c>
      <c r="V134" s="22"/>
      <c r="W134" s="285"/>
      <c r="X134" s="401"/>
    </row>
    <row r="135" spans="1:24" ht="87" customHeight="1" x14ac:dyDescent="0.2">
      <c r="A135" s="289">
        <v>114</v>
      </c>
      <c r="B135" s="12" t="s">
        <v>13710</v>
      </c>
      <c r="C135" s="285"/>
      <c r="D135" s="13" t="s">
        <v>13711</v>
      </c>
      <c r="E135" s="12" t="s">
        <v>13701</v>
      </c>
      <c r="F135" s="13" t="s">
        <v>13712</v>
      </c>
      <c r="G135" s="285" t="s">
        <v>13678</v>
      </c>
      <c r="H135" s="285" t="s">
        <v>4296</v>
      </c>
      <c r="I135" s="285" t="s">
        <v>3793</v>
      </c>
      <c r="J135" s="285"/>
      <c r="K135" s="285" t="s">
        <v>3136</v>
      </c>
      <c r="L135" s="14">
        <v>44132</v>
      </c>
      <c r="M135" s="285">
        <v>895</v>
      </c>
      <c r="N135" s="443">
        <v>437.1</v>
      </c>
      <c r="O135" s="15">
        <v>44105</v>
      </c>
      <c r="P135" s="40">
        <v>1255000</v>
      </c>
      <c r="Q135" s="40">
        <v>90387.7</v>
      </c>
      <c r="R135" s="40">
        <f t="shared" si="4"/>
        <v>1164612.3</v>
      </c>
      <c r="S135" s="174"/>
      <c r="T135" s="285" t="s">
        <v>13679</v>
      </c>
      <c r="U135" s="15">
        <v>44072</v>
      </c>
      <c r="V135" s="22"/>
      <c r="W135" s="285"/>
      <c r="X135" s="401"/>
    </row>
    <row r="136" spans="1:24" ht="80.25" customHeight="1" x14ac:dyDescent="0.2">
      <c r="A136" s="289">
        <v>115</v>
      </c>
      <c r="B136" s="12" t="s">
        <v>13713</v>
      </c>
      <c r="C136" s="285"/>
      <c r="D136" s="13" t="s">
        <v>13714</v>
      </c>
      <c r="E136" s="12" t="s">
        <v>13701</v>
      </c>
      <c r="F136" s="416" t="s">
        <v>13715</v>
      </c>
      <c r="G136" s="285" t="s">
        <v>13678</v>
      </c>
      <c r="H136" s="285" t="s">
        <v>4296</v>
      </c>
      <c r="I136" s="285" t="s">
        <v>3793</v>
      </c>
      <c r="J136" s="285"/>
      <c r="K136" s="285" t="s">
        <v>3136</v>
      </c>
      <c r="L136" s="14">
        <v>44132</v>
      </c>
      <c r="M136" s="285">
        <v>895</v>
      </c>
      <c r="N136" s="443">
        <v>158.9</v>
      </c>
      <c r="O136" s="15">
        <v>44105</v>
      </c>
      <c r="P136" s="40">
        <v>719000</v>
      </c>
      <c r="Q136" s="40">
        <v>44509.4</v>
      </c>
      <c r="R136" s="40">
        <f t="shared" si="4"/>
        <v>674490.6</v>
      </c>
      <c r="S136" s="174"/>
      <c r="T136" s="285" t="s">
        <v>13679</v>
      </c>
      <c r="U136" s="15">
        <v>44072</v>
      </c>
      <c r="V136" s="22"/>
      <c r="W136" s="285"/>
      <c r="X136" s="401"/>
    </row>
    <row r="137" spans="1:24" ht="70.5" customHeight="1" x14ac:dyDescent="0.2">
      <c r="A137" s="289">
        <v>116</v>
      </c>
      <c r="B137" s="12" t="s">
        <v>13716</v>
      </c>
      <c r="C137" s="285" t="s">
        <v>13717</v>
      </c>
      <c r="D137" s="13" t="s">
        <v>13718</v>
      </c>
      <c r="E137" s="12" t="s">
        <v>13719</v>
      </c>
      <c r="F137" s="13" t="s">
        <v>13720</v>
      </c>
      <c r="G137" s="285" t="s">
        <v>13721</v>
      </c>
      <c r="H137" s="285" t="s">
        <v>13149</v>
      </c>
      <c r="I137" s="285" t="s">
        <v>5127</v>
      </c>
      <c r="J137" s="285"/>
      <c r="K137" s="285" t="s">
        <v>3136</v>
      </c>
      <c r="L137" s="14" t="s">
        <v>13722</v>
      </c>
      <c r="M137" s="285" t="s">
        <v>13723</v>
      </c>
      <c r="N137" s="443">
        <v>90.9</v>
      </c>
      <c r="O137" s="15"/>
      <c r="P137" s="40">
        <v>1</v>
      </c>
      <c r="Q137" s="40">
        <v>1</v>
      </c>
      <c r="R137" s="40">
        <f t="shared" si="4"/>
        <v>0</v>
      </c>
      <c r="S137" s="174">
        <v>85510</v>
      </c>
      <c r="T137" s="285" t="s">
        <v>13724</v>
      </c>
      <c r="U137" s="15">
        <v>44617</v>
      </c>
      <c r="V137" s="22" t="s">
        <v>13725</v>
      </c>
      <c r="W137" s="285"/>
      <c r="X137" s="401"/>
    </row>
    <row r="138" spans="1:24" ht="94.5" customHeight="1" x14ac:dyDescent="0.2">
      <c r="A138" s="289">
        <v>117</v>
      </c>
      <c r="B138" s="12" t="s">
        <v>13726</v>
      </c>
      <c r="C138" s="285"/>
      <c r="D138" s="13" t="s">
        <v>13727</v>
      </c>
      <c r="E138" s="12" t="s">
        <v>13728</v>
      </c>
      <c r="F138" s="13" t="s">
        <v>13729</v>
      </c>
      <c r="G138" s="285" t="s">
        <v>13730</v>
      </c>
      <c r="H138" s="285"/>
      <c r="I138" s="285" t="s">
        <v>2042</v>
      </c>
      <c r="J138" s="285" t="s">
        <v>2207</v>
      </c>
      <c r="K138" s="285" t="s">
        <v>3136</v>
      </c>
      <c r="L138" s="14" t="s">
        <v>13731</v>
      </c>
      <c r="M138" s="285" t="s">
        <v>13732</v>
      </c>
      <c r="N138" s="443">
        <v>56.9</v>
      </c>
      <c r="O138" s="15"/>
      <c r="P138" s="40">
        <v>1</v>
      </c>
      <c r="Q138" s="40">
        <v>0</v>
      </c>
      <c r="R138" s="40">
        <f>P138-Q138</f>
        <v>1</v>
      </c>
      <c r="S138" s="174"/>
      <c r="T138" s="285" t="s">
        <v>13733</v>
      </c>
      <c r="U138" s="15">
        <v>44648</v>
      </c>
      <c r="V138" s="22" t="s">
        <v>1029</v>
      </c>
      <c r="W138" s="285"/>
      <c r="X138" s="401"/>
    </row>
    <row r="139" spans="1:24" ht="78.75" customHeight="1" x14ac:dyDescent="0.2">
      <c r="A139" s="289">
        <v>118</v>
      </c>
      <c r="B139" s="12" t="s">
        <v>13734</v>
      </c>
      <c r="C139" s="285"/>
      <c r="D139" s="13" t="s">
        <v>13727</v>
      </c>
      <c r="E139" s="12" t="s">
        <v>13728</v>
      </c>
      <c r="F139" s="13" t="s">
        <v>13735</v>
      </c>
      <c r="G139" s="285" t="s">
        <v>13730</v>
      </c>
      <c r="H139" s="285"/>
      <c r="I139" s="285" t="s">
        <v>2042</v>
      </c>
      <c r="J139" s="285" t="s">
        <v>2207</v>
      </c>
      <c r="K139" s="285" t="s">
        <v>3136</v>
      </c>
      <c r="L139" s="14" t="s">
        <v>13731</v>
      </c>
      <c r="M139" s="285" t="s">
        <v>13732</v>
      </c>
      <c r="N139" s="443">
        <v>221.9</v>
      </c>
      <c r="O139" s="15"/>
      <c r="P139" s="40">
        <v>1</v>
      </c>
      <c r="Q139" s="40">
        <v>0</v>
      </c>
      <c r="R139" s="40">
        <f>P139-Q139</f>
        <v>1</v>
      </c>
      <c r="S139" s="174"/>
      <c r="T139" s="285" t="s">
        <v>13733</v>
      </c>
      <c r="U139" s="15">
        <v>44648</v>
      </c>
      <c r="V139" s="22" t="s">
        <v>1029</v>
      </c>
      <c r="W139" s="285"/>
      <c r="X139" s="401"/>
    </row>
    <row r="140" spans="1:24" ht="91.5" customHeight="1" x14ac:dyDescent="0.2">
      <c r="A140" s="289">
        <v>119</v>
      </c>
      <c r="B140" s="12" t="s">
        <v>13736</v>
      </c>
      <c r="C140" s="285"/>
      <c r="D140" s="13" t="s">
        <v>13727</v>
      </c>
      <c r="E140" s="12" t="s">
        <v>13676</v>
      </c>
      <c r="F140" s="13" t="s">
        <v>13737</v>
      </c>
      <c r="G140" s="285" t="s">
        <v>13730</v>
      </c>
      <c r="H140" s="285"/>
      <c r="I140" s="285" t="s">
        <v>2042</v>
      </c>
      <c r="J140" s="285" t="s">
        <v>2207</v>
      </c>
      <c r="K140" s="285" t="s">
        <v>3136</v>
      </c>
      <c r="L140" s="14" t="s">
        <v>13731</v>
      </c>
      <c r="M140" s="285" t="s">
        <v>13732</v>
      </c>
      <c r="N140" s="443">
        <v>256.3</v>
      </c>
      <c r="O140" s="15"/>
      <c r="P140" s="40">
        <v>1</v>
      </c>
      <c r="Q140" s="40">
        <v>0</v>
      </c>
      <c r="R140" s="40">
        <f>P140-Q140</f>
        <v>1</v>
      </c>
      <c r="S140" s="174"/>
      <c r="T140" s="285" t="s">
        <v>13733</v>
      </c>
      <c r="U140" s="15">
        <v>44648</v>
      </c>
      <c r="V140" s="22" t="s">
        <v>1029</v>
      </c>
      <c r="W140" s="285"/>
      <c r="X140" s="401"/>
    </row>
    <row r="141" spans="1:24" ht="70.5" customHeight="1" x14ac:dyDescent="0.2">
      <c r="A141" s="289">
        <v>120</v>
      </c>
      <c r="B141" s="12" t="s">
        <v>13738</v>
      </c>
      <c r="C141" s="285"/>
      <c r="D141" s="13" t="s">
        <v>13739</v>
      </c>
      <c r="E141" s="12"/>
      <c r="F141" s="13" t="s">
        <v>13740</v>
      </c>
      <c r="G141" s="285" t="s">
        <v>13730</v>
      </c>
      <c r="H141" s="285" t="s">
        <v>4877</v>
      </c>
      <c r="I141" s="285" t="s">
        <v>3793</v>
      </c>
      <c r="J141" s="285"/>
      <c r="K141" s="285" t="s">
        <v>3136</v>
      </c>
      <c r="L141" s="14" t="s">
        <v>13741</v>
      </c>
      <c r="M141" s="285" t="s">
        <v>13742</v>
      </c>
      <c r="N141" s="443">
        <v>25</v>
      </c>
      <c r="O141" s="15"/>
      <c r="P141" s="40">
        <v>1</v>
      </c>
      <c r="Q141" s="40">
        <v>1</v>
      </c>
      <c r="R141" s="40">
        <f>P141-Q141</f>
        <v>0</v>
      </c>
      <c r="S141" s="174"/>
      <c r="T141" s="285" t="s">
        <v>13733</v>
      </c>
      <c r="U141" s="15">
        <v>44648</v>
      </c>
      <c r="V141" s="22" t="s">
        <v>1029</v>
      </c>
      <c r="W141" s="285"/>
      <c r="X141" s="401"/>
    </row>
    <row r="142" spans="1:24" ht="70.5" customHeight="1" x14ac:dyDescent="0.2">
      <c r="A142" s="289">
        <v>121</v>
      </c>
      <c r="B142" s="12" t="s">
        <v>13743</v>
      </c>
      <c r="C142" s="285"/>
      <c r="D142" s="13" t="s">
        <v>13136</v>
      </c>
      <c r="E142" s="12"/>
      <c r="F142" s="13" t="s">
        <v>13744</v>
      </c>
      <c r="G142" s="285" t="s">
        <v>13730</v>
      </c>
      <c r="H142" s="285" t="s">
        <v>4877</v>
      </c>
      <c r="I142" s="285" t="s">
        <v>3793</v>
      </c>
      <c r="J142" s="285"/>
      <c r="K142" s="285" t="s">
        <v>3136</v>
      </c>
      <c r="L142" s="14" t="s">
        <v>13741</v>
      </c>
      <c r="M142" s="285" t="s">
        <v>13742</v>
      </c>
      <c r="N142" s="443">
        <v>119</v>
      </c>
      <c r="O142" s="15"/>
      <c r="P142" s="40">
        <v>1</v>
      </c>
      <c r="Q142" s="40">
        <v>1</v>
      </c>
      <c r="R142" s="40">
        <f>P142-Q142</f>
        <v>0</v>
      </c>
      <c r="S142" s="174"/>
      <c r="T142" s="285" t="s">
        <v>13733</v>
      </c>
      <c r="U142" s="15">
        <v>44648</v>
      </c>
      <c r="V142" s="22" t="s">
        <v>1029</v>
      </c>
      <c r="W142" s="285"/>
      <c r="X142" s="401"/>
    </row>
    <row r="143" spans="1:24" ht="21" customHeight="1" x14ac:dyDescent="0.2">
      <c r="A143" s="289"/>
      <c r="J143" s="6"/>
      <c r="N143" s="445">
        <f>SUM(N7:N142)</f>
        <v>91018.519999999975</v>
      </c>
      <c r="O143" s="445"/>
      <c r="P143" s="187">
        <f>SUM(P7:P142)</f>
        <v>321170953.25000006</v>
      </c>
      <c r="Q143" s="187"/>
      <c r="R143" s="187"/>
      <c r="X143" s="6"/>
    </row>
    <row r="144" spans="1:24" ht="21" customHeight="1" x14ac:dyDescent="0.2">
      <c r="J144" s="6"/>
      <c r="N144" s="446"/>
      <c r="O144" s="446"/>
      <c r="P144" s="447"/>
      <c r="Q144" s="447"/>
      <c r="R144" s="447"/>
    </row>
    <row r="145" spans="14:16" x14ac:dyDescent="0.2">
      <c r="N145" s="448"/>
      <c r="P145" s="135"/>
    </row>
    <row r="146" spans="14:16" x14ac:dyDescent="0.2">
      <c r="P146" s="135"/>
    </row>
  </sheetData>
  <mergeCells count="16">
    <mergeCell ref="S42:S44"/>
    <mergeCell ref="X42:X43"/>
    <mergeCell ref="A45:A55"/>
    <mergeCell ref="A56:A58"/>
    <mergeCell ref="A59:A62"/>
    <mergeCell ref="T4:V4"/>
    <mergeCell ref="X27:X29"/>
    <mergeCell ref="X30:X32"/>
    <mergeCell ref="S33:S34"/>
    <mergeCell ref="X33:X34"/>
    <mergeCell ref="A1:E1"/>
    <mergeCell ref="A2:H2"/>
    <mergeCell ref="K4:M4"/>
    <mergeCell ref="N4:N5"/>
    <mergeCell ref="O4:O5"/>
    <mergeCell ref="P4:S4"/>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99"/>
  <sheetViews>
    <sheetView topLeftCell="A84" workbookViewId="0">
      <selection activeCell="D89" sqref="D89"/>
    </sheetView>
  </sheetViews>
  <sheetFormatPr defaultColWidth="9.140625" defaultRowHeight="12.75" x14ac:dyDescent="0.2"/>
  <cols>
    <col min="1" max="1" width="5" style="450" customWidth="1"/>
    <col min="2" max="2" width="9.85546875" style="7" customWidth="1"/>
    <col min="3" max="3" width="17" style="6" customWidth="1"/>
    <col min="4" max="4" width="17.140625" style="6" customWidth="1"/>
    <col min="5" max="5" width="11" style="90" customWidth="1"/>
    <col min="6" max="6" width="20.5703125" style="90" customWidth="1"/>
    <col min="7" max="7" width="17" style="90" customWidth="1"/>
    <col min="8" max="8" width="14.42578125" style="6" customWidth="1"/>
    <col min="9" max="9" width="6.28515625" style="6" customWidth="1"/>
    <col min="10" max="10" width="12.28515625" style="90" customWidth="1"/>
    <col min="11" max="11" width="9.7109375" style="90" customWidth="1"/>
    <col min="12" max="12" width="14.85546875" style="90" customWidth="1"/>
    <col min="13" max="13" width="11.42578125" style="90" customWidth="1"/>
    <col min="14" max="14" width="10.28515625" style="90" customWidth="1"/>
    <col min="15" max="15" width="10.7109375" style="90" customWidth="1"/>
    <col min="16" max="16" width="12.42578125" style="90" customWidth="1"/>
    <col min="17" max="17" width="14.28515625" style="90" customWidth="1"/>
    <col min="18" max="18" width="11.7109375" style="90" customWidth="1"/>
    <col min="19" max="19" width="15.42578125" style="90" customWidth="1"/>
    <col min="20" max="20" width="14.140625" style="90" customWidth="1"/>
    <col min="21" max="21" width="11.28515625" style="90" customWidth="1"/>
    <col min="22" max="23" width="13.42578125" style="90" hidden="1" customWidth="1"/>
    <col min="24" max="24" width="20.42578125" style="6" customWidth="1"/>
    <col min="25" max="25" width="11.85546875" style="6" customWidth="1"/>
    <col min="26" max="26" width="10.7109375" style="90" customWidth="1"/>
    <col min="27" max="27" width="13" style="90" customWidth="1"/>
    <col min="28" max="29" width="10.7109375" style="90" customWidth="1"/>
    <col min="30" max="30" width="19.7109375" style="90" customWidth="1"/>
    <col min="31" max="31" width="17.42578125" style="90" customWidth="1"/>
    <col min="32" max="16384" width="9.140625" style="6"/>
  </cols>
  <sheetData>
    <row r="1" spans="1:31" ht="15.75" customHeight="1" x14ac:dyDescent="0.2">
      <c r="A1" s="449" t="s">
        <v>12980</v>
      </c>
      <c r="B1" s="449"/>
      <c r="C1" s="199"/>
      <c r="D1" s="199"/>
    </row>
    <row r="2" spans="1:31" ht="15.75" customHeight="1" x14ac:dyDescent="0.2">
      <c r="A2" s="388" t="s">
        <v>13745</v>
      </c>
      <c r="B2" s="388"/>
      <c r="C2" s="388"/>
      <c r="D2" s="388"/>
      <c r="E2" s="92"/>
    </row>
    <row r="3" spans="1:31" ht="13.5" thickBot="1" x14ac:dyDescent="0.25">
      <c r="B3" s="7" t="s">
        <v>3211</v>
      </c>
    </row>
    <row r="4" spans="1:31" ht="81.75" customHeight="1" thickBot="1" x14ac:dyDescent="0.25">
      <c r="A4" s="451" t="s">
        <v>3972</v>
      </c>
      <c r="B4" s="451" t="s">
        <v>6165</v>
      </c>
      <c r="C4" s="451" t="s">
        <v>12408</v>
      </c>
      <c r="D4" s="451" t="s">
        <v>1995</v>
      </c>
      <c r="E4" s="451" t="s">
        <v>12982</v>
      </c>
      <c r="F4" s="451" t="s">
        <v>438</v>
      </c>
      <c r="G4" s="451" t="s">
        <v>12418</v>
      </c>
      <c r="H4" s="451" t="s">
        <v>2417</v>
      </c>
      <c r="I4" s="451" t="s">
        <v>13746</v>
      </c>
      <c r="J4" s="451" t="s">
        <v>5331</v>
      </c>
      <c r="K4" s="451" t="s">
        <v>12419</v>
      </c>
      <c r="L4" s="452" t="s">
        <v>3130</v>
      </c>
      <c r="M4" s="452"/>
      <c r="N4" s="452"/>
      <c r="O4" s="490" t="s">
        <v>13747</v>
      </c>
      <c r="P4" s="492" t="s">
        <v>13748</v>
      </c>
      <c r="Q4" s="493"/>
      <c r="R4" s="493"/>
      <c r="S4" s="494"/>
      <c r="T4" s="502" t="s">
        <v>13749</v>
      </c>
      <c r="U4" s="500" t="s">
        <v>12417</v>
      </c>
      <c r="V4" s="498" t="s">
        <v>13750</v>
      </c>
      <c r="W4" s="453"/>
      <c r="X4" s="452" t="s">
        <v>6338</v>
      </c>
      <c r="Y4" s="452"/>
      <c r="Z4" s="454"/>
      <c r="AA4" s="455" t="s">
        <v>4397</v>
      </c>
      <c r="AB4" s="452"/>
      <c r="AC4" s="456"/>
      <c r="AD4" s="455" t="s">
        <v>3638</v>
      </c>
      <c r="AE4" s="456"/>
    </row>
    <row r="5" spans="1:31" ht="60.75" customHeight="1" thickBot="1" x14ac:dyDescent="0.25">
      <c r="A5" s="451"/>
      <c r="B5" s="457"/>
      <c r="C5" s="457"/>
      <c r="D5" s="457"/>
      <c r="E5" s="457"/>
      <c r="F5" s="457"/>
      <c r="G5" s="457"/>
      <c r="H5" s="457"/>
      <c r="I5" s="457"/>
      <c r="J5" s="457"/>
      <c r="K5" s="451"/>
      <c r="L5" s="458" t="s">
        <v>3771</v>
      </c>
      <c r="M5" s="459" t="s">
        <v>1598</v>
      </c>
      <c r="N5" s="460" t="s">
        <v>3131</v>
      </c>
      <c r="O5" s="491"/>
      <c r="P5" s="495" t="s">
        <v>38</v>
      </c>
      <c r="Q5" s="459" t="s">
        <v>5794</v>
      </c>
      <c r="R5" s="497" t="s">
        <v>2252</v>
      </c>
      <c r="S5" s="496" t="s">
        <v>12413</v>
      </c>
      <c r="T5" s="503"/>
      <c r="U5" s="501"/>
      <c r="V5" s="499"/>
      <c r="W5" s="461"/>
      <c r="X5" s="462" t="s">
        <v>3771</v>
      </c>
      <c r="Y5" s="463" t="s">
        <v>1598</v>
      </c>
      <c r="Z5" s="463" t="s">
        <v>3131</v>
      </c>
      <c r="AA5" s="463" t="s">
        <v>3771</v>
      </c>
      <c r="AB5" s="463" t="s">
        <v>1598</v>
      </c>
      <c r="AC5" s="463" t="s">
        <v>3131</v>
      </c>
      <c r="AD5" s="459" t="s">
        <v>5101</v>
      </c>
      <c r="AE5" s="459" t="s">
        <v>5102</v>
      </c>
    </row>
    <row r="6" spans="1:31" s="90" customFormat="1" x14ac:dyDescent="0.2">
      <c r="A6" s="504">
        <v>1</v>
      </c>
      <c r="B6" s="464">
        <v>2</v>
      </c>
      <c r="C6" s="465">
        <v>3</v>
      </c>
      <c r="D6" s="465">
        <v>4</v>
      </c>
      <c r="E6" s="465">
        <v>5</v>
      </c>
      <c r="F6" s="465">
        <v>6</v>
      </c>
      <c r="G6" s="465">
        <v>7</v>
      </c>
      <c r="H6" s="465">
        <v>8</v>
      </c>
      <c r="I6" s="465">
        <v>9</v>
      </c>
      <c r="J6" s="465">
        <v>10</v>
      </c>
      <c r="K6" s="465">
        <v>11</v>
      </c>
      <c r="L6" s="224">
        <v>12</v>
      </c>
      <c r="M6" s="224">
        <v>13</v>
      </c>
      <c r="N6" s="224">
        <v>14</v>
      </c>
      <c r="O6" s="465">
        <v>15</v>
      </c>
      <c r="P6" s="465">
        <v>17</v>
      </c>
      <c r="Q6" s="465">
        <v>18</v>
      </c>
      <c r="R6" s="465">
        <v>19</v>
      </c>
      <c r="S6" s="465">
        <v>20</v>
      </c>
      <c r="T6" s="465">
        <v>21</v>
      </c>
      <c r="U6" s="465">
        <v>22</v>
      </c>
      <c r="V6" s="466"/>
      <c r="W6" s="467"/>
      <c r="X6" s="464">
        <v>23</v>
      </c>
      <c r="Y6" s="224">
        <v>24</v>
      </c>
      <c r="Z6" s="465">
        <v>25</v>
      </c>
      <c r="AA6" s="224">
        <v>26</v>
      </c>
      <c r="AB6" s="465">
        <v>27</v>
      </c>
      <c r="AC6" s="224">
        <v>28</v>
      </c>
      <c r="AD6" s="465">
        <v>29</v>
      </c>
      <c r="AE6" s="224">
        <v>30</v>
      </c>
    </row>
    <row r="7" spans="1:31" ht="76.5" customHeight="1" x14ac:dyDescent="0.2">
      <c r="A7" s="468">
        <v>1</v>
      </c>
      <c r="B7" s="291" t="s">
        <v>13751</v>
      </c>
      <c r="C7" s="203" t="s">
        <v>13752</v>
      </c>
      <c r="D7" s="85" t="s">
        <v>13753</v>
      </c>
      <c r="E7" s="4" t="s">
        <v>13754</v>
      </c>
      <c r="F7" s="469" t="s">
        <v>13755</v>
      </c>
      <c r="G7" s="203" t="s">
        <v>13756</v>
      </c>
      <c r="H7" s="203" t="s">
        <v>13757</v>
      </c>
      <c r="I7" s="291" t="s">
        <v>12480</v>
      </c>
      <c r="J7" s="221" t="s">
        <v>13758</v>
      </c>
      <c r="K7" s="203" t="s">
        <v>2207</v>
      </c>
      <c r="L7" s="203" t="s">
        <v>3136</v>
      </c>
      <c r="M7" s="204">
        <v>40529</v>
      </c>
      <c r="N7" s="203">
        <v>729</v>
      </c>
      <c r="O7" s="470">
        <v>751.1</v>
      </c>
      <c r="P7" s="174">
        <f>T7</f>
        <v>1873797</v>
      </c>
      <c r="Q7" s="174">
        <f>T7/U7*O7*45%</f>
        <v>843208.64999999991</v>
      </c>
      <c r="R7" s="174">
        <f>V7-W7</f>
        <v>1030588.35</v>
      </c>
      <c r="S7" s="174">
        <v>16687714.470000001</v>
      </c>
      <c r="T7" s="174">
        <v>1873797</v>
      </c>
      <c r="U7" s="174">
        <v>751.1</v>
      </c>
      <c r="V7" s="471">
        <f>ROUND(P7,2)</f>
        <v>1873797</v>
      </c>
      <c r="W7" s="471">
        <f>ROUND(Q7,2)</f>
        <v>843208.65</v>
      </c>
      <c r="X7" s="203" t="s">
        <v>13759</v>
      </c>
      <c r="Y7" s="204" t="s">
        <v>13760</v>
      </c>
      <c r="Z7" s="203" t="s">
        <v>13761</v>
      </c>
      <c r="AA7" s="203"/>
      <c r="AB7" s="291"/>
      <c r="AC7" s="291"/>
      <c r="AD7" s="203" t="s">
        <v>13762</v>
      </c>
      <c r="AE7" s="472"/>
    </row>
    <row r="8" spans="1:31" ht="41.25" customHeight="1" x14ac:dyDescent="0.2">
      <c r="A8" s="468">
        <v>2</v>
      </c>
      <c r="B8" s="291" t="s">
        <v>13763</v>
      </c>
      <c r="C8" s="291" t="s">
        <v>13764</v>
      </c>
      <c r="D8" s="469" t="s">
        <v>13765</v>
      </c>
      <c r="E8" s="4" t="s">
        <v>13766</v>
      </c>
      <c r="F8" s="469" t="s">
        <v>13767</v>
      </c>
      <c r="G8" s="203" t="s">
        <v>13768</v>
      </c>
      <c r="H8" s="203" t="s">
        <v>13757</v>
      </c>
      <c r="I8" s="291" t="s">
        <v>12480</v>
      </c>
      <c r="J8" s="221" t="s">
        <v>13758</v>
      </c>
      <c r="K8" s="203" t="s">
        <v>2207</v>
      </c>
      <c r="L8" s="203" t="s">
        <v>3136</v>
      </c>
      <c r="M8" s="204">
        <v>40311</v>
      </c>
      <c r="N8" s="203">
        <v>250</v>
      </c>
      <c r="O8" s="470">
        <v>60.9</v>
      </c>
      <c r="P8" s="174">
        <f>T8/U8*O8</f>
        <v>71092.594369378538</v>
      </c>
      <c r="Q8" s="174">
        <f>T8/U8*O8*38%</f>
        <v>27015.185860363843</v>
      </c>
      <c r="R8" s="174">
        <f t="shared" ref="R8:R15" si="0">V8-W8</f>
        <v>44077.399999999994</v>
      </c>
      <c r="S8" s="174">
        <v>1226675.81</v>
      </c>
      <c r="T8" s="174">
        <v>6015729.2599999998</v>
      </c>
      <c r="U8" s="174">
        <f>2687.45+1445.3+1020.5</f>
        <v>5153.25</v>
      </c>
      <c r="V8" s="471">
        <f>ROUND(P8,2)</f>
        <v>71092.59</v>
      </c>
      <c r="W8" s="471">
        <f>ROUND(Q8,2)</f>
        <v>27015.19</v>
      </c>
      <c r="X8" s="203" t="s">
        <v>2829</v>
      </c>
      <c r="Y8" s="291" t="s">
        <v>57</v>
      </c>
      <c r="Z8" s="291">
        <v>41</v>
      </c>
      <c r="AA8" s="291"/>
      <c r="AB8" s="291"/>
      <c r="AC8" s="291"/>
      <c r="AD8" s="291"/>
      <c r="AE8" s="291"/>
    </row>
    <row r="9" spans="1:31" ht="39" customHeight="1" x14ac:dyDescent="0.2">
      <c r="A9" s="468">
        <v>3</v>
      </c>
      <c r="B9" s="291" t="s">
        <v>13769</v>
      </c>
      <c r="C9" s="291" t="s">
        <v>13770</v>
      </c>
      <c r="D9" s="469" t="s">
        <v>13765</v>
      </c>
      <c r="E9" s="4" t="s">
        <v>13771</v>
      </c>
      <c r="F9" s="469" t="s">
        <v>13767</v>
      </c>
      <c r="G9" s="203" t="s">
        <v>13772</v>
      </c>
      <c r="H9" s="203" t="s">
        <v>13757</v>
      </c>
      <c r="I9" s="291" t="s">
        <v>12480</v>
      </c>
      <c r="J9" s="221" t="s">
        <v>13758</v>
      </c>
      <c r="K9" s="203" t="s">
        <v>2207</v>
      </c>
      <c r="L9" s="203" t="s">
        <v>3136</v>
      </c>
      <c r="M9" s="204">
        <v>40311</v>
      </c>
      <c r="N9" s="203">
        <v>250</v>
      </c>
      <c r="O9" s="470">
        <v>43</v>
      </c>
      <c r="P9" s="174">
        <f>ROUND(V9,2)</f>
        <v>25082.799999999999</v>
      </c>
      <c r="Q9" s="174">
        <f>ROUND(W9,2)</f>
        <v>9782.2900000000009</v>
      </c>
      <c r="R9" s="174">
        <f>P9-Q9</f>
        <v>15300.509999999998</v>
      </c>
      <c r="S9" s="174">
        <v>899985.7</v>
      </c>
      <c r="T9" s="473">
        <v>2552437.8199999998</v>
      </c>
      <c r="U9" s="474">
        <f>3331.6+0+1044.1</f>
        <v>4375.7</v>
      </c>
      <c r="V9" s="471">
        <f>T9/U9*O9</f>
        <v>25082.804182187989</v>
      </c>
      <c r="W9" s="471">
        <f>T9/U9*O9*39%</f>
        <v>9782.2936310533169</v>
      </c>
      <c r="X9" s="203" t="s">
        <v>2829</v>
      </c>
      <c r="Y9" s="291" t="s">
        <v>57</v>
      </c>
      <c r="Z9" s="291">
        <v>41</v>
      </c>
      <c r="AA9" s="291"/>
      <c r="AB9" s="291"/>
      <c r="AC9" s="291"/>
      <c r="AD9" s="291"/>
      <c r="AE9" s="291"/>
    </row>
    <row r="10" spans="1:31" ht="39" customHeight="1" x14ac:dyDescent="0.2">
      <c r="A10" s="468">
        <v>4</v>
      </c>
      <c r="B10" s="291" t="s">
        <v>13769</v>
      </c>
      <c r="C10" s="291" t="s">
        <v>13773</v>
      </c>
      <c r="D10" s="469" t="s">
        <v>13765</v>
      </c>
      <c r="E10" s="4" t="s">
        <v>13771</v>
      </c>
      <c r="F10" s="469" t="s">
        <v>13767</v>
      </c>
      <c r="G10" s="203" t="s">
        <v>13774</v>
      </c>
      <c r="H10" s="203" t="s">
        <v>13757</v>
      </c>
      <c r="I10" s="291" t="s">
        <v>12480</v>
      </c>
      <c r="J10" s="221" t="s">
        <v>13758</v>
      </c>
      <c r="K10" s="203" t="s">
        <v>2207</v>
      </c>
      <c r="L10" s="203" t="s">
        <v>3136</v>
      </c>
      <c r="M10" s="204">
        <v>40311</v>
      </c>
      <c r="N10" s="203">
        <v>250</v>
      </c>
      <c r="O10" s="470">
        <v>60.4</v>
      </c>
      <c r="P10" s="174">
        <f>ROUND(V10,2)</f>
        <v>35232.589999999997</v>
      </c>
      <c r="Q10" s="174">
        <f>ROUND(W10,2)</f>
        <v>13740.71</v>
      </c>
      <c r="R10" s="174">
        <f>P10-Q10</f>
        <v>21491.879999999997</v>
      </c>
      <c r="S10" s="174">
        <v>1214158.99</v>
      </c>
      <c r="T10" s="473"/>
      <c r="U10" s="474"/>
      <c r="V10" s="471">
        <f>T9/U9*O10</f>
        <v>35232.590060561735</v>
      </c>
      <c r="W10" s="471">
        <f>T9/U9*O10*39%</f>
        <v>13740.710123619077</v>
      </c>
      <c r="X10" s="203" t="s">
        <v>2829</v>
      </c>
      <c r="Y10" s="291" t="s">
        <v>57</v>
      </c>
      <c r="Z10" s="291">
        <v>41</v>
      </c>
      <c r="AA10" s="291"/>
      <c r="AB10" s="291"/>
      <c r="AC10" s="291"/>
      <c r="AD10" s="291"/>
      <c r="AE10" s="291"/>
    </row>
    <row r="11" spans="1:31" ht="66" customHeight="1" x14ac:dyDescent="0.2">
      <c r="A11" s="468">
        <v>5</v>
      </c>
      <c r="B11" s="291" t="s">
        <v>13775</v>
      </c>
      <c r="C11" s="291" t="s">
        <v>13776</v>
      </c>
      <c r="D11" s="85" t="s">
        <v>13765</v>
      </c>
      <c r="E11" s="4" t="s">
        <v>13777</v>
      </c>
      <c r="F11" s="203" t="s">
        <v>13778</v>
      </c>
      <c r="G11" s="203" t="s">
        <v>13779</v>
      </c>
      <c r="H11" s="203" t="s">
        <v>13757</v>
      </c>
      <c r="I11" s="291" t="s">
        <v>12480</v>
      </c>
      <c r="J11" s="221" t="s">
        <v>13758</v>
      </c>
      <c r="K11" s="203" t="s">
        <v>2207</v>
      </c>
      <c r="L11" s="203" t="s">
        <v>3136</v>
      </c>
      <c r="M11" s="204">
        <v>40311</v>
      </c>
      <c r="N11" s="203">
        <v>250</v>
      </c>
      <c r="O11" s="291">
        <v>48.8</v>
      </c>
      <c r="P11" s="174">
        <f>T11/U11*O11</f>
        <v>67359.227973502479</v>
      </c>
      <c r="Q11" s="174">
        <f>T11/U11*O11*39%</f>
        <v>26270.098909665969</v>
      </c>
      <c r="R11" s="174">
        <f t="shared" si="0"/>
        <v>41089.129999999997</v>
      </c>
      <c r="S11" s="174">
        <v>918007.54</v>
      </c>
      <c r="T11" s="174">
        <v>7855493.9000000004</v>
      </c>
      <c r="U11" s="174">
        <f>4237.1+1454</f>
        <v>5691.1</v>
      </c>
      <c r="V11" s="471">
        <f>ROUND(P11,2)</f>
        <v>67359.23</v>
      </c>
      <c r="W11" s="471">
        <f>ROUND(Q11,2)</f>
        <v>26270.1</v>
      </c>
      <c r="X11" s="203" t="s">
        <v>2829</v>
      </c>
      <c r="Y11" s="291" t="s">
        <v>57</v>
      </c>
      <c r="Z11" s="291">
        <v>41</v>
      </c>
      <c r="AA11" s="218"/>
      <c r="AB11" s="218"/>
      <c r="AC11" s="218"/>
      <c r="AD11" s="218"/>
      <c r="AE11" s="218"/>
    </row>
    <row r="12" spans="1:31" ht="42" customHeight="1" x14ac:dyDescent="0.2">
      <c r="A12" s="468">
        <v>6</v>
      </c>
      <c r="B12" s="291" t="s">
        <v>13780</v>
      </c>
      <c r="C12" s="291" t="s">
        <v>13781</v>
      </c>
      <c r="D12" s="85" t="s">
        <v>13765</v>
      </c>
      <c r="E12" s="4" t="s">
        <v>13782</v>
      </c>
      <c r="F12" s="203" t="s">
        <v>13767</v>
      </c>
      <c r="G12" s="203" t="s">
        <v>13783</v>
      </c>
      <c r="H12" s="203" t="s">
        <v>13757</v>
      </c>
      <c r="I12" s="291" t="s">
        <v>12480</v>
      </c>
      <c r="J12" s="221" t="s">
        <v>13758</v>
      </c>
      <c r="K12" s="203" t="s">
        <v>2207</v>
      </c>
      <c r="L12" s="203" t="s">
        <v>3136</v>
      </c>
      <c r="M12" s="204">
        <v>40311</v>
      </c>
      <c r="N12" s="203">
        <v>250</v>
      </c>
      <c r="O12" s="470">
        <v>39.1</v>
      </c>
      <c r="P12" s="174">
        <f>T12/U12*O12</f>
        <v>48946.70437363402</v>
      </c>
      <c r="Q12" s="174">
        <f>T12/U12*O12*41%</f>
        <v>20068.148793189946</v>
      </c>
      <c r="R12" s="174">
        <f t="shared" si="0"/>
        <v>28878.549999999996</v>
      </c>
      <c r="S12" s="174">
        <v>823731.82</v>
      </c>
      <c r="T12" s="174">
        <v>5040383.9000000004</v>
      </c>
      <c r="U12" s="174">
        <f>3053.8+41.2+931.4</f>
        <v>4026.4</v>
      </c>
      <c r="V12" s="471">
        <f>ROUND(P12,2)</f>
        <v>48946.7</v>
      </c>
      <c r="W12" s="471">
        <f>ROUND(Q12,2)</f>
        <v>20068.150000000001</v>
      </c>
      <c r="X12" s="203" t="s">
        <v>2829</v>
      </c>
      <c r="Y12" s="291" t="s">
        <v>57</v>
      </c>
      <c r="Z12" s="291">
        <v>41</v>
      </c>
      <c r="AA12" s="218"/>
      <c r="AB12" s="218"/>
      <c r="AC12" s="218"/>
      <c r="AD12" s="218"/>
      <c r="AE12" s="218"/>
    </row>
    <row r="13" spans="1:31" ht="42" customHeight="1" x14ac:dyDescent="0.2">
      <c r="A13" s="468">
        <v>7</v>
      </c>
      <c r="B13" s="291" t="s">
        <v>13784</v>
      </c>
      <c r="C13" s="291" t="s">
        <v>13785</v>
      </c>
      <c r="D13" s="85" t="s">
        <v>13765</v>
      </c>
      <c r="E13" s="4" t="s">
        <v>13786</v>
      </c>
      <c r="F13" s="203" t="s">
        <v>13767</v>
      </c>
      <c r="G13" s="203" t="s">
        <v>13787</v>
      </c>
      <c r="H13" s="203" t="s">
        <v>13757</v>
      </c>
      <c r="I13" s="291" t="s">
        <v>12480</v>
      </c>
      <c r="J13" s="221" t="s">
        <v>13758</v>
      </c>
      <c r="K13" s="203" t="s">
        <v>2207</v>
      </c>
      <c r="L13" s="203" t="s">
        <v>3136</v>
      </c>
      <c r="M13" s="204">
        <v>40311</v>
      </c>
      <c r="N13" s="203">
        <v>250</v>
      </c>
      <c r="O13" s="174">
        <v>38.5</v>
      </c>
      <c r="P13" s="174">
        <f>ROUND(V13,2)</f>
        <v>50596.56</v>
      </c>
      <c r="Q13" s="174">
        <f>ROUND(W13,2)</f>
        <v>19732.66</v>
      </c>
      <c r="R13" s="174">
        <f>P13-Q13</f>
        <v>30863.899999999998</v>
      </c>
      <c r="S13" s="174">
        <v>834637.65</v>
      </c>
      <c r="T13" s="473">
        <v>5234772.96</v>
      </c>
      <c r="U13" s="474">
        <f>3112.95+0+870.3</f>
        <v>3983.25</v>
      </c>
      <c r="V13" s="471">
        <f>T13/U13*O13</f>
        <v>50596.562846921479</v>
      </c>
      <c r="W13" s="471">
        <f>T13/U13*O13*39%</f>
        <v>19732.659510299378</v>
      </c>
      <c r="X13" s="203" t="s">
        <v>2829</v>
      </c>
      <c r="Y13" s="291" t="s">
        <v>57</v>
      </c>
      <c r="Z13" s="291">
        <v>41</v>
      </c>
      <c r="AA13" s="291"/>
      <c r="AB13" s="291"/>
      <c r="AC13" s="291"/>
      <c r="AD13" s="291"/>
      <c r="AE13" s="291"/>
    </row>
    <row r="14" spans="1:31" ht="66" customHeight="1" x14ac:dyDescent="0.2">
      <c r="A14" s="468">
        <v>8</v>
      </c>
      <c r="B14" s="291" t="s">
        <v>13784</v>
      </c>
      <c r="C14" s="291" t="s">
        <v>13788</v>
      </c>
      <c r="D14" s="85" t="s">
        <v>13765</v>
      </c>
      <c r="E14" s="4" t="s">
        <v>13786</v>
      </c>
      <c r="F14" s="203" t="s">
        <v>13767</v>
      </c>
      <c r="G14" s="203" t="s">
        <v>13789</v>
      </c>
      <c r="H14" s="203" t="s">
        <v>13757</v>
      </c>
      <c r="I14" s="291" t="s">
        <v>12480</v>
      </c>
      <c r="J14" s="221" t="s">
        <v>13758</v>
      </c>
      <c r="K14" s="203" t="s">
        <v>2207</v>
      </c>
      <c r="L14" s="203" t="s">
        <v>3136</v>
      </c>
      <c r="M14" s="204">
        <v>40311</v>
      </c>
      <c r="N14" s="203">
        <v>250</v>
      </c>
      <c r="O14" s="174">
        <v>58</v>
      </c>
      <c r="P14" s="174">
        <f>ROUND(V14,2)</f>
        <v>76223.39</v>
      </c>
      <c r="Q14" s="174">
        <f>ROUND(W14,2)</f>
        <v>34300.53</v>
      </c>
      <c r="R14" s="174">
        <f>P14-Q14</f>
        <v>41922.86</v>
      </c>
      <c r="S14" s="174">
        <v>1207637.72</v>
      </c>
      <c r="T14" s="473"/>
      <c r="U14" s="474"/>
      <c r="V14" s="471">
        <f>T13/U13*O14</f>
        <v>76223.393379777815</v>
      </c>
      <c r="W14" s="471">
        <f>T13/U13*O14*45%</f>
        <v>34300.527020900015</v>
      </c>
      <c r="X14" s="203" t="s">
        <v>2829</v>
      </c>
      <c r="Y14" s="291" t="s">
        <v>57</v>
      </c>
      <c r="Z14" s="291">
        <v>41</v>
      </c>
      <c r="AA14" s="291"/>
      <c r="AB14" s="291"/>
      <c r="AC14" s="291"/>
      <c r="AD14" s="291"/>
      <c r="AE14" s="291"/>
    </row>
    <row r="15" spans="1:31" ht="41.25" customHeight="1" x14ac:dyDescent="0.2">
      <c r="A15" s="468">
        <v>9</v>
      </c>
      <c r="B15" s="475" t="s">
        <v>13790</v>
      </c>
      <c r="C15" s="90" t="s">
        <v>13791</v>
      </c>
      <c r="D15" s="85" t="s">
        <v>13765</v>
      </c>
      <c r="E15" s="4" t="s">
        <v>13792</v>
      </c>
      <c r="F15" s="203" t="s">
        <v>13793</v>
      </c>
      <c r="G15" s="203" t="s">
        <v>13794</v>
      </c>
      <c r="H15" s="203" t="s">
        <v>13757</v>
      </c>
      <c r="I15" s="291" t="s">
        <v>12480</v>
      </c>
      <c r="J15" s="221" t="s">
        <v>13758</v>
      </c>
      <c r="K15" s="203" t="s">
        <v>2207</v>
      </c>
      <c r="L15" s="203" t="s">
        <v>3136</v>
      </c>
      <c r="M15" s="204">
        <v>40311</v>
      </c>
      <c r="N15" s="203">
        <v>250</v>
      </c>
      <c r="O15" s="470">
        <v>45.6</v>
      </c>
      <c r="P15" s="174">
        <f t="shared" ref="P15:P20" si="1">T15/U15*O15</f>
        <v>51775.790300375113</v>
      </c>
      <c r="Q15" s="174">
        <f>T15/U15*O15*44%</f>
        <v>22781.34773216505</v>
      </c>
      <c r="R15" s="174">
        <f t="shared" si="0"/>
        <v>28994.440000000002</v>
      </c>
      <c r="S15" s="174">
        <v>897819.77</v>
      </c>
      <c r="T15" s="174">
        <v>3928987.68</v>
      </c>
      <c r="U15" s="174">
        <f>2123.54+405.1+931.7</f>
        <v>3460.34</v>
      </c>
      <c r="V15" s="471">
        <f t="shared" ref="V15:W29" si="2">ROUND(P15,2)</f>
        <v>51775.79</v>
      </c>
      <c r="W15" s="471">
        <f t="shared" si="2"/>
        <v>22781.35</v>
      </c>
      <c r="X15" s="203" t="s">
        <v>2829</v>
      </c>
      <c r="Y15" s="472">
        <v>34187</v>
      </c>
      <c r="Z15" s="291">
        <v>41</v>
      </c>
      <c r="AA15" s="291"/>
      <c r="AB15" s="291"/>
      <c r="AC15" s="291"/>
      <c r="AD15" s="291"/>
      <c r="AE15" s="291"/>
    </row>
    <row r="16" spans="1:31" ht="42.75" customHeight="1" x14ac:dyDescent="0.2">
      <c r="A16" s="468">
        <v>10</v>
      </c>
      <c r="B16" s="291" t="s">
        <v>13795</v>
      </c>
      <c r="C16" s="291" t="s">
        <v>13796</v>
      </c>
      <c r="D16" s="85" t="s">
        <v>13765</v>
      </c>
      <c r="E16" s="4" t="s">
        <v>13797</v>
      </c>
      <c r="F16" s="203" t="s">
        <v>13778</v>
      </c>
      <c r="G16" s="203" t="s">
        <v>13798</v>
      </c>
      <c r="H16" s="203" t="s">
        <v>13757</v>
      </c>
      <c r="I16" s="291" t="s">
        <v>12480</v>
      </c>
      <c r="J16" s="221" t="s">
        <v>13758</v>
      </c>
      <c r="K16" s="203" t="s">
        <v>2207</v>
      </c>
      <c r="L16" s="203" t="s">
        <v>3136</v>
      </c>
      <c r="M16" s="204">
        <v>40311</v>
      </c>
      <c r="N16" s="203">
        <v>250</v>
      </c>
      <c r="O16" s="470">
        <v>30.2</v>
      </c>
      <c r="P16" s="174">
        <f>T16/U16*O16</f>
        <v>29143.885477406853</v>
      </c>
      <c r="Q16" s="174">
        <f>T16/U16*O16*42%</f>
        <v>12240.431900510877</v>
      </c>
      <c r="R16" s="174">
        <f>V16-W16</f>
        <v>16903.46</v>
      </c>
      <c r="S16" s="174">
        <v>677223.83</v>
      </c>
      <c r="T16" s="174">
        <v>4382391.1500000004</v>
      </c>
      <c r="U16" s="174">
        <f>3511.4+0+1029.8</f>
        <v>4541.2</v>
      </c>
      <c r="V16" s="471">
        <f t="shared" si="2"/>
        <v>29143.89</v>
      </c>
      <c r="W16" s="471">
        <f t="shared" si="2"/>
        <v>12240.43</v>
      </c>
      <c r="X16" s="203" t="s">
        <v>2829</v>
      </c>
      <c r="Y16" s="291" t="s">
        <v>57</v>
      </c>
      <c r="Z16" s="291">
        <v>41</v>
      </c>
      <c r="AA16" s="291"/>
      <c r="AB16" s="291"/>
      <c r="AC16" s="291"/>
      <c r="AD16" s="291"/>
      <c r="AE16" s="291"/>
    </row>
    <row r="17" spans="1:31" ht="42.75" customHeight="1" x14ac:dyDescent="0.2">
      <c r="A17" s="468">
        <v>11</v>
      </c>
      <c r="B17" s="291" t="s">
        <v>13799</v>
      </c>
      <c r="C17" s="291" t="s">
        <v>13800</v>
      </c>
      <c r="D17" s="85" t="s">
        <v>13765</v>
      </c>
      <c r="E17" s="4" t="s">
        <v>13156</v>
      </c>
      <c r="F17" s="203" t="s">
        <v>13767</v>
      </c>
      <c r="G17" s="203" t="s">
        <v>13801</v>
      </c>
      <c r="H17" s="203" t="s">
        <v>13757</v>
      </c>
      <c r="I17" s="291" t="s">
        <v>12480</v>
      </c>
      <c r="J17" s="221" t="s">
        <v>13758</v>
      </c>
      <c r="K17" s="203" t="s">
        <v>2207</v>
      </c>
      <c r="L17" s="203" t="s">
        <v>3136</v>
      </c>
      <c r="M17" s="204">
        <v>40311</v>
      </c>
      <c r="N17" s="203">
        <v>250</v>
      </c>
      <c r="O17" s="174">
        <v>31.9</v>
      </c>
      <c r="P17" s="174">
        <f t="shared" si="1"/>
        <v>24556.260937905561</v>
      </c>
      <c r="Q17" s="174">
        <f>T17/U17*O17*44%</f>
        <v>10804.754812678448</v>
      </c>
      <c r="R17" s="174">
        <f t="shared" ref="R17:R30" si="3">P17-Q17</f>
        <v>13751.506125227113</v>
      </c>
      <c r="S17" s="174">
        <v>685618.41</v>
      </c>
      <c r="T17" s="174">
        <v>3084389.54</v>
      </c>
      <c r="U17" s="174">
        <f>3051.1+97.3+858.4</f>
        <v>4006.8</v>
      </c>
      <c r="V17" s="471">
        <f t="shared" si="2"/>
        <v>24556.26</v>
      </c>
      <c r="W17" s="471">
        <f t="shared" si="2"/>
        <v>10804.75</v>
      </c>
      <c r="X17" s="203" t="s">
        <v>2829</v>
      </c>
      <c r="Y17" s="291" t="s">
        <v>57</v>
      </c>
      <c r="Z17" s="291">
        <v>41</v>
      </c>
      <c r="AA17" s="291"/>
      <c r="AB17" s="291"/>
      <c r="AC17" s="291"/>
      <c r="AD17" s="291"/>
      <c r="AE17" s="291"/>
    </row>
    <row r="18" spans="1:31" ht="42.75" customHeight="1" x14ac:dyDescent="0.2">
      <c r="A18" s="468">
        <v>12</v>
      </c>
      <c r="B18" s="291" t="s">
        <v>13802</v>
      </c>
      <c r="C18" s="291" t="s">
        <v>13803</v>
      </c>
      <c r="D18" s="85" t="s">
        <v>13765</v>
      </c>
      <c r="E18" s="4" t="s">
        <v>13804</v>
      </c>
      <c r="F18" s="203" t="s">
        <v>13767</v>
      </c>
      <c r="G18" s="203" t="s">
        <v>13805</v>
      </c>
      <c r="H18" s="203" t="s">
        <v>13757</v>
      </c>
      <c r="I18" s="291" t="s">
        <v>12480</v>
      </c>
      <c r="J18" s="221" t="s">
        <v>13758</v>
      </c>
      <c r="K18" s="203" t="s">
        <v>2207</v>
      </c>
      <c r="L18" s="203" t="s">
        <v>3136</v>
      </c>
      <c r="M18" s="204">
        <v>40311</v>
      </c>
      <c r="N18" s="203">
        <v>250</v>
      </c>
      <c r="O18" s="470">
        <v>42.8</v>
      </c>
      <c r="P18" s="174">
        <f t="shared" si="1"/>
        <v>47451.617507630806</v>
      </c>
      <c r="Q18" s="174">
        <f>T18/U18*O18*44%</f>
        <v>20878.711703357556</v>
      </c>
      <c r="R18" s="174">
        <f t="shared" si="3"/>
        <v>26572.90580427325</v>
      </c>
      <c r="S18" s="174">
        <v>933040.43</v>
      </c>
      <c r="T18" s="174">
        <v>4631133.74</v>
      </c>
      <c r="U18" s="174">
        <f>3186.45+990.7</f>
        <v>4177.1499999999996</v>
      </c>
      <c r="V18" s="471">
        <f t="shared" si="2"/>
        <v>47451.62</v>
      </c>
      <c r="W18" s="471">
        <f t="shared" si="2"/>
        <v>20878.71</v>
      </c>
      <c r="X18" s="203" t="s">
        <v>2829</v>
      </c>
      <c r="Y18" s="291" t="s">
        <v>57</v>
      </c>
      <c r="Z18" s="291">
        <v>41</v>
      </c>
      <c r="AA18" s="291"/>
      <c r="AB18" s="291"/>
      <c r="AC18" s="291"/>
      <c r="AD18" s="291"/>
      <c r="AE18" s="291"/>
    </row>
    <row r="19" spans="1:31" ht="67.5" customHeight="1" x14ac:dyDescent="0.2">
      <c r="A19" s="468">
        <v>13</v>
      </c>
      <c r="B19" s="291" t="s">
        <v>13806</v>
      </c>
      <c r="C19" s="291" t="s">
        <v>13807</v>
      </c>
      <c r="D19" s="85" t="s">
        <v>13765</v>
      </c>
      <c r="E19" s="4" t="s">
        <v>13808</v>
      </c>
      <c r="F19" s="203" t="s">
        <v>13767</v>
      </c>
      <c r="G19" s="203" t="s">
        <v>13809</v>
      </c>
      <c r="H19" s="203" t="s">
        <v>13757</v>
      </c>
      <c r="I19" s="291" t="s">
        <v>12480</v>
      </c>
      <c r="J19" s="221" t="s">
        <v>13758</v>
      </c>
      <c r="K19" s="203" t="s">
        <v>2207</v>
      </c>
      <c r="L19" s="203" t="s">
        <v>3136</v>
      </c>
      <c r="M19" s="204">
        <v>40311</v>
      </c>
      <c r="N19" s="203">
        <v>249</v>
      </c>
      <c r="O19" s="470">
        <v>43.4</v>
      </c>
      <c r="P19" s="174">
        <f t="shared" si="1"/>
        <v>45142.11220763297</v>
      </c>
      <c r="Q19" s="174">
        <f>T19/U19*O19*43%</f>
        <v>19411.108249282177</v>
      </c>
      <c r="R19" s="174">
        <f t="shared" si="3"/>
        <v>25731.003958350793</v>
      </c>
      <c r="S19" s="174">
        <v>936838.91</v>
      </c>
      <c r="T19" s="174">
        <v>4343451.3</v>
      </c>
      <c r="U19" s="174">
        <f>3214.53+0+961.3</f>
        <v>4175.83</v>
      </c>
      <c r="V19" s="471">
        <f t="shared" si="2"/>
        <v>45142.11</v>
      </c>
      <c r="W19" s="471">
        <f t="shared" si="2"/>
        <v>19411.11</v>
      </c>
      <c r="X19" s="203" t="s">
        <v>2829</v>
      </c>
      <c r="Y19" s="291" t="s">
        <v>57</v>
      </c>
      <c r="Z19" s="291">
        <v>41</v>
      </c>
      <c r="AA19" s="291"/>
      <c r="AB19" s="291"/>
      <c r="AC19" s="291"/>
      <c r="AD19" s="291"/>
      <c r="AE19" s="291"/>
    </row>
    <row r="20" spans="1:31" ht="71.25" customHeight="1" x14ac:dyDescent="0.2">
      <c r="A20" s="468">
        <v>14</v>
      </c>
      <c r="B20" s="291" t="s">
        <v>13810</v>
      </c>
      <c r="C20" s="476" t="s">
        <v>13811</v>
      </c>
      <c r="D20" s="85" t="s">
        <v>13765</v>
      </c>
      <c r="E20" s="4" t="s">
        <v>13812</v>
      </c>
      <c r="F20" s="203" t="s">
        <v>13767</v>
      </c>
      <c r="G20" s="203" t="s">
        <v>13813</v>
      </c>
      <c r="H20" s="203" t="s">
        <v>13757</v>
      </c>
      <c r="I20" s="291" t="s">
        <v>12480</v>
      </c>
      <c r="J20" s="221" t="s">
        <v>13758</v>
      </c>
      <c r="K20" s="203" t="s">
        <v>2207</v>
      </c>
      <c r="L20" s="203" t="s">
        <v>3136</v>
      </c>
      <c r="M20" s="204">
        <v>40311</v>
      </c>
      <c r="N20" s="203">
        <v>249</v>
      </c>
      <c r="O20" s="470">
        <v>44</v>
      </c>
      <c r="P20" s="174">
        <f t="shared" si="1"/>
        <v>7172.025750577367</v>
      </c>
      <c r="Q20" s="174">
        <f>T20/U20*O20*43%</f>
        <v>3083.9710727482679</v>
      </c>
      <c r="R20" s="174">
        <f t="shared" si="3"/>
        <v>4088.0546778290991</v>
      </c>
      <c r="S20" s="174">
        <v>948482.48</v>
      </c>
      <c r="T20" s="477">
        <v>621097.43000000005</v>
      </c>
      <c r="U20" s="477">
        <f>3043+166.8+989.2-388.6</f>
        <v>3810.4</v>
      </c>
      <c r="V20" s="471">
        <f t="shared" si="2"/>
        <v>7172.03</v>
      </c>
      <c r="W20" s="471">
        <f t="shared" si="2"/>
        <v>3083.97</v>
      </c>
      <c r="X20" s="203" t="s">
        <v>2829</v>
      </c>
      <c r="Y20" s="291" t="s">
        <v>57</v>
      </c>
      <c r="Z20" s="291">
        <v>41</v>
      </c>
      <c r="AA20" s="291"/>
      <c r="AB20" s="291"/>
      <c r="AC20" s="291"/>
      <c r="AD20" s="203" t="s">
        <v>13814</v>
      </c>
      <c r="AE20" s="291"/>
    </row>
    <row r="21" spans="1:31" ht="105" customHeight="1" x14ac:dyDescent="0.2">
      <c r="A21" s="478">
        <v>15</v>
      </c>
      <c r="B21" s="291" t="s">
        <v>13810</v>
      </c>
      <c r="C21" s="476" t="s">
        <v>13815</v>
      </c>
      <c r="D21" s="85" t="s">
        <v>13765</v>
      </c>
      <c r="E21" s="4" t="s">
        <v>13812</v>
      </c>
      <c r="F21" s="203" t="s">
        <v>13767</v>
      </c>
      <c r="G21" s="203" t="s">
        <v>13816</v>
      </c>
      <c r="H21" s="203" t="s">
        <v>13757</v>
      </c>
      <c r="I21" s="291" t="s">
        <v>12480</v>
      </c>
      <c r="J21" s="221" t="s">
        <v>13758</v>
      </c>
      <c r="K21" s="203" t="s">
        <v>2207</v>
      </c>
      <c r="L21" s="203" t="s">
        <v>13817</v>
      </c>
      <c r="M21" s="204" t="s">
        <v>13818</v>
      </c>
      <c r="N21" s="203" t="s">
        <v>13819</v>
      </c>
      <c r="O21" s="470">
        <v>30.1</v>
      </c>
      <c r="P21" s="174">
        <f>T21/U21*O21</f>
        <v>46946.395265054038</v>
      </c>
      <c r="Q21" s="174">
        <f>T21/U21*O21*43%</f>
        <v>20186.949963973235</v>
      </c>
      <c r="R21" s="174">
        <f t="shared" si="3"/>
        <v>26759.445301080803</v>
      </c>
      <c r="S21" s="474">
        <v>5142852.87</v>
      </c>
      <c r="T21" s="474">
        <v>606092</v>
      </c>
      <c r="U21" s="474">
        <v>388.6</v>
      </c>
      <c r="V21" s="471">
        <f t="shared" si="2"/>
        <v>46946.400000000001</v>
      </c>
      <c r="W21" s="471">
        <f t="shared" si="2"/>
        <v>20186.95</v>
      </c>
      <c r="X21" s="203" t="s">
        <v>13820</v>
      </c>
      <c r="Y21" s="204" t="s">
        <v>13821</v>
      </c>
      <c r="Z21" s="291" t="s">
        <v>13822</v>
      </c>
      <c r="AA21" s="291"/>
      <c r="AB21" s="291"/>
      <c r="AC21" s="291"/>
      <c r="AD21" s="203" t="s">
        <v>13814</v>
      </c>
      <c r="AE21" s="291"/>
    </row>
    <row r="22" spans="1:31" ht="107.25" customHeight="1" x14ac:dyDescent="0.2">
      <c r="A22" s="479"/>
      <c r="B22" s="291" t="s">
        <v>13810</v>
      </c>
      <c r="C22" s="476" t="s">
        <v>13815</v>
      </c>
      <c r="D22" s="85" t="s">
        <v>13765</v>
      </c>
      <c r="E22" s="4" t="s">
        <v>13812</v>
      </c>
      <c r="F22" s="203" t="s">
        <v>13767</v>
      </c>
      <c r="G22" s="203" t="s">
        <v>13823</v>
      </c>
      <c r="H22" s="203" t="s">
        <v>13757</v>
      </c>
      <c r="I22" s="291" t="s">
        <v>12480</v>
      </c>
      <c r="J22" s="221" t="s">
        <v>13758</v>
      </c>
      <c r="K22" s="203" t="s">
        <v>2207</v>
      </c>
      <c r="L22" s="203" t="s">
        <v>13817</v>
      </c>
      <c r="M22" s="204" t="s">
        <v>13818</v>
      </c>
      <c r="N22" s="203" t="s">
        <v>13819</v>
      </c>
      <c r="O22" s="470">
        <v>42.3</v>
      </c>
      <c r="P22" s="174">
        <f>T21/U21*O22</f>
        <v>65974.502316006168</v>
      </c>
      <c r="Q22" s="174">
        <f>T21/U21*O22*43%</f>
        <v>28369.035995882652</v>
      </c>
      <c r="R22" s="174">
        <f t="shared" si="3"/>
        <v>37605.466320123516</v>
      </c>
      <c r="S22" s="474"/>
      <c r="T22" s="474"/>
      <c r="U22" s="474"/>
      <c r="V22" s="471">
        <f t="shared" si="2"/>
        <v>65974.5</v>
      </c>
      <c r="W22" s="471">
        <f t="shared" si="2"/>
        <v>28369.040000000001</v>
      </c>
      <c r="X22" s="203" t="s">
        <v>13820</v>
      </c>
      <c r="Y22" s="204" t="s">
        <v>13821</v>
      </c>
      <c r="Z22" s="291" t="s">
        <v>13822</v>
      </c>
      <c r="AA22" s="291"/>
      <c r="AB22" s="291"/>
      <c r="AC22" s="291"/>
      <c r="AD22" s="203" t="s">
        <v>13814</v>
      </c>
      <c r="AE22" s="291"/>
    </row>
    <row r="23" spans="1:31" ht="79.5" customHeight="1" x14ac:dyDescent="0.2">
      <c r="A23" s="479"/>
      <c r="B23" s="291" t="s">
        <v>13810</v>
      </c>
      <c r="C23" s="476" t="s">
        <v>13824</v>
      </c>
      <c r="D23" s="85" t="s">
        <v>13765</v>
      </c>
      <c r="E23" s="4" t="s">
        <v>13812</v>
      </c>
      <c r="F23" s="203" t="s">
        <v>13767</v>
      </c>
      <c r="G23" s="203" t="s">
        <v>13825</v>
      </c>
      <c r="H23" s="203" t="s">
        <v>13757</v>
      </c>
      <c r="I23" s="291" t="s">
        <v>12480</v>
      </c>
      <c r="J23" s="221" t="s">
        <v>13758</v>
      </c>
      <c r="K23" s="203" t="s">
        <v>2207</v>
      </c>
      <c r="L23" s="203" t="s">
        <v>13817</v>
      </c>
      <c r="M23" s="204" t="s">
        <v>13818</v>
      </c>
      <c r="N23" s="203" t="s">
        <v>13819</v>
      </c>
      <c r="O23" s="470">
        <v>27.2</v>
      </c>
      <c r="P23" s="174">
        <f>T21/U21*O23</f>
        <v>42423.320638188365</v>
      </c>
      <c r="Q23" s="174">
        <f>T21/U21*O23*43%</f>
        <v>18242.027874420997</v>
      </c>
      <c r="R23" s="174">
        <f t="shared" si="3"/>
        <v>24181.292763767367</v>
      </c>
      <c r="S23" s="474"/>
      <c r="T23" s="474"/>
      <c r="U23" s="474"/>
      <c r="V23" s="471">
        <f t="shared" si="2"/>
        <v>42423.32</v>
      </c>
      <c r="W23" s="471">
        <f t="shared" si="2"/>
        <v>18242.03</v>
      </c>
      <c r="X23" s="203" t="s">
        <v>13820</v>
      </c>
      <c r="Y23" s="204" t="s">
        <v>13821</v>
      </c>
      <c r="Z23" s="291" t="s">
        <v>13822</v>
      </c>
      <c r="AA23" s="291"/>
      <c r="AB23" s="291"/>
      <c r="AC23" s="291"/>
      <c r="AD23" s="203" t="s">
        <v>13814</v>
      </c>
      <c r="AE23" s="291"/>
    </row>
    <row r="24" spans="1:31" ht="79.5" customHeight="1" x14ac:dyDescent="0.2">
      <c r="A24" s="479"/>
      <c r="B24" s="291" t="s">
        <v>13810</v>
      </c>
      <c r="C24" s="476" t="s">
        <v>13824</v>
      </c>
      <c r="D24" s="85" t="s">
        <v>13765</v>
      </c>
      <c r="E24" s="4" t="s">
        <v>13812</v>
      </c>
      <c r="F24" s="203" t="s">
        <v>13767</v>
      </c>
      <c r="G24" s="203" t="s">
        <v>13826</v>
      </c>
      <c r="H24" s="203" t="s">
        <v>13757</v>
      </c>
      <c r="I24" s="291" t="s">
        <v>12480</v>
      </c>
      <c r="J24" s="221" t="s">
        <v>13758</v>
      </c>
      <c r="K24" s="203" t="s">
        <v>2207</v>
      </c>
      <c r="L24" s="203" t="s">
        <v>13817</v>
      </c>
      <c r="M24" s="204" t="s">
        <v>13818</v>
      </c>
      <c r="N24" s="203" t="s">
        <v>13819</v>
      </c>
      <c r="O24" s="470">
        <v>32.6</v>
      </c>
      <c r="P24" s="174">
        <f>T21/U21*O24</f>
        <v>50845.597529593411</v>
      </c>
      <c r="Q24" s="174">
        <f>T21/U21*O24*43%</f>
        <v>21863.606937725166</v>
      </c>
      <c r="R24" s="174">
        <f t="shared" si="3"/>
        <v>28981.990591868245</v>
      </c>
      <c r="S24" s="474"/>
      <c r="T24" s="474"/>
      <c r="U24" s="474"/>
      <c r="V24" s="471">
        <f t="shared" si="2"/>
        <v>50845.599999999999</v>
      </c>
      <c r="W24" s="471">
        <f t="shared" si="2"/>
        <v>21863.61</v>
      </c>
      <c r="X24" s="203" t="s">
        <v>13820</v>
      </c>
      <c r="Y24" s="204" t="s">
        <v>13821</v>
      </c>
      <c r="Z24" s="291" t="s">
        <v>13822</v>
      </c>
      <c r="AA24" s="291"/>
      <c r="AB24" s="291"/>
      <c r="AC24" s="291"/>
      <c r="AD24" s="203" t="s">
        <v>13814</v>
      </c>
      <c r="AE24" s="291"/>
    </row>
    <row r="25" spans="1:31" ht="79.5" customHeight="1" x14ac:dyDescent="0.2">
      <c r="A25" s="479"/>
      <c r="B25" s="291" t="s">
        <v>13810</v>
      </c>
      <c r="C25" s="476" t="s">
        <v>13824</v>
      </c>
      <c r="D25" s="85" t="s">
        <v>13765</v>
      </c>
      <c r="E25" s="4" t="s">
        <v>13812</v>
      </c>
      <c r="F25" s="203" t="s">
        <v>13767</v>
      </c>
      <c r="G25" s="203" t="s">
        <v>13827</v>
      </c>
      <c r="H25" s="203" t="s">
        <v>13757</v>
      </c>
      <c r="I25" s="291" t="s">
        <v>12480</v>
      </c>
      <c r="J25" s="221" t="s">
        <v>13758</v>
      </c>
      <c r="K25" s="203" t="s">
        <v>2207</v>
      </c>
      <c r="L25" s="203" t="s">
        <v>13817</v>
      </c>
      <c r="M25" s="204" t="s">
        <v>13818</v>
      </c>
      <c r="N25" s="203" t="s">
        <v>13819</v>
      </c>
      <c r="O25" s="470">
        <v>54.8</v>
      </c>
      <c r="P25" s="174">
        <f>T21/U21*O25</f>
        <v>85470.513638703022</v>
      </c>
      <c r="Q25" s="174">
        <f>T21/U21*O25*43%</f>
        <v>36752.320864642301</v>
      </c>
      <c r="R25" s="174">
        <f t="shared" si="3"/>
        <v>48718.192774060721</v>
      </c>
      <c r="S25" s="474"/>
      <c r="T25" s="474"/>
      <c r="U25" s="474"/>
      <c r="V25" s="471">
        <f t="shared" si="2"/>
        <v>85470.51</v>
      </c>
      <c r="W25" s="471">
        <f t="shared" si="2"/>
        <v>36752.32</v>
      </c>
      <c r="X25" s="203" t="s">
        <v>13820</v>
      </c>
      <c r="Y25" s="204" t="s">
        <v>13821</v>
      </c>
      <c r="Z25" s="291" t="s">
        <v>13822</v>
      </c>
      <c r="AA25" s="291"/>
      <c r="AB25" s="291"/>
      <c r="AC25" s="291"/>
      <c r="AD25" s="203" t="s">
        <v>13814</v>
      </c>
      <c r="AE25" s="291"/>
    </row>
    <row r="26" spans="1:31" ht="79.5" customHeight="1" x14ac:dyDescent="0.2">
      <c r="A26" s="479"/>
      <c r="B26" s="291" t="s">
        <v>13810</v>
      </c>
      <c r="C26" s="476" t="s">
        <v>13824</v>
      </c>
      <c r="D26" s="85" t="s">
        <v>13765</v>
      </c>
      <c r="E26" s="4" t="s">
        <v>13812</v>
      </c>
      <c r="F26" s="203" t="s">
        <v>13767</v>
      </c>
      <c r="G26" s="203" t="s">
        <v>13828</v>
      </c>
      <c r="H26" s="203" t="s">
        <v>13757</v>
      </c>
      <c r="I26" s="291" t="s">
        <v>12480</v>
      </c>
      <c r="J26" s="221" t="s">
        <v>13758</v>
      </c>
      <c r="K26" s="203" t="s">
        <v>2207</v>
      </c>
      <c r="L26" s="203" t="s">
        <v>13817</v>
      </c>
      <c r="M26" s="204" t="s">
        <v>13818</v>
      </c>
      <c r="N26" s="203" t="s">
        <v>13819</v>
      </c>
      <c r="O26" s="470">
        <v>51.7</v>
      </c>
      <c r="P26" s="174">
        <f>T21/U21*O26</f>
        <v>80635.502830674217</v>
      </c>
      <c r="Q26" s="174">
        <f>T21/U21*O26*43%</f>
        <v>34673.266217189914</v>
      </c>
      <c r="R26" s="174">
        <f t="shared" si="3"/>
        <v>45962.236613484303</v>
      </c>
      <c r="S26" s="474"/>
      <c r="T26" s="474"/>
      <c r="U26" s="474"/>
      <c r="V26" s="471">
        <f t="shared" si="2"/>
        <v>80635.5</v>
      </c>
      <c r="W26" s="471">
        <f t="shared" si="2"/>
        <v>34673.269999999997</v>
      </c>
      <c r="X26" s="203" t="s">
        <v>13820</v>
      </c>
      <c r="Y26" s="204" t="s">
        <v>13821</v>
      </c>
      <c r="Z26" s="291" t="s">
        <v>13822</v>
      </c>
      <c r="AA26" s="291"/>
      <c r="AB26" s="291"/>
      <c r="AC26" s="291"/>
      <c r="AD26" s="203" t="s">
        <v>13814</v>
      </c>
      <c r="AE26" s="291"/>
    </row>
    <row r="27" spans="1:31" ht="79.5" customHeight="1" x14ac:dyDescent="0.2">
      <c r="A27" s="479"/>
      <c r="B27" s="291" t="s">
        <v>13810</v>
      </c>
      <c r="C27" s="476" t="s">
        <v>13815</v>
      </c>
      <c r="D27" s="85" t="s">
        <v>13765</v>
      </c>
      <c r="E27" s="4" t="s">
        <v>13812</v>
      </c>
      <c r="F27" s="203" t="s">
        <v>13767</v>
      </c>
      <c r="G27" s="203" t="s">
        <v>13829</v>
      </c>
      <c r="H27" s="203" t="s">
        <v>13757</v>
      </c>
      <c r="I27" s="291" t="s">
        <v>12480</v>
      </c>
      <c r="J27" s="221" t="s">
        <v>13758</v>
      </c>
      <c r="K27" s="203" t="s">
        <v>2207</v>
      </c>
      <c r="L27" s="203" t="s">
        <v>13817</v>
      </c>
      <c r="M27" s="204" t="s">
        <v>13818</v>
      </c>
      <c r="N27" s="203" t="s">
        <v>13819</v>
      </c>
      <c r="O27" s="470">
        <v>44</v>
      </c>
      <c r="P27" s="174">
        <f>T21/U21*O27</f>
        <v>68625.959855892943</v>
      </c>
      <c r="Q27" s="174">
        <f>T21/U21*O27*43%</f>
        <v>29509.162738033963</v>
      </c>
      <c r="R27" s="174">
        <f t="shared" si="3"/>
        <v>39116.79711785898</v>
      </c>
      <c r="S27" s="474"/>
      <c r="T27" s="474"/>
      <c r="U27" s="474"/>
      <c r="V27" s="471">
        <f t="shared" si="2"/>
        <v>68625.960000000006</v>
      </c>
      <c r="W27" s="471">
        <f t="shared" si="2"/>
        <v>29509.16</v>
      </c>
      <c r="X27" s="203" t="s">
        <v>13820</v>
      </c>
      <c r="Y27" s="204" t="s">
        <v>13821</v>
      </c>
      <c r="Z27" s="291" t="s">
        <v>13822</v>
      </c>
      <c r="AA27" s="291"/>
      <c r="AB27" s="291"/>
      <c r="AC27" s="291"/>
      <c r="AD27" s="203" t="s">
        <v>13814</v>
      </c>
      <c r="AE27" s="291"/>
    </row>
    <row r="28" spans="1:31" ht="79.5" customHeight="1" x14ac:dyDescent="0.2">
      <c r="A28" s="480"/>
      <c r="B28" s="291" t="s">
        <v>13810</v>
      </c>
      <c r="C28" s="476" t="s">
        <v>13815</v>
      </c>
      <c r="D28" s="85" t="s">
        <v>13765</v>
      </c>
      <c r="E28" s="4" t="s">
        <v>13812</v>
      </c>
      <c r="F28" s="203" t="s">
        <v>13767</v>
      </c>
      <c r="G28" s="203" t="s">
        <v>13830</v>
      </c>
      <c r="H28" s="203" t="s">
        <v>13757</v>
      </c>
      <c r="I28" s="291" t="s">
        <v>12480</v>
      </c>
      <c r="J28" s="221" t="s">
        <v>13758</v>
      </c>
      <c r="K28" s="203" t="s">
        <v>2207</v>
      </c>
      <c r="L28" s="203" t="s">
        <v>13817</v>
      </c>
      <c r="M28" s="204" t="s">
        <v>13818</v>
      </c>
      <c r="N28" s="203" t="s">
        <v>13819</v>
      </c>
      <c r="O28" s="470">
        <v>32.4</v>
      </c>
      <c r="P28" s="174">
        <f>T21/U21*O28</f>
        <v>50533.661348430258</v>
      </c>
      <c r="Q28" s="174">
        <f>T21/U21*O28*43%</f>
        <v>21729.474379825009</v>
      </c>
      <c r="R28" s="174">
        <f t="shared" si="3"/>
        <v>28804.186968605249</v>
      </c>
      <c r="S28" s="474"/>
      <c r="T28" s="474"/>
      <c r="U28" s="474"/>
      <c r="V28" s="471">
        <f t="shared" si="2"/>
        <v>50533.66</v>
      </c>
      <c r="W28" s="471">
        <f t="shared" si="2"/>
        <v>21729.47</v>
      </c>
      <c r="X28" s="203" t="s">
        <v>13831</v>
      </c>
      <c r="Y28" s="204" t="s">
        <v>13821</v>
      </c>
      <c r="Z28" s="291" t="s">
        <v>13822</v>
      </c>
      <c r="AA28" s="291"/>
      <c r="AB28" s="291"/>
      <c r="AC28" s="291"/>
      <c r="AD28" s="203" t="s">
        <v>13814</v>
      </c>
      <c r="AE28" s="291"/>
    </row>
    <row r="29" spans="1:31" ht="42.75" customHeight="1" x14ac:dyDescent="0.2">
      <c r="A29" s="468">
        <v>16</v>
      </c>
      <c r="B29" s="291" t="s">
        <v>13832</v>
      </c>
      <c r="C29" s="291" t="s">
        <v>13833</v>
      </c>
      <c r="D29" s="85" t="s">
        <v>13765</v>
      </c>
      <c r="E29" s="4" t="s">
        <v>13834</v>
      </c>
      <c r="F29" s="203" t="s">
        <v>13778</v>
      </c>
      <c r="G29" s="203" t="s">
        <v>13835</v>
      </c>
      <c r="H29" s="203" t="s">
        <v>13757</v>
      </c>
      <c r="I29" s="291" t="s">
        <v>12480</v>
      </c>
      <c r="J29" s="221" t="s">
        <v>13758</v>
      </c>
      <c r="K29" s="203" t="s">
        <v>2207</v>
      </c>
      <c r="L29" s="203" t="s">
        <v>3136</v>
      </c>
      <c r="M29" s="204">
        <v>40311</v>
      </c>
      <c r="N29" s="203">
        <v>249</v>
      </c>
      <c r="O29" s="470">
        <v>53</v>
      </c>
      <c r="P29" s="174">
        <f>T29/U29*O29</f>
        <v>130021.78160335233</v>
      </c>
      <c r="Q29" s="174">
        <f>T29/U29*O29*33%</f>
        <v>42907.187929106272</v>
      </c>
      <c r="R29" s="174">
        <f t="shared" si="3"/>
        <v>87114.593674246047</v>
      </c>
      <c r="S29" s="174">
        <v>1077819.6599999999</v>
      </c>
      <c r="T29" s="174">
        <v>14284732.640000001</v>
      </c>
      <c r="U29" s="174">
        <f>4291.3+1531.5</f>
        <v>5822.8</v>
      </c>
      <c r="V29" s="471">
        <f t="shared" si="2"/>
        <v>130021.78</v>
      </c>
      <c r="W29" s="471">
        <f t="shared" si="2"/>
        <v>42907.19</v>
      </c>
      <c r="X29" s="203" t="s">
        <v>2829</v>
      </c>
      <c r="Y29" s="472">
        <v>34187</v>
      </c>
      <c r="Z29" s="291">
        <v>41</v>
      </c>
      <c r="AA29" s="291"/>
      <c r="AB29" s="291"/>
      <c r="AC29" s="291"/>
      <c r="AD29" s="291"/>
      <c r="AE29" s="291"/>
    </row>
    <row r="30" spans="1:31" ht="42.75" customHeight="1" x14ac:dyDescent="0.2">
      <c r="A30" s="468">
        <v>17</v>
      </c>
      <c r="B30" s="291" t="s">
        <v>13836</v>
      </c>
      <c r="C30" s="291" t="s">
        <v>1029</v>
      </c>
      <c r="D30" s="85" t="s">
        <v>13765</v>
      </c>
      <c r="E30" s="4" t="s">
        <v>13837</v>
      </c>
      <c r="F30" s="203" t="s">
        <v>13778</v>
      </c>
      <c r="G30" s="203" t="s">
        <v>13838</v>
      </c>
      <c r="H30" s="203" t="s">
        <v>13757</v>
      </c>
      <c r="I30" s="291" t="s">
        <v>12480</v>
      </c>
      <c r="J30" s="221" t="s">
        <v>13758</v>
      </c>
      <c r="K30" s="203" t="s">
        <v>2207</v>
      </c>
      <c r="L30" s="203" t="s">
        <v>3136</v>
      </c>
      <c r="M30" s="204">
        <v>40311</v>
      </c>
      <c r="N30" s="203">
        <v>249</v>
      </c>
      <c r="O30" s="470">
        <v>49.4</v>
      </c>
      <c r="P30" s="174">
        <f>T30/U30*O30</f>
        <v>113757.40686793106</v>
      </c>
      <c r="Q30" s="174">
        <f>T30/U30*O30*32%</f>
        <v>36402.370197737939</v>
      </c>
      <c r="R30" s="174">
        <f t="shared" si="3"/>
        <v>77355.03667019312</v>
      </c>
      <c r="S30" s="472"/>
      <c r="T30" s="174">
        <v>13295109.08</v>
      </c>
      <c r="U30" s="174">
        <f>4240.2+1533.3</f>
        <v>5773.5</v>
      </c>
      <c r="V30" s="471">
        <f>ROUND(P30,2)</f>
        <v>113757.41</v>
      </c>
      <c r="W30" s="471">
        <f>ROUND(Q30,2)</f>
        <v>36402.370000000003</v>
      </c>
      <c r="X30" s="203" t="s">
        <v>2829</v>
      </c>
      <c r="Y30" s="291" t="s">
        <v>57</v>
      </c>
      <c r="Z30" s="291">
        <v>41</v>
      </c>
      <c r="AA30" s="291"/>
      <c r="AB30" s="291"/>
      <c r="AC30" s="291"/>
      <c r="AD30" s="291"/>
      <c r="AE30" s="291"/>
    </row>
    <row r="31" spans="1:31" ht="42.75" customHeight="1" x14ac:dyDescent="0.2">
      <c r="A31" s="468">
        <v>18</v>
      </c>
      <c r="B31" s="291" t="s">
        <v>13839</v>
      </c>
      <c r="C31" s="291" t="s">
        <v>13840</v>
      </c>
      <c r="D31" s="85" t="s">
        <v>13765</v>
      </c>
      <c r="E31" s="4" t="s">
        <v>13305</v>
      </c>
      <c r="F31" s="203" t="s">
        <v>13778</v>
      </c>
      <c r="G31" s="203" t="s">
        <v>13841</v>
      </c>
      <c r="H31" s="203" t="s">
        <v>13757</v>
      </c>
      <c r="I31" s="291" t="s">
        <v>12480</v>
      </c>
      <c r="J31" s="221" t="s">
        <v>13758</v>
      </c>
      <c r="K31" s="203" t="s">
        <v>2207</v>
      </c>
      <c r="L31" s="203" t="s">
        <v>3136</v>
      </c>
      <c r="M31" s="204">
        <v>40311</v>
      </c>
      <c r="N31" s="203">
        <v>250</v>
      </c>
      <c r="O31" s="470">
        <v>48.5</v>
      </c>
      <c r="P31" s="174">
        <f>T31/U31*O31</f>
        <v>112568.92250346862</v>
      </c>
      <c r="Q31" s="174">
        <f>T31/U31*O31*31%</f>
        <v>34896.365976075271</v>
      </c>
      <c r="R31" s="174">
        <f>V31-W31</f>
        <v>77672.549999999988</v>
      </c>
      <c r="S31" s="174">
        <v>995478.51</v>
      </c>
      <c r="T31" s="174">
        <v>13382936.23</v>
      </c>
      <c r="U31" s="174">
        <f>4232.5+0+1533.5</f>
        <v>5766</v>
      </c>
      <c r="V31" s="471">
        <f>ROUND(P31,2)</f>
        <v>112568.92</v>
      </c>
      <c r="W31" s="471">
        <f>ROUND(Q31,2)</f>
        <v>34896.370000000003</v>
      </c>
      <c r="X31" s="203" t="s">
        <v>2829</v>
      </c>
      <c r="Y31" s="291" t="s">
        <v>57</v>
      </c>
      <c r="Z31" s="291">
        <v>41</v>
      </c>
      <c r="AA31" s="291"/>
      <c r="AB31" s="291"/>
      <c r="AC31" s="291"/>
      <c r="AD31" s="291"/>
      <c r="AE31" s="291"/>
    </row>
    <row r="32" spans="1:31" ht="42.75" customHeight="1" x14ac:dyDescent="0.2">
      <c r="A32" s="468">
        <v>19</v>
      </c>
      <c r="B32" s="481" t="s">
        <v>13842</v>
      </c>
      <c r="C32" s="291" t="s">
        <v>13843</v>
      </c>
      <c r="D32" s="469" t="s">
        <v>13765</v>
      </c>
      <c r="E32" s="4" t="s">
        <v>13844</v>
      </c>
      <c r="F32" s="203" t="s">
        <v>13845</v>
      </c>
      <c r="G32" s="203" t="s">
        <v>13846</v>
      </c>
      <c r="H32" s="203" t="s">
        <v>13757</v>
      </c>
      <c r="I32" s="291" t="s">
        <v>12480</v>
      </c>
      <c r="J32" s="221" t="s">
        <v>13758</v>
      </c>
      <c r="K32" s="203" t="s">
        <v>2207</v>
      </c>
      <c r="L32" s="203" t="s">
        <v>3136</v>
      </c>
      <c r="M32" s="204">
        <v>40311</v>
      </c>
      <c r="N32" s="203">
        <v>250</v>
      </c>
      <c r="O32" s="470">
        <v>40.700000000000003</v>
      </c>
      <c r="P32" s="174">
        <f>ROUND(V32,2)</f>
        <v>85832.37</v>
      </c>
      <c r="Q32" s="174">
        <f>ROUND(W32,2)</f>
        <v>24033.06</v>
      </c>
      <c r="R32" s="174">
        <f>P32-Q32</f>
        <v>61799.31</v>
      </c>
      <c r="S32" s="174">
        <v>859635.28</v>
      </c>
      <c r="T32" s="473">
        <v>11922791.029999999</v>
      </c>
      <c r="U32" s="474">
        <f>4099.95+26+1527.6</f>
        <v>5653.5499999999993</v>
      </c>
      <c r="V32" s="471">
        <f>T32/U32*O32</f>
        <v>85832.369912886614</v>
      </c>
      <c r="W32" s="471">
        <f>T32/U32*O32*28%</f>
        <v>24033.063575608256</v>
      </c>
      <c r="X32" s="203" t="s">
        <v>2829</v>
      </c>
      <c r="Y32" s="291" t="s">
        <v>57</v>
      </c>
      <c r="Z32" s="291">
        <v>41</v>
      </c>
      <c r="AA32" s="291"/>
      <c r="AB32" s="291"/>
      <c r="AC32" s="291"/>
      <c r="AD32" s="291"/>
      <c r="AE32" s="291"/>
    </row>
    <row r="33" spans="1:31" ht="42.75" customHeight="1" x14ac:dyDescent="0.2">
      <c r="A33" s="468">
        <v>20</v>
      </c>
      <c r="B33" s="482" t="s">
        <v>13842</v>
      </c>
      <c r="C33" s="291" t="s">
        <v>13847</v>
      </c>
      <c r="D33" s="469" t="s">
        <v>13765</v>
      </c>
      <c r="E33" s="4" t="s">
        <v>13844</v>
      </c>
      <c r="F33" s="203" t="s">
        <v>13845</v>
      </c>
      <c r="G33" s="203" t="s">
        <v>13848</v>
      </c>
      <c r="H33" s="203" t="s">
        <v>13757</v>
      </c>
      <c r="I33" s="291" t="s">
        <v>12480</v>
      </c>
      <c r="J33" s="221" t="s">
        <v>13758</v>
      </c>
      <c r="K33" s="203" t="s">
        <v>2207</v>
      </c>
      <c r="L33" s="203" t="s">
        <v>3136</v>
      </c>
      <c r="M33" s="204">
        <v>40311</v>
      </c>
      <c r="N33" s="203">
        <v>250</v>
      </c>
      <c r="O33" s="470">
        <v>37.9</v>
      </c>
      <c r="P33" s="174">
        <f>ROUND(V33,2)</f>
        <v>79927.44</v>
      </c>
      <c r="Q33" s="174">
        <f>ROUND(W33,2)</f>
        <v>22379.68</v>
      </c>
      <c r="R33" s="174">
        <f>P33-Q33</f>
        <v>57547.76</v>
      </c>
      <c r="S33" s="174">
        <v>800495.75</v>
      </c>
      <c r="T33" s="473"/>
      <c r="U33" s="474"/>
      <c r="V33" s="471">
        <f>T32/U32*O33</f>
        <v>79927.440287430029</v>
      </c>
      <c r="W33" s="471">
        <f>T32/U32*O33*28%</f>
        <v>22379.683280480411</v>
      </c>
      <c r="X33" s="203" t="s">
        <v>2829</v>
      </c>
      <c r="Y33" s="291" t="s">
        <v>57</v>
      </c>
      <c r="Z33" s="291">
        <v>41</v>
      </c>
      <c r="AA33" s="291"/>
      <c r="AB33" s="291"/>
      <c r="AC33" s="291"/>
      <c r="AD33" s="291"/>
      <c r="AE33" s="291"/>
    </row>
    <row r="34" spans="1:31" ht="42.75" customHeight="1" x14ac:dyDescent="0.2">
      <c r="A34" s="468">
        <v>21</v>
      </c>
      <c r="B34" s="291" t="s">
        <v>13849</v>
      </c>
      <c r="C34" s="291" t="s">
        <v>13850</v>
      </c>
      <c r="D34" s="85" t="s">
        <v>13765</v>
      </c>
      <c r="E34" s="4" t="s">
        <v>13851</v>
      </c>
      <c r="F34" s="203" t="s">
        <v>13778</v>
      </c>
      <c r="G34" s="203" t="s">
        <v>13852</v>
      </c>
      <c r="H34" s="203" t="s">
        <v>13757</v>
      </c>
      <c r="I34" s="291" t="s">
        <v>12480</v>
      </c>
      <c r="J34" s="221" t="s">
        <v>13758</v>
      </c>
      <c r="K34" s="203" t="s">
        <v>2207</v>
      </c>
      <c r="L34" s="203" t="s">
        <v>3136</v>
      </c>
      <c r="M34" s="204">
        <v>40311</v>
      </c>
      <c r="N34" s="203">
        <v>250</v>
      </c>
      <c r="O34" s="470">
        <v>80.400000000000006</v>
      </c>
      <c r="P34" s="174">
        <f t="shared" ref="P34:P39" si="4">T34/U34*O34</f>
        <v>209424.57016742456</v>
      </c>
      <c r="Q34" s="174">
        <f>T34/U34*O34*30%</f>
        <v>62827.371050227368</v>
      </c>
      <c r="R34" s="174">
        <f t="shared" ref="R34:R40" si="5">V34-W34</f>
        <v>146597.20000000001</v>
      </c>
      <c r="S34" s="174">
        <v>1585270.12</v>
      </c>
      <c r="T34" s="174">
        <v>15122329.41</v>
      </c>
      <c r="U34" s="174">
        <f>4274.1+0+1531.5</f>
        <v>5805.6</v>
      </c>
      <c r="V34" s="471">
        <f t="shared" ref="V34:W40" si="6">ROUND(P34,2)</f>
        <v>209424.57</v>
      </c>
      <c r="W34" s="471">
        <f t="shared" si="6"/>
        <v>62827.37</v>
      </c>
      <c r="X34" s="203" t="s">
        <v>2829</v>
      </c>
      <c r="Y34" s="291" t="s">
        <v>57</v>
      </c>
      <c r="Z34" s="291">
        <v>41</v>
      </c>
      <c r="AA34" s="291"/>
      <c r="AB34" s="291"/>
      <c r="AC34" s="291"/>
      <c r="AD34" s="291"/>
      <c r="AE34" s="291"/>
    </row>
    <row r="35" spans="1:31" ht="52.5" customHeight="1" x14ac:dyDescent="0.2">
      <c r="A35" s="468">
        <v>22</v>
      </c>
      <c r="B35" s="291" t="s">
        <v>13853</v>
      </c>
      <c r="C35" s="291" t="s">
        <v>13854</v>
      </c>
      <c r="D35" s="85" t="s">
        <v>13765</v>
      </c>
      <c r="E35" s="4" t="s">
        <v>13855</v>
      </c>
      <c r="F35" s="203" t="s">
        <v>13856</v>
      </c>
      <c r="G35" s="203" t="s">
        <v>13857</v>
      </c>
      <c r="H35" s="203" t="s">
        <v>13757</v>
      </c>
      <c r="I35" s="291" t="s">
        <v>12480</v>
      </c>
      <c r="J35" s="221" t="s">
        <v>13758</v>
      </c>
      <c r="K35" s="203" t="s">
        <v>2207</v>
      </c>
      <c r="L35" s="203" t="s">
        <v>3136</v>
      </c>
      <c r="M35" s="204">
        <v>40311</v>
      </c>
      <c r="N35" s="203">
        <v>250</v>
      </c>
      <c r="O35" s="470">
        <v>32.200000000000003</v>
      </c>
      <c r="P35" s="174">
        <f>T35/U35*O35</f>
        <v>13212.263393842097</v>
      </c>
      <c r="Q35" s="174">
        <f>T35/U35*O35*44%</f>
        <v>5813.3958932905225</v>
      </c>
      <c r="R35" s="174">
        <f t="shared" si="5"/>
        <v>7398.8600000000006</v>
      </c>
      <c r="S35" s="174">
        <v>644425.05000000005</v>
      </c>
      <c r="T35" s="174">
        <v>874089.7</v>
      </c>
      <c r="U35" s="174">
        <f>1485.07+0+645.2</f>
        <v>2130.27</v>
      </c>
      <c r="V35" s="471">
        <f t="shared" si="6"/>
        <v>13212.26</v>
      </c>
      <c r="W35" s="471">
        <f t="shared" si="6"/>
        <v>5813.4</v>
      </c>
      <c r="X35" s="203" t="s">
        <v>2829</v>
      </c>
      <c r="Y35" s="291" t="s">
        <v>57</v>
      </c>
      <c r="Z35" s="291">
        <v>41</v>
      </c>
      <c r="AA35" s="221">
        <f>U35/2130.27*O35*44%</f>
        <v>14.168000000000001</v>
      </c>
      <c r="AB35" s="291"/>
      <c r="AC35" s="291"/>
      <c r="AD35" s="291"/>
      <c r="AE35" s="291"/>
    </row>
    <row r="36" spans="1:31" ht="54" customHeight="1" x14ac:dyDescent="0.2">
      <c r="A36" s="468">
        <v>23</v>
      </c>
      <c r="B36" s="291" t="s">
        <v>13858</v>
      </c>
      <c r="C36" s="291" t="s">
        <v>13859</v>
      </c>
      <c r="D36" s="85" t="s">
        <v>13765</v>
      </c>
      <c r="E36" s="4" t="s">
        <v>13860</v>
      </c>
      <c r="F36" s="203" t="s">
        <v>13793</v>
      </c>
      <c r="G36" s="203" t="s">
        <v>13861</v>
      </c>
      <c r="H36" s="203" t="s">
        <v>13757</v>
      </c>
      <c r="I36" s="291" t="s">
        <v>12480</v>
      </c>
      <c r="J36" s="221" t="s">
        <v>13758</v>
      </c>
      <c r="K36" s="203" t="s">
        <v>2207</v>
      </c>
      <c r="L36" s="203" t="s">
        <v>3136</v>
      </c>
      <c r="M36" s="204">
        <v>40311</v>
      </c>
      <c r="N36" s="203">
        <v>250</v>
      </c>
      <c r="O36" s="174">
        <v>42.9</v>
      </c>
      <c r="P36" s="174">
        <f t="shared" si="4"/>
        <v>24747.12005580511</v>
      </c>
      <c r="Q36" s="174">
        <f>T36/U36*O36*44%</f>
        <v>10888.732824554249</v>
      </c>
      <c r="R36" s="174">
        <f t="shared" si="5"/>
        <v>13858.39</v>
      </c>
      <c r="S36" s="174">
        <v>808391.73</v>
      </c>
      <c r="T36" s="174">
        <v>1966092.35</v>
      </c>
      <c r="U36" s="174">
        <f>2400.69+117+890.6</f>
        <v>3408.29</v>
      </c>
      <c r="V36" s="471">
        <f t="shared" si="6"/>
        <v>24747.119999999999</v>
      </c>
      <c r="W36" s="471">
        <f t="shared" si="6"/>
        <v>10888.73</v>
      </c>
      <c r="X36" s="203" t="s">
        <v>2829</v>
      </c>
      <c r="Y36" s="291" t="s">
        <v>57</v>
      </c>
      <c r="Z36" s="291">
        <v>41</v>
      </c>
      <c r="AA36" s="291"/>
      <c r="AB36" s="291"/>
      <c r="AC36" s="291"/>
      <c r="AD36" s="291"/>
      <c r="AE36" s="291"/>
    </row>
    <row r="37" spans="1:31" ht="57.75" customHeight="1" x14ac:dyDescent="0.2">
      <c r="A37" s="468">
        <v>24</v>
      </c>
      <c r="B37" s="291" t="s">
        <v>13862</v>
      </c>
      <c r="C37" s="291" t="s">
        <v>1029</v>
      </c>
      <c r="D37" s="85" t="s">
        <v>13765</v>
      </c>
      <c r="E37" s="4" t="s">
        <v>13863</v>
      </c>
      <c r="F37" s="203" t="s">
        <v>13778</v>
      </c>
      <c r="G37" s="203" t="s">
        <v>13864</v>
      </c>
      <c r="H37" s="203" t="s">
        <v>13757</v>
      </c>
      <c r="I37" s="291" t="s">
        <v>12480</v>
      </c>
      <c r="J37" s="221" t="s">
        <v>13758</v>
      </c>
      <c r="K37" s="203" t="s">
        <v>2207</v>
      </c>
      <c r="L37" s="203" t="s">
        <v>3136</v>
      </c>
      <c r="M37" s="204">
        <v>40311</v>
      </c>
      <c r="N37" s="203">
        <v>250</v>
      </c>
      <c r="O37" s="470">
        <v>44.1</v>
      </c>
      <c r="P37" s="174">
        <f t="shared" si="4"/>
        <v>21919.998823537248</v>
      </c>
      <c r="Q37" s="174">
        <f>T37/U37*O37*42%</f>
        <v>9206.3995058856435</v>
      </c>
      <c r="R37" s="174">
        <f t="shared" si="5"/>
        <v>12713.6</v>
      </c>
      <c r="S37" s="472"/>
      <c r="T37" s="174">
        <v>3731072.09</v>
      </c>
      <c r="U37" s="174">
        <f>5713.9+0+1792.5</f>
        <v>7506.4</v>
      </c>
      <c r="V37" s="471">
        <f t="shared" si="6"/>
        <v>21920</v>
      </c>
      <c r="W37" s="471">
        <f t="shared" si="6"/>
        <v>9206.4</v>
      </c>
      <c r="X37" s="203" t="s">
        <v>2829</v>
      </c>
      <c r="Y37" s="291" t="s">
        <v>57</v>
      </c>
      <c r="Z37" s="291">
        <v>41</v>
      </c>
      <c r="AA37" s="291"/>
      <c r="AB37" s="291"/>
      <c r="AC37" s="291"/>
      <c r="AD37" s="291"/>
      <c r="AE37" s="291"/>
    </row>
    <row r="38" spans="1:31" ht="77.25" customHeight="1" x14ac:dyDescent="0.2">
      <c r="A38" s="468">
        <v>25</v>
      </c>
      <c r="B38" s="291" t="s">
        <v>13865</v>
      </c>
      <c r="C38" s="291" t="s">
        <v>13866</v>
      </c>
      <c r="D38" s="85" t="s">
        <v>13765</v>
      </c>
      <c r="E38" s="4" t="s">
        <v>13867</v>
      </c>
      <c r="F38" s="203" t="s">
        <v>13767</v>
      </c>
      <c r="G38" s="203" t="s">
        <v>13868</v>
      </c>
      <c r="H38" s="203" t="s">
        <v>13757</v>
      </c>
      <c r="I38" s="291" t="s">
        <v>12480</v>
      </c>
      <c r="J38" s="221" t="s">
        <v>13758</v>
      </c>
      <c r="K38" s="203" t="s">
        <v>2207</v>
      </c>
      <c r="L38" s="203" t="s">
        <v>3136</v>
      </c>
      <c r="M38" s="204">
        <v>40311</v>
      </c>
      <c r="N38" s="203">
        <v>249</v>
      </c>
      <c r="O38" s="470">
        <v>39.5</v>
      </c>
      <c r="P38" s="174">
        <f t="shared" si="4"/>
        <v>17524.764124014935</v>
      </c>
      <c r="Q38" s="174">
        <f>T38/U38*O38*42%</f>
        <v>7360.4009320862724</v>
      </c>
      <c r="R38" s="174">
        <f t="shared" si="5"/>
        <v>10164.359999999999</v>
      </c>
      <c r="S38" s="174">
        <v>804868.2</v>
      </c>
      <c r="T38" s="174">
        <v>2696728.45</v>
      </c>
      <c r="U38" s="174">
        <f>4345.6+308.8+1423.9</f>
        <v>6078.3000000000011</v>
      </c>
      <c r="V38" s="471">
        <f t="shared" si="6"/>
        <v>17524.759999999998</v>
      </c>
      <c r="W38" s="471">
        <f t="shared" si="6"/>
        <v>7360.4</v>
      </c>
      <c r="X38" s="203" t="s">
        <v>2829</v>
      </c>
      <c r="Y38" s="291" t="s">
        <v>57</v>
      </c>
      <c r="Z38" s="291">
        <v>41</v>
      </c>
      <c r="AA38" s="291"/>
      <c r="AB38" s="291"/>
      <c r="AC38" s="291"/>
      <c r="AD38" s="291"/>
      <c r="AE38" s="291"/>
    </row>
    <row r="39" spans="1:31" ht="54" customHeight="1" x14ac:dyDescent="0.2">
      <c r="A39" s="468">
        <v>26</v>
      </c>
      <c r="B39" s="291" t="s">
        <v>13869</v>
      </c>
      <c r="C39" s="291" t="s">
        <v>13870</v>
      </c>
      <c r="D39" s="85" t="s">
        <v>13765</v>
      </c>
      <c r="E39" s="4" t="s">
        <v>13871</v>
      </c>
      <c r="F39" s="203" t="s">
        <v>13767</v>
      </c>
      <c r="G39" s="203" t="s">
        <v>13872</v>
      </c>
      <c r="H39" s="203" t="s">
        <v>13757</v>
      </c>
      <c r="I39" s="291" t="s">
        <v>12480</v>
      </c>
      <c r="J39" s="221" t="s">
        <v>13758</v>
      </c>
      <c r="K39" s="203" t="s">
        <v>2207</v>
      </c>
      <c r="L39" s="203" t="s">
        <v>3136</v>
      </c>
      <c r="M39" s="204">
        <v>40311</v>
      </c>
      <c r="N39" s="203">
        <v>249</v>
      </c>
      <c r="O39" s="174">
        <v>43.6</v>
      </c>
      <c r="P39" s="174">
        <f t="shared" si="4"/>
        <v>30458.368813920941</v>
      </c>
      <c r="Q39" s="174">
        <f>T39/U39*O39*43%</f>
        <v>13097.098589986004</v>
      </c>
      <c r="R39" s="174">
        <f t="shared" si="5"/>
        <v>17361.269999999997</v>
      </c>
      <c r="S39" s="174">
        <v>921676.97</v>
      </c>
      <c r="T39" s="174">
        <v>2855178.67</v>
      </c>
      <c r="U39" s="174">
        <f>3187.08+0+900</f>
        <v>4087.08</v>
      </c>
      <c r="V39" s="471">
        <f t="shared" si="6"/>
        <v>30458.37</v>
      </c>
      <c r="W39" s="471">
        <f t="shared" si="6"/>
        <v>13097.1</v>
      </c>
      <c r="X39" s="203" t="s">
        <v>2829</v>
      </c>
      <c r="Y39" s="291" t="s">
        <v>57</v>
      </c>
      <c r="Z39" s="291">
        <v>41</v>
      </c>
      <c r="AA39" s="291"/>
      <c r="AB39" s="291"/>
      <c r="AC39" s="291"/>
      <c r="AD39" s="291"/>
      <c r="AE39" s="291"/>
    </row>
    <row r="40" spans="1:31" ht="48" customHeight="1" x14ac:dyDescent="0.2">
      <c r="A40" s="468">
        <v>27</v>
      </c>
      <c r="B40" s="291" t="s">
        <v>13873</v>
      </c>
      <c r="C40" s="291" t="s">
        <v>13874</v>
      </c>
      <c r="D40" s="85" t="s">
        <v>13765</v>
      </c>
      <c r="E40" s="4" t="s">
        <v>13875</v>
      </c>
      <c r="F40" s="203" t="s">
        <v>13876</v>
      </c>
      <c r="G40" s="203" t="s">
        <v>13877</v>
      </c>
      <c r="H40" s="203" t="s">
        <v>13878</v>
      </c>
      <c r="I40" s="291" t="s">
        <v>12480</v>
      </c>
      <c r="J40" s="221" t="s">
        <v>13758</v>
      </c>
      <c r="K40" s="203" t="s">
        <v>2207</v>
      </c>
      <c r="L40" s="203" t="s">
        <v>3136</v>
      </c>
      <c r="M40" s="204">
        <v>40311</v>
      </c>
      <c r="N40" s="203">
        <v>249</v>
      </c>
      <c r="O40" s="470">
        <v>43.9</v>
      </c>
      <c r="P40" s="174">
        <f>T40/U40*O40</f>
        <v>59396.195290497293</v>
      </c>
      <c r="Q40" s="174">
        <f>T40/U40*O40*46%</f>
        <v>27322.249833628757</v>
      </c>
      <c r="R40" s="174">
        <f t="shared" si="5"/>
        <v>32073.949999999997</v>
      </c>
      <c r="S40" s="174">
        <v>689815.19</v>
      </c>
      <c r="T40" s="174">
        <v>549583.93000000005</v>
      </c>
      <c r="U40" s="174">
        <f>368.5+37.7</f>
        <v>406.2</v>
      </c>
      <c r="V40" s="471">
        <f t="shared" si="6"/>
        <v>59396.2</v>
      </c>
      <c r="W40" s="471">
        <f t="shared" si="6"/>
        <v>27322.25</v>
      </c>
      <c r="X40" s="203" t="s">
        <v>2829</v>
      </c>
      <c r="Y40" s="291" t="s">
        <v>57</v>
      </c>
      <c r="Z40" s="291">
        <v>41</v>
      </c>
      <c r="AA40" s="203" t="s">
        <v>13879</v>
      </c>
      <c r="AB40" s="472">
        <v>39153</v>
      </c>
      <c r="AC40" s="291">
        <v>160</v>
      </c>
      <c r="AD40" s="291"/>
      <c r="AE40" s="291"/>
    </row>
    <row r="41" spans="1:31" ht="94.5" customHeight="1" x14ac:dyDescent="0.2">
      <c r="A41" s="468">
        <v>28</v>
      </c>
      <c r="B41" s="291" t="s">
        <v>13880</v>
      </c>
      <c r="C41" s="291" t="s">
        <v>1029</v>
      </c>
      <c r="D41" s="85" t="s">
        <v>13765</v>
      </c>
      <c r="E41" s="4" t="s">
        <v>13156</v>
      </c>
      <c r="F41" s="203" t="s">
        <v>13881</v>
      </c>
      <c r="G41" s="203" t="s">
        <v>13882</v>
      </c>
      <c r="H41" s="203" t="s">
        <v>13757</v>
      </c>
      <c r="I41" s="291" t="s">
        <v>12480</v>
      </c>
      <c r="J41" s="221" t="s">
        <v>13758</v>
      </c>
      <c r="K41" s="203" t="s">
        <v>2207</v>
      </c>
      <c r="L41" s="203" t="s">
        <v>3136</v>
      </c>
      <c r="M41" s="204">
        <v>40311</v>
      </c>
      <c r="N41" s="203">
        <v>250</v>
      </c>
      <c r="O41" s="483">
        <f>145.6-13</f>
        <v>132.6</v>
      </c>
      <c r="P41" s="371">
        <f>ROUND(V41,2)</f>
        <v>162920.71</v>
      </c>
      <c r="Q41" s="174">
        <f>ROUND(W41,2)</f>
        <v>71685.11</v>
      </c>
      <c r="R41" s="174">
        <f>P41-Q41</f>
        <v>91235.599999999991</v>
      </c>
      <c r="S41" s="174"/>
      <c r="T41" s="474">
        <v>4496169.1399999997</v>
      </c>
      <c r="U41" s="474">
        <f>2537.5+51.9+1070</f>
        <v>3659.4</v>
      </c>
      <c r="V41" s="471">
        <f>T41/U41*O41</f>
        <v>162920.70502377435</v>
      </c>
      <c r="W41" s="471">
        <f>T41/U41*O41*44%</f>
        <v>71685.110210460713</v>
      </c>
      <c r="X41" s="203" t="s">
        <v>13883</v>
      </c>
      <c r="Y41" s="291" t="s">
        <v>13884</v>
      </c>
      <c r="Z41" s="291">
        <v>170</v>
      </c>
      <c r="AA41" s="291"/>
      <c r="AB41" s="291"/>
      <c r="AC41" s="291"/>
      <c r="AD41" s="291"/>
      <c r="AE41" s="291"/>
    </row>
    <row r="42" spans="1:31" ht="93.75" customHeight="1" x14ac:dyDescent="0.2">
      <c r="A42" s="468">
        <v>29</v>
      </c>
      <c r="B42" s="291" t="s">
        <v>13880</v>
      </c>
      <c r="C42" s="291" t="s">
        <v>13885</v>
      </c>
      <c r="D42" s="85" t="s">
        <v>13886</v>
      </c>
      <c r="E42" s="4" t="s">
        <v>13156</v>
      </c>
      <c r="F42" s="203" t="s">
        <v>13887</v>
      </c>
      <c r="G42" s="203" t="s">
        <v>13888</v>
      </c>
      <c r="H42" s="203" t="s">
        <v>13757</v>
      </c>
      <c r="I42" s="291" t="s">
        <v>12480</v>
      </c>
      <c r="J42" s="221" t="s">
        <v>13758</v>
      </c>
      <c r="K42" s="203" t="s">
        <v>2207</v>
      </c>
      <c r="L42" s="203" t="s">
        <v>3136</v>
      </c>
      <c r="M42" s="204">
        <v>40311</v>
      </c>
      <c r="N42" s="203">
        <v>250</v>
      </c>
      <c r="O42" s="483">
        <v>13.1</v>
      </c>
      <c r="P42" s="371">
        <f t="shared" ref="P42:Q64" si="7">ROUND(V42,2)</f>
        <v>16095.48</v>
      </c>
      <c r="Q42" s="174">
        <f t="shared" si="7"/>
        <v>7082.01</v>
      </c>
      <c r="R42" s="174">
        <f t="shared" ref="R42:R81" si="8">P42-Q42</f>
        <v>9013.4699999999993</v>
      </c>
      <c r="S42" s="174">
        <v>338168.25</v>
      </c>
      <c r="T42" s="474"/>
      <c r="U42" s="474"/>
      <c r="V42" s="471">
        <f>T41/U41*O42</f>
        <v>16095.48443296715</v>
      </c>
      <c r="W42" s="471">
        <f>T41/U41*O42*44%</f>
        <v>7082.013150505546</v>
      </c>
      <c r="X42" s="203" t="s">
        <v>13883</v>
      </c>
      <c r="Y42" s="291" t="s">
        <v>13884</v>
      </c>
      <c r="Z42" s="291">
        <v>170</v>
      </c>
      <c r="AA42" s="291"/>
      <c r="AB42" s="291"/>
      <c r="AC42" s="291"/>
      <c r="AD42" s="291"/>
      <c r="AE42" s="291"/>
    </row>
    <row r="43" spans="1:31" ht="93.75" customHeight="1" x14ac:dyDescent="0.2">
      <c r="A43" s="468">
        <v>30</v>
      </c>
      <c r="B43" s="291" t="s">
        <v>13880</v>
      </c>
      <c r="C43" s="291" t="s">
        <v>13889</v>
      </c>
      <c r="D43" s="85" t="s">
        <v>13886</v>
      </c>
      <c r="E43" s="4" t="s">
        <v>13156</v>
      </c>
      <c r="F43" s="203" t="s">
        <v>13887</v>
      </c>
      <c r="G43" s="203" t="s">
        <v>13890</v>
      </c>
      <c r="H43" s="203" t="s">
        <v>13757</v>
      </c>
      <c r="I43" s="291" t="s">
        <v>12480</v>
      </c>
      <c r="J43" s="221" t="s">
        <v>13758</v>
      </c>
      <c r="K43" s="203" t="s">
        <v>2207</v>
      </c>
      <c r="L43" s="203" t="s">
        <v>3136</v>
      </c>
      <c r="M43" s="204">
        <v>40311</v>
      </c>
      <c r="N43" s="203">
        <v>250</v>
      </c>
      <c r="O43" s="483">
        <v>27.7</v>
      </c>
      <c r="P43" s="371">
        <f t="shared" si="7"/>
        <v>34033.96</v>
      </c>
      <c r="Q43" s="174">
        <f t="shared" si="7"/>
        <v>14974.94</v>
      </c>
      <c r="R43" s="174">
        <f t="shared" si="8"/>
        <v>19059.019999999997</v>
      </c>
      <c r="S43" s="174">
        <v>715058.05</v>
      </c>
      <c r="T43" s="474"/>
      <c r="U43" s="474"/>
      <c r="V43" s="471">
        <f>T41/U41*O43</f>
        <v>34033.96326665573</v>
      </c>
      <c r="W43" s="471">
        <f>T41/U41*O43*44%</f>
        <v>14974.943837328521</v>
      </c>
      <c r="X43" s="203" t="s">
        <v>13883</v>
      </c>
      <c r="Y43" s="291" t="s">
        <v>13884</v>
      </c>
      <c r="Z43" s="291">
        <v>170</v>
      </c>
      <c r="AA43" s="291"/>
      <c r="AB43" s="291"/>
      <c r="AC43" s="291"/>
      <c r="AD43" s="291"/>
      <c r="AE43" s="291"/>
    </row>
    <row r="44" spans="1:31" ht="93.75" customHeight="1" x14ac:dyDescent="0.2">
      <c r="A44" s="468">
        <v>31</v>
      </c>
      <c r="B44" s="291" t="s">
        <v>13880</v>
      </c>
      <c r="C44" s="291" t="s">
        <v>13891</v>
      </c>
      <c r="D44" s="85" t="s">
        <v>13886</v>
      </c>
      <c r="E44" s="4" t="s">
        <v>13156</v>
      </c>
      <c r="F44" s="203" t="s">
        <v>13887</v>
      </c>
      <c r="G44" s="203" t="s">
        <v>13892</v>
      </c>
      <c r="H44" s="203" t="s">
        <v>13757</v>
      </c>
      <c r="I44" s="291" t="s">
        <v>12480</v>
      </c>
      <c r="J44" s="221" t="s">
        <v>13758</v>
      </c>
      <c r="K44" s="203" t="s">
        <v>2207</v>
      </c>
      <c r="L44" s="203" t="s">
        <v>3136</v>
      </c>
      <c r="M44" s="204">
        <v>40311</v>
      </c>
      <c r="N44" s="203">
        <v>250</v>
      </c>
      <c r="O44" s="483">
        <v>13.5</v>
      </c>
      <c r="P44" s="371">
        <f t="shared" si="7"/>
        <v>16586.95</v>
      </c>
      <c r="Q44" s="174">
        <f t="shared" si="7"/>
        <v>7298.26</v>
      </c>
      <c r="R44" s="174">
        <f t="shared" si="8"/>
        <v>9288.69</v>
      </c>
      <c r="S44" s="174">
        <v>348494</v>
      </c>
      <c r="T44" s="474"/>
      <c r="U44" s="474"/>
      <c r="V44" s="471">
        <f>T41/U41*O44</f>
        <v>16586.949606492864</v>
      </c>
      <c r="W44" s="471">
        <f>T41/U41*O44*44%</f>
        <v>7298.2578268568604</v>
      </c>
      <c r="X44" s="203" t="s">
        <v>13883</v>
      </c>
      <c r="Y44" s="291" t="s">
        <v>13884</v>
      </c>
      <c r="Z44" s="291">
        <v>170</v>
      </c>
      <c r="AA44" s="291"/>
      <c r="AB44" s="291"/>
      <c r="AC44" s="291"/>
      <c r="AD44" s="291"/>
      <c r="AE44" s="291"/>
    </row>
    <row r="45" spans="1:31" ht="93.75" customHeight="1" x14ac:dyDescent="0.2">
      <c r="A45" s="468">
        <v>32</v>
      </c>
      <c r="B45" s="291" t="s">
        <v>13880</v>
      </c>
      <c r="C45" s="291" t="s">
        <v>13893</v>
      </c>
      <c r="D45" s="85" t="s">
        <v>13886</v>
      </c>
      <c r="E45" s="4" t="s">
        <v>13156</v>
      </c>
      <c r="F45" s="203" t="s">
        <v>13887</v>
      </c>
      <c r="G45" s="203" t="s">
        <v>13894</v>
      </c>
      <c r="H45" s="203" t="s">
        <v>13757</v>
      </c>
      <c r="I45" s="291" t="s">
        <v>12480</v>
      </c>
      <c r="J45" s="221" t="s">
        <v>13758</v>
      </c>
      <c r="K45" s="203" t="s">
        <v>2207</v>
      </c>
      <c r="L45" s="203" t="s">
        <v>3136</v>
      </c>
      <c r="M45" s="204">
        <v>40311</v>
      </c>
      <c r="N45" s="203">
        <v>250</v>
      </c>
      <c r="O45" s="483">
        <v>13.1</v>
      </c>
      <c r="P45" s="371">
        <f t="shared" si="7"/>
        <v>16095.48</v>
      </c>
      <c r="Q45" s="174">
        <f t="shared" si="7"/>
        <v>7082.01</v>
      </c>
      <c r="R45" s="174">
        <f t="shared" si="8"/>
        <v>9013.4699999999993</v>
      </c>
      <c r="S45" s="174">
        <v>338168.25</v>
      </c>
      <c r="T45" s="474"/>
      <c r="U45" s="474"/>
      <c r="V45" s="471">
        <f>T41/U41*O45</f>
        <v>16095.48443296715</v>
      </c>
      <c r="W45" s="471">
        <f>T41/U41*O45*44%</f>
        <v>7082.013150505546</v>
      </c>
      <c r="X45" s="203" t="s">
        <v>13883</v>
      </c>
      <c r="Y45" s="291" t="s">
        <v>13884</v>
      </c>
      <c r="Z45" s="291">
        <v>170</v>
      </c>
      <c r="AA45" s="291"/>
      <c r="AB45" s="291"/>
      <c r="AC45" s="291"/>
      <c r="AD45" s="291"/>
      <c r="AE45" s="291"/>
    </row>
    <row r="46" spans="1:31" ht="93.75" customHeight="1" x14ac:dyDescent="0.2">
      <c r="A46" s="468">
        <v>33</v>
      </c>
      <c r="B46" s="291" t="s">
        <v>13880</v>
      </c>
      <c r="C46" s="291" t="s">
        <v>13895</v>
      </c>
      <c r="D46" s="85" t="s">
        <v>13886</v>
      </c>
      <c r="E46" s="4" t="s">
        <v>13156</v>
      </c>
      <c r="F46" s="203" t="s">
        <v>13887</v>
      </c>
      <c r="G46" s="203" t="s">
        <v>13896</v>
      </c>
      <c r="H46" s="203" t="s">
        <v>13757</v>
      </c>
      <c r="I46" s="291" t="s">
        <v>12480</v>
      </c>
      <c r="J46" s="221" t="s">
        <v>13758</v>
      </c>
      <c r="K46" s="203" t="s">
        <v>2207</v>
      </c>
      <c r="L46" s="203" t="s">
        <v>3136</v>
      </c>
      <c r="M46" s="204">
        <v>40311</v>
      </c>
      <c r="N46" s="203">
        <v>250</v>
      </c>
      <c r="O46" s="483">
        <v>19.399999999999999</v>
      </c>
      <c r="P46" s="371">
        <f t="shared" si="7"/>
        <v>23836.06</v>
      </c>
      <c r="Q46" s="174">
        <f t="shared" si="7"/>
        <v>10487.87</v>
      </c>
      <c r="R46" s="174">
        <f t="shared" si="8"/>
        <v>13348.19</v>
      </c>
      <c r="S46" s="174">
        <v>500798.78</v>
      </c>
      <c r="T46" s="474"/>
      <c r="U46" s="474"/>
      <c r="V46" s="471">
        <f>T41/U41*O46</f>
        <v>23836.060915997154</v>
      </c>
      <c r="W46" s="471">
        <f>T41/U41*O46*44%</f>
        <v>10487.866803038747</v>
      </c>
      <c r="X46" s="203" t="s">
        <v>13883</v>
      </c>
      <c r="Y46" s="291" t="s">
        <v>13884</v>
      </c>
      <c r="Z46" s="291">
        <v>170</v>
      </c>
      <c r="AA46" s="291"/>
      <c r="AB46" s="291"/>
      <c r="AC46" s="291"/>
      <c r="AD46" s="291"/>
      <c r="AE46" s="291"/>
    </row>
    <row r="47" spans="1:31" ht="93.75" customHeight="1" x14ac:dyDescent="0.2">
      <c r="A47" s="468">
        <v>34</v>
      </c>
      <c r="B47" s="291" t="s">
        <v>13880</v>
      </c>
      <c r="C47" s="291" t="s">
        <v>13897</v>
      </c>
      <c r="D47" s="85" t="s">
        <v>13886</v>
      </c>
      <c r="E47" s="4" t="s">
        <v>13156</v>
      </c>
      <c r="F47" s="203" t="s">
        <v>13887</v>
      </c>
      <c r="G47" s="203" t="s">
        <v>13898</v>
      </c>
      <c r="H47" s="203" t="s">
        <v>13757</v>
      </c>
      <c r="I47" s="291" t="s">
        <v>12480</v>
      </c>
      <c r="J47" s="221" t="s">
        <v>13758</v>
      </c>
      <c r="K47" s="203" t="s">
        <v>2207</v>
      </c>
      <c r="L47" s="203" t="s">
        <v>3136</v>
      </c>
      <c r="M47" s="204">
        <v>40311</v>
      </c>
      <c r="N47" s="203">
        <v>250</v>
      </c>
      <c r="O47" s="483">
        <v>13.1</v>
      </c>
      <c r="P47" s="371">
        <f t="shared" si="7"/>
        <v>16095.48</v>
      </c>
      <c r="Q47" s="174">
        <f t="shared" si="7"/>
        <v>7082.01</v>
      </c>
      <c r="R47" s="174">
        <f t="shared" si="8"/>
        <v>9013.4699999999993</v>
      </c>
      <c r="S47" s="174">
        <v>338168.25</v>
      </c>
      <c r="T47" s="474"/>
      <c r="U47" s="474"/>
      <c r="V47" s="471">
        <f>T41/U41*O47</f>
        <v>16095.48443296715</v>
      </c>
      <c r="W47" s="471">
        <f>T41/U41*O47*44%</f>
        <v>7082.013150505546</v>
      </c>
      <c r="X47" s="203" t="s">
        <v>13883</v>
      </c>
      <c r="Y47" s="291" t="s">
        <v>13884</v>
      </c>
      <c r="Z47" s="291">
        <v>170</v>
      </c>
      <c r="AA47" s="291"/>
      <c r="AB47" s="291"/>
      <c r="AC47" s="291"/>
      <c r="AD47" s="291"/>
      <c r="AE47" s="291"/>
    </row>
    <row r="48" spans="1:31" ht="93.75" customHeight="1" x14ac:dyDescent="0.2">
      <c r="A48" s="468">
        <v>35</v>
      </c>
      <c r="B48" s="291" t="s">
        <v>13880</v>
      </c>
      <c r="C48" s="291" t="s">
        <v>13899</v>
      </c>
      <c r="D48" s="85" t="s">
        <v>13886</v>
      </c>
      <c r="E48" s="4" t="s">
        <v>13156</v>
      </c>
      <c r="F48" s="203" t="s">
        <v>13887</v>
      </c>
      <c r="G48" s="203" t="s">
        <v>13900</v>
      </c>
      <c r="H48" s="203" t="s">
        <v>13757</v>
      </c>
      <c r="I48" s="291" t="s">
        <v>12480</v>
      </c>
      <c r="J48" s="221" t="s">
        <v>13758</v>
      </c>
      <c r="K48" s="203" t="s">
        <v>2207</v>
      </c>
      <c r="L48" s="203" t="s">
        <v>3136</v>
      </c>
      <c r="M48" s="204">
        <v>40311</v>
      </c>
      <c r="N48" s="203">
        <v>250</v>
      </c>
      <c r="O48" s="483">
        <v>19.7</v>
      </c>
      <c r="P48" s="371">
        <f t="shared" si="7"/>
        <v>24204.66</v>
      </c>
      <c r="Q48" s="174">
        <f t="shared" si="7"/>
        <v>10650.05</v>
      </c>
      <c r="R48" s="174">
        <f t="shared" si="8"/>
        <v>13554.61</v>
      </c>
      <c r="S48" s="174">
        <v>508543.09</v>
      </c>
      <c r="T48" s="474"/>
      <c r="U48" s="474"/>
      <c r="V48" s="471">
        <f>T41/U41*O48</f>
        <v>24204.659796141441</v>
      </c>
      <c r="W48" s="471">
        <f>T41/U41*O48*44%</f>
        <v>10650.050310302235</v>
      </c>
      <c r="X48" s="203" t="s">
        <v>13883</v>
      </c>
      <c r="Y48" s="291" t="s">
        <v>13884</v>
      </c>
      <c r="Z48" s="291">
        <v>170</v>
      </c>
      <c r="AA48" s="291"/>
      <c r="AB48" s="291"/>
      <c r="AC48" s="291"/>
      <c r="AD48" s="291"/>
      <c r="AE48" s="291"/>
    </row>
    <row r="49" spans="1:31" ht="93.75" customHeight="1" x14ac:dyDescent="0.2">
      <c r="A49" s="468">
        <v>36</v>
      </c>
      <c r="B49" s="291" t="s">
        <v>13880</v>
      </c>
      <c r="C49" s="291" t="s">
        <v>13901</v>
      </c>
      <c r="D49" s="85" t="s">
        <v>13886</v>
      </c>
      <c r="E49" s="4" t="s">
        <v>13156</v>
      </c>
      <c r="F49" s="203" t="s">
        <v>13887</v>
      </c>
      <c r="G49" s="203" t="s">
        <v>13902</v>
      </c>
      <c r="H49" s="203" t="s">
        <v>13757</v>
      </c>
      <c r="I49" s="291" t="s">
        <v>12480</v>
      </c>
      <c r="J49" s="221" t="s">
        <v>13758</v>
      </c>
      <c r="K49" s="203" t="s">
        <v>2207</v>
      </c>
      <c r="L49" s="203" t="s">
        <v>3136</v>
      </c>
      <c r="M49" s="204">
        <v>40311</v>
      </c>
      <c r="N49" s="203">
        <v>250</v>
      </c>
      <c r="O49" s="483">
        <v>19.399999999999999</v>
      </c>
      <c r="P49" s="371">
        <f t="shared" si="7"/>
        <v>23836.06</v>
      </c>
      <c r="Q49" s="174">
        <f t="shared" si="7"/>
        <v>10487.87</v>
      </c>
      <c r="R49" s="174">
        <f t="shared" si="8"/>
        <v>13348.19</v>
      </c>
      <c r="S49" s="174">
        <v>500798.78</v>
      </c>
      <c r="T49" s="474"/>
      <c r="U49" s="474"/>
      <c r="V49" s="471">
        <f>T41/U41*O49</f>
        <v>23836.060915997154</v>
      </c>
      <c r="W49" s="471">
        <f>T41/U41*O49*44%</f>
        <v>10487.866803038747</v>
      </c>
      <c r="X49" s="203" t="s">
        <v>13883</v>
      </c>
      <c r="Y49" s="291" t="s">
        <v>13884</v>
      </c>
      <c r="Z49" s="291">
        <v>170</v>
      </c>
      <c r="AA49" s="291"/>
      <c r="AB49" s="291"/>
      <c r="AC49" s="291"/>
      <c r="AD49" s="291"/>
      <c r="AE49" s="291"/>
    </row>
    <row r="50" spans="1:31" ht="93.75" customHeight="1" x14ac:dyDescent="0.2">
      <c r="A50" s="468">
        <v>37</v>
      </c>
      <c r="B50" s="291" t="s">
        <v>13880</v>
      </c>
      <c r="C50" s="291" t="s">
        <v>13903</v>
      </c>
      <c r="D50" s="85" t="s">
        <v>13886</v>
      </c>
      <c r="E50" s="4" t="s">
        <v>13156</v>
      </c>
      <c r="F50" s="203" t="s">
        <v>13887</v>
      </c>
      <c r="G50" s="203" t="s">
        <v>13904</v>
      </c>
      <c r="H50" s="203" t="s">
        <v>13757</v>
      </c>
      <c r="I50" s="291" t="s">
        <v>12480</v>
      </c>
      <c r="J50" s="221" t="s">
        <v>13758</v>
      </c>
      <c r="K50" s="203" t="s">
        <v>2207</v>
      </c>
      <c r="L50" s="203" t="s">
        <v>3136</v>
      </c>
      <c r="M50" s="204">
        <v>40311</v>
      </c>
      <c r="N50" s="203">
        <v>250</v>
      </c>
      <c r="O50" s="483">
        <v>21.4</v>
      </c>
      <c r="P50" s="371">
        <f t="shared" si="7"/>
        <v>26293.39</v>
      </c>
      <c r="Q50" s="174">
        <f t="shared" si="7"/>
        <v>11569.09</v>
      </c>
      <c r="R50" s="174">
        <f t="shared" si="8"/>
        <v>14724.3</v>
      </c>
      <c r="S50" s="174">
        <v>552427.52000000002</v>
      </c>
      <c r="T50" s="474"/>
      <c r="U50" s="474"/>
      <c r="V50" s="471">
        <f>T41/U41*O50</f>
        <v>26293.386783625727</v>
      </c>
      <c r="W50" s="471">
        <f>T41/U41*O50*44%</f>
        <v>11569.090184795319</v>
      </c>
      <c r="X50" s="203" t="s">
        <v>13883</v>
      </c>
      <c r="Y50" s="291" t="s">
        <v>13884</v>
      </c>
      <c r="Z50" s="291">
        <v>170</v>
      </c>
      <c r="AA50" s="291"/>
      <c r="AB50" s="291"/>
      <c r="AC50" s="291"/>
      <c r="AD50" s="291"/>
      <c r="AE50" s="291"/>
    </row>
    <row r="51" spans="1:31" ht="93.75" customHeight="1" x14ac:dyDescent="0.2">
      <c r="A51" s="468">
        <v>38</v>
      </c>
      <c r="B51" s="291" t="s">
        <v>13880</v>
      </c>
      <c r="C51" s="291" t="s">
        <v>13905</v>
      </c>
      <c r="D51" s="85" t="s">
        <v>13886</v>
      </c>
      <c r="E51" s="4" t="s">
        <v>13156</v>
      </c>
      <c r="F51" s="203" t="s">
        <v>13887</v>
      </c>
      <c r="G51" s="203" t="s">
        <v>13906</v>
      </c>
      <c r="H51" s="203" t="s">
        <v>13757</v>
      </c>
      <c r="I51" s="291" t="s">
        <v>12480</v>
      </c>
      <c r="J51" s="221" t="s">
        <v>13758</v>
      </c>
      <c r="K51" s="203" t="s">
        <v>2207</v>
      </c>
      <c r="L51" s="203" t="s">
        <v>3136</v>
      </c>
      <c r="M51" s="204">
        <v>40311</v>
      </c>
      <c r="N51" s="203">
        <v>250</v>
      </c>
      <c r="O51" s="483">
        <v>13.7</v>
      </c>
      <c r="P51" s="371">
        <f t="shared" si="7"/>
        <v>16832.68</v>
      </c>
      <c r="Q51" s="174">
        <f t="shared" si="7"/>
        <v>7406.38</v>
      </c>
      <c r="R51" s="174">
        <f t="shared" si="8"/>
        <v>9426.2999999999993</v>
      </c>
      <c r="S51" s="174">
        <v>353656.87</v>
      </c>
      <c r="T51" s="474"/>
      <c r="U51" s="474"/>
      <c r="V51" s="471">
        <f>T41/U41*O51</f>
        <v>16832.682193255721</v>
      </c>
      <c r="W51" s="471">
        <f>T41/U41*O51*44%</f>
        <v>7406.3801650325177</v>
      </c>
      <c r="X51" s="203" t="s">
        <v>13883</v>
      </c>
      <c r="Y51" s="291" t="s">
        <v>13884</v>
      </c>
      <c r="Z51" s="291">
        <v>170</v>
      </c>
      <c r="AA51" s="291"/>
      <c r="AB51" s="291"/>
      <c r="AC51" s="291"/>
      <c r="AD51" s="291"/>
      <c r="AE51" s="291"/>
    </row>
    <row r="52" spans="1:31" ht="93.75" customHeight="1" x14ac:dyDescent="0.2">
      <c r="A52" s="468">
        <v>39</v>
      </c>
      <c r="B52" s="291" t="s">
        <v>13880</v>
      </c>
      <c r="C52" s="291" t="s">
        <v>13907</v>
      </c>
      <c r="D52" s="85" t="s">
        <v>13886</v>
      </c>
      <c r="E52" s="4" t="s">
        <v>13156</v>
      </c>
      <c r="F52" s="203" t="s">
        <v>13887</v>
      </c>
      <c r="G52" s="203" t="s">
        <v>13908</v>
      </c>
      <c r="H52" s="203" t="s">
        <v>13757</v>
      </c>
      <c r="I52" s="291" t="s">
        <v>12480</v>
      </c>
      <c r="J52" s="221" t="s">
        <v>13758</v>
      </c>
      <c r="K52" s="203" t="s">
        <v>2207</v>
      </c>
      <c r="L52" s="203" t="s">
        <v>3136</v>
      </c>
      <c r="M52" s="204">
        <v>40311</v>
      </c>
      <c r="N52" s="203">
        <v>250</v>
      </c>
      <c r="O52" s="483">
        <v>19.100000000000001</v>
      </c>
      <c r="P52" s="371">
        <f t="shared" si="7"/>
        <v>23467.46</v>
      </c>
      <c r="Q52" s="174">
        <f t="shared" si="7"/>
        <v>10325.68</v>
      </c>
      <c r="R52" s="174">
        <f t="shared" si="8"/>
        <v>13141.779999999999</v>
      </c>
      <c r="S52" s="174">
        <v>493054.47</v>
      </c>
      <c r="T52" s="474"/>
      <c r="U52" s="474"/>
      <c r="V52" s="471">
        <f>T41/U41*O52</f>
        <v>23467.46203585287</v>
      </c>
      <c r="W52" s="471">
        <f>T41/U41*O52*44%</f>
        <v>10325.683295775263</v>
      </c>
      <c r="X52" s="203" t="s">
        <v>13883</v>
      </c>
      <c r="Y52" s="291" t="s">
        <v>13884</v>
      </c>
      <c r="Z52" s="291">
        <v>170</v>
      </c>
      <c r="AA52" s="291"/>
      <c r="AB52" s="291"/>
      <c r="AC52" s="291"/>
      <c r="AD52" s="291"/>
      <c r="AE52" s="291"/>
    </row>
    <row r="53" spans="1:31" ht="93.75" customHeight="1" x14ac:dyDescent="0.2">
      <c r="A53" s="468">
        <v>40</v>
      </c>
      <c r="B53" s="291" t="s">
        <v>13880</v>
      </c>
      <c r="C53" s="291" t="s">
        <v>13909</v>
      </c>
      <c r="D53" s="85" t="s">
        <v>13886</v>
      </c>
      <c r="E53" s="4" t="s">
        <v>13156</v>
      </c>
      <c r="F53" s="203" t="s">
        <v>13887</v>
      </c>
      <c r="G53" s="203" t="s">
        <v>13910</v>
      </c>
      <c r="H53" s="203" t="s">
        <v>13757</v>
      </c>
      <c r="I53" s="291" t="s">
        <v>12480</v>
      </c>
      <c r="J53" s="221" t="s">
        <v>13758</v>
      </c>
      <c r="K53" s="203" t="s">
        <v>2207</v>
      </c>
      <c r="L53" s="203" t="s">
        <v>3136</v>
      </c>
      <c r="M53" s="204">
        <v>40311</v>
      </c>
      <c r="N53" s="203">
        <v>250</v>
      </c>
      <c r="O53" s="483">
        <v>19.100000000000001</v>
      </c>
      <c r="P53" s="371">
        <f t="shared" si="7"/>
        <v>23467.46</v>
      </c>
      <c r="Q53" s="174">
        <f t="shared" si="7"/>
        <v>10325.68</v>
      </c>
      <c r="R53" s="174">
        <f t="shared" si="8"/>
        <v>13141.779999999999</v>
      </c>
      <c r="S53" s="174">
        <v>493054.47</v>
      </c>
      <c r="T53" s="474"/>
      <c r="U53" s="474"/>
      <c r="V53" s="471">
        <f>T41/U41*O53</f>
        <v>23467.46203585287</v>
      </c>
      <c r="W53" s="471">
        <f>T41/U41*O53*44%</f>
        <v>10325.683295775263</v>
      </c>
      <c r="X53" s="203" t="s">
        <v>13883</v>
      </c>
      <c r="Y53" s="291" t="s">
        <v>13884</v>
      </c>
      <c r="Z53" s="291">
        <v>170</v>
      </c>
      <c r="AA53" s="291"/>
      <c r="AB53" s="291"/>
      <c r="AC53" s="291"/>
      <c r="AD53" s="291"/>
      <c r="AE53" s="291"/>
    </row>
    <row r="54" spans="1:31" ht="93.75" customHeight="1" x14ac:dyDescent="0.2">
      <c r="A54" s="468">
        <v>41</v>
      </c>
      <c r="B54" s="291" t="s">
        <v>13880</v>
      </c>
      <c r="C54" s="291" t="s">
        <v>13911</v>
      </c>
      <c r="D54" s="85" t="s">
        <v>13886</v>
      </c>
      <c r="E54" s="4" t="s">
        <v>13156</v>
      </c>
      <c r="F54" s="203" t="s">
        <v>13887</v>
      </c>
      <c r="G54" s="203" t="s">
        <v>13912</v>
      </c>
      <c r="H54" s="203" t="s">
        <v>13757</v>
      </c>
      <c r="I54" s="291" t="s">
        <v>12480</v>
      </c>
      <c r="J54" s="221" t="s">
        <v>13758</v>
      </c>
      <c r="K54" s="203" t="s">
        <v>2207</v>
      </c>
      <c r="L54" s="203" t="s">
        <v>3136</v>
      </c>
      <c r="M54" s="204">
        <v>40311</v>
      </c>
      <c r="N54" s="203">
        <v>250</v>
      </c>
      <c r="O54" s="483">
        <v>21.4</v>
      </c>
      <c r="P54" s="371">
        <f t="shared" si="7"/>
        <v>26293.39</v>
      </c>
      <c r="Q54" s="174">
        <f t="shared" si="7"/>
        <v>11569.09</v>
      </c>
      <c r="R54" s="174">
        <f t="shared" si="8"/>
        <v>14724.3</v>
      </c>
      <c r="S54" s="174">
        <v>552427.52000000002</v>
      </c>
      <c r="T54" s="474"/>
      <c r="U54" s="474"/>
      <c r="V54" s="471">
        <f>T41/U41*O54</f>
        <v>26293.386783625727</v>
      </c>
      <c r="W54" s="471">
        <f>T41/U41*O54*44%</f>
        <v>11569.090184795319</v>
      </c>
      <c r="X54" s="203" t="s">
        <v>13883</v>
      </c>
      <c r="Y54" s="291" t="s">
        <v>13884</v>
      </c>
      <c r="Z54" s="291">
        <v>170</v>
      </c>
      <c r="AA54" s="291"/>
      <c r="AB54" s="291"/>
      <c r="AC54" s="291"/>
      <c r="AD54" s="291"/>
      <c r="AE54" s="291"/>
    </row>
    <row r="55" spans="1:31" ht="93.75" customHeight="1" x14ac:dyDescent="0.2">
      <c r="A55" s="468">
        <v>42</v>
      </c>
      <c r="B55" s="291" t="s">
        <v>13880</v>
      </c>
      <c r="C55" s="291" t="s">
        <v>13913</v>
      </c>
      <c r="D55" s="85" t="s">
        <v>13886</v>
      </c>
      <c r="E55" s="4" t="s">
        <v>13156</v>
      </c>
      <c r="F55" s="203" t="s">
        <v>13887</v>
      </c>
      <c r="G55" s="203" t="s">
        <v>13914</v>
      </c>
      <c r="H55" s="203" t="s">
        <v>13757</v>
      </c>
      <c r="I55" s="291" t="s">
        <v>12480</v>
      </c>
      <c r="J55" s="221" t="s">
        <v>13758</v>
      </c>
      <c r="K55" s="203" t="s">
        <v>2207</v>
      </c>
      <c r="L55" s="203" t="s">
        <v>3136</v>
      </c>
      <c r="M55" s="204">
        <v>40311</v>
      </c>
      <c r="N55" s="203">
        <v>250</v>
      </c>
      <c r="O55" s="483">
        <v>18.899999999999999</v>
      </c>
      <c r="P55" s="371">
        <f t="shared" si="7"/>
        <v>23221.73</v>
      </c>
      <c r="Q55" s="174">
        <f t="shared" si="7"/>
        <v>10217.56</v>
      </c>
      <c r="R55" s="174">
        <f t="shared" si="8"/>
        <v>13004.17</v>
      </c>
      <c r="S55" s="174">
        <v>487891.59</v>
      </c>
      <c r="T55" s="474"/>
      <c r="U55" s="474"/>
      <c r="V55" s="471">
        <f>T41/U41*O55</f>
        <v>23221.729449090009</v>
      </c>
      <c r="W55" s="471">
        <f>T41/U41*O55*44%</f>
        <v>10217.560957599604</v>
      </c>
      <c r="X55" s="203" t="s">
        <v>13883</v>
      </c>
      <c r="Y55" s="291" t="s">
        <v>13884</v>
      </c>
      <c r="Z55" s="291">
        <v>170</v>
      </c>
      <c r="AA55" s="291"/>
      <c r="AB55" s="291"/>
      <c r="AC55" s="291"/>
      <c r="AD55" s="291"/>
      <c r="AE55" s="291"/>
    </row>
    <row r="56" spans="1:31" ht="93.75" customHeight="1" x14ac:dyDescent="0.2">
      <c r="A56" s="468">
        <v>43</v>
      </c>
      <c r="B56" s="291" t="s">
        <v>13880</v>
      </c>
      <c r="C56" s="291" t="s">
        <v>13915</v>
      </c>
      <c r="D56" s="85" t="s">
        <v>13886</v>
      </c>
      <c r="E56" s="4" t="s">
        <v>13156</v>
      </c>
      <c r="F56" s="203" t="s">
        <v>13887</v>
      </c>
      <c r="G56" s="203" t="s">
        <v>13916</v>
      </c>
      <c r="H56" s="203" t="s">
        <v>13757</v>
      </c>
      <c r="I56" s="291" t="s">
        <v>12480</v>
      </c>
      <c r="J56" s="221" t="s">
        <v>13758</v>
      </c>
      <c r="K56" s="203" t="s">
        <v>2207</v>
      </c>
      <c r="L56" s="203" t="s">
        <v>3136</v>
      </c>
      <c r="M56" s="204">
        <v>40311</v>
      </c>
      <c r="N56" s="203">
        <v>250</v>
      </c>
      <c r="O56" s="483">
        <v>20.6</v>
      </c>
      <c r="P56" s="371">
        <f t="shared" si="7"/>
        <v>25310.46</v>
      </c>
      <c r="Q56" s="174">
        <f t="shared" si="7"/>
        <v>11136.6</v>
      </c>
      <c r="R56" s="174">
        <f t="shared" si="8"/>
        <v>14173.859999999999</v>
      </c>
      <c r="S56" s="174">
        <v>531776.02</v>
      </c>
      <c r="T56" s="474"/>
      <c r="U56" s="474"/>
      <c r="V56" s="471">
        <f>T41/U41*O56</f>
        <v>25310.456436574299</v>
      </c>
      <c r="W56" s="471">
        <f>T41/U41*O56*44%</f>
        <v>11136.600832092692</v>
      </c>
      <c r="X56" s="203" t="s">
        <v>13883</v>
      </c>
      <c r="Y56" s="291" t="s">
        <v>13884</v>
      </c>
      <c r="Z56" s="291">
        <v>170</v>
      </c>
      <c r="AA56" s="291"/>
      <c r="AB56" s="291"/>
      <c r="AC56" s="291"/>
      <c r="AD56" s="291"/>
      <c r="AE56" s="291"/>
    </row>
    <row r="57" spans="1:31" ht="93.75" customHeight="1" x14ac:dyDescent="0.2">
      <c r="A57" s="468">
        <v>44</v>
      </c>
      <c r="B57" s="291" t="s">
        <v>13880</v>
      </c>
      <c r="C57" s="291" t="s">
        <v>13917</v>
      </c>
      <c r="D57" s="85" t="s">
        <v>13886</v>
      </c>
      <c r="E57" s="4" t="s">
        <v>13156</v>
      </c>
      <c r="F57" s="203" t="s">
        <v>13887</v>
      </c>
      <c r="G57" s="203" t="s">
        <v>13918</v>
      </c>
      <c r="H57" s="203" t="s">
        <v>13757</v>
      </c>
      <c r="I57" s="291" t="s">
        <v>12480</v>
      </c>
      <c r="J57" s="221" t="s">
        <v>13758</v>
      </c>
      <c r="K57" s="203" t="s">
        <v>2207</v>
      </c>
      <c r="L57" s="203" t="s">
        <v>3136</v>
      </c>
      <c r="M57" s="204">
        <v>40311</v>
      </c>
      <c r="N57" s="203">
        <v>250</v>
      </c>
      <c r="O57" s="483">
        <v>12.9</v>
      </c>
      <c r="P57" s="371">
        <f t="shared" si="7"/>
        <v>15849.75</v>
      </c>
      <c r="Q57" s="174">
        <f t="shared" si="7"/>
        <v>6973.89</v>
      </c>
      <c r="R57" s="174">
        <f t="shared" si="8"/>
        <v>8875.86</v>
      </c>
      <c r="S57" s="174">
        <v>333005.37</v>
      </c>
      <c r="T57" s="474"/>
      <c r="U57" s="474"/>
      <c r="V57" s="471">
        <f>T41/U41*O57</f>
        <v>15849.751846204295</v>
      </c>
      <c r="W57" s="471">
        <f>T41/U41*O57*44%</f>
        <v>6973.8908123298897</v>
      </c>
      <c r="X57" s="203" t="s">
        <v>13883</v>
      </c>
      <c r="Y57" s="291" t="s">
        <v>13884</v>
      </c>
      <c r="Z57" s="291">
        <v>170</v>
      </c>
      <c r="AA57" s="291"/>
      <c r="AB57" s="291"/>
      <c r="AC57" s="291"/>
      <c r="AD57" s="291"/>
      <c r="AE57" s="291"/>
    </row>
    <row r="58" spans="1:31" ht="93.75" customHeight="1" x14ac:dyDescent="0.2">
      <c r="A58" s="468">
        <v>45</v>
      </c>
      <c r="B58" s="291" t="s">
        <v>13880</v>
      </c>
      <c r="C58" s="291" t="s">
        <v>13919</v>
      </c>
      <c r="D58" s="85" t="s">
        <v>13886</v>
      </c>
      <c r="E58" s="4" t="s">
        <v>13156</v>
      </c>
      <c r="F58" s="203" t="s">
        <v>13887</v>
      </c>
      <c r="G58" s="203" t="s">
        <v>13920</v>
      </c>
      <c r="H58" s="203" t="s">
        <v>13757</v>
      </c>
      <c r="I58" s="291" t="s">
        <v>12480</v>
      </c>
      <c r="J58" s="221" t="s">
        <v>13758</v>
      </c>
      <c r="K58" s="203" t="s">
        <v>2207</v>
      </c>
      <c r="L58" s="203" t="s">
        <v>3136</v>
      </c>
      <c r="M58" s="204">
        <v>40311</v>
      </c>
      <c r="N58" s="203">
        <v>250</v>
      </c>
      <c r="O58" s="483">
        <v>19.100000000000001</v>
      </c>
      <c r="P58" s="371">
        <f t="shared" si="7"/>
        <v>23467.46</v>
      </c>
      <c r="Q58" s="174">
        <f t="shared" si="7"/>
        <v>10325.68</v>
      </c>
      <c r="R58" s="174">
        <f t="shared" si="8"/>
        <v>13141.779999999999</v>
      </c>
      <c r="S58" s="174">
        <v>493054.47</v>
      </c>
      <c r="T58" s="474"/>
      <c r="U58" s="474"/>
      <c r="V58" s="471">
        <f>T41/U41*O58</f>
        <v>23467.46203585287</v>
      </c>
      <c r="W58" s="471">
        <f>T41/U41*O58*44%</f>
        <v>10325.683295775263</v>
      </c>
      <c r="X58" s="203" t="s">
        <v>13883</v>
      </c>
      <c r="Y58" s="291" t="s">
        <v>13884</v>
      </c>
      <c r="Z58" s="291">
        <v>170</v>
      </c>
      <c r="AA58" s="291"/>
      <c r="AB58" s="291"/>
      <c r="AC58" s="291"/>
      <c r="AD58" s="291"/>
      <c r="AE58" s="291"/>
    </row>
    <row r="59" spans="1:31" ht="93.75" customHeight="1" x14ac:dyDescent="0.2">
      <c r="A59" s="468">
        <v>46</v>
      </c>
      <c r="B59" s="291" t="s">
        <v>13880</v>
      </c>
      <c r="C59" s="291" t="s">
        <v>13921</v>
      </c>
      <c r="D59" s="85" t="s">
        <v>13886</v>
      </c>
      <c r="E59" s="4" t="s">
        <v>13156</v>
      </c>
      <c r="F59" s="203" t="s">
        <v>13887</v>
      </c>
      <c r="G59" s="203" t="s">
        <v>13922</v>
      </c>
      <c r="H59" s="203" t="s">
        <v>13757</v>
      </c>
      <c r="I59" s="291" t="s">
        <v>12480</v>
      </c>
      <c r="J59" s="221" t="s">
        <v>13758</v>
      </c>
      <c r="K59" s="203" t="s">
        <v>2207</v>
      </c>
      <c r="L59" s="203" t="s">
        <v>3136</v>
      </c>
      <c r="M59" s="204">
        <v>40311</v>
      </c>
      <c r="N59" s="203">
        <v>250</v>
      </c>
      <c r="O59" s="483">
        <v>12.9</v>
      </c>
      <c r="P59" s="371">
        <f t="shared" si="7"/>
        <v>15849.75</v>
      </c>
      <c r="Q59" s="174">
        <f t="shared" si="7"/>
        <v>6973.89</v>
      </c>
      <c r="R59" s="174">
        <f t="shared" si="8"/>
        <v>8875.86</v>
      </c>
      <c r="S59" s="174">
        <v>333005.37</v>
      </c>
      <c r="T59" s="474"/>
      <c r="U59" s="474"/>
      <c r="V59" s="471">
        <f>T41/U41*O59</f>
        <v>15849.751846204295</v>
      </c>
      <c r="W59" s="471">
        <f>T41/U41*O59*44%</f>
        <v>6973.8908123298897</v>
      </c>
      <c r="X59" s="203" t="s">
        <v>13923</v>
      </c>
      <c r="Y59" s="203" t="s">
        <v>13924</v>
      </c>
      <c r="Z59" s="203" t="s">
        <v>13925</v>
      </c>
      <c r="AA59" s="291"/>
      <c r="AB59" s="291"/>
      <c r="AC59" s="291"/>
      <c r="AD59" s="291"/>
      <c r="AE59" s="291"/>
    </row>
    <row r="60" spans="1:31" ht="93.75" customHeight="1" x14ac:dyDescent="0.2">
      <c r="A60" s="468">
        <v>47</v>
      </c>
      <c r="B60" s="291" t="s">
        <v>13880</v>
      </c>
      <c r="C60" s="291" t="s">
        <v>13926</v>
      </c>
      <c r="D60" s="85" t="s">
        <v>13886</v>
      </c>
      <c r="E60" s="4" t="s">
        <v>13156</v>
      </c>
      <c r="F60" s="203" t="s">
        <v>13887</v>
      </c>
      <c r="G60" s="203" t="s">
        <v>13927</v>
      </c>
      <c r="H60" s="203" t="s">
        <v>13757</v>
      </c>
      <c r="I60" s="291" t="s">
        <v>12480</v>
      </c>
      <c r="J60" s="221" t="s">
        <v>13758</v>
      </c>
      <c r="K60" s="203" t="s">
        <v>2207</v>
      </c>
      <c r="L60" s="203" t="s">
        <v>3136</v>
      </c>
      <c r="M60" s="204">
        <v>40311</v>
      </c>
      <c r="N60" s="203">
        <v>250</v>
      </c>
      <c r="O60" s="483">
        <v>19.399999999999999</v>
      </c>
      <c r="P60" s="371">
        <f t="shared" si="7"/>
        <v>23836.06</v>
      </c>
      <c r="Q60" s="174">
        <f t="shared" si="7"/>
        <v>10487.87</v>
      </c>
      <c r="R60" s="174">
        <f t="shared" si="8"/>
        <v>13348.19</v>
      </c>
      <c r="S60" s="174">
        <v>500798.78</v>
      </c>
      <c r="T60" s="474"/>
      <c r="U60" s="474"/>
      <c r="V60" s="471">
        <f>T41/U41*O60</f>
        <v>23836.060915997154</v>
      </c>
      <c r="W60" s="471">
        <f>T41/U41*O60*44%</f>
        <v>10487.866803038747</v>
      </c>
      <c r="X60" s="203" t="s">
        <v>13883</v>
      </c>
      <c r="Y60" s="291" t="s">
        <v>13884</v>
      </c>
      <c r="Z60" s="291">
        <v>170</v>
      </c>
      <c r="AA60" s="291"/>
      <c r="AB60" s="291"/>
      <c r="AC60" s="291"/>
      <c r="AD60" s="291"/>
      <c r="AE60" s="291"/>
    </row>
    <row r="61" spans="1:31" ht="93.75" customHeight="1" x14ac:dyDescent="0.2">
      <c r="A61" s="468">
        <v>48</v>
      </c>
      <c r="B61" s="291" t="s">
        <v>13880</v>
      </c>
      <c r="C61" s="291" t="s">
        <v>13928</v>
      </c>
      <c r="D61" s="85" t="s">
        <v>13929</v>
      </c>
      <c r="E61" s="4" t="s">
        <v>13156</v>
      </c>
      <c r="F61" s="203" t="s">
        <v>13887</v>
      </c>
      <c r="G61" s="203" t="s">
        <v>13930</v>
      </c>
      <c r="H61" s="203" t="s">
        <v>13757</v>
      </c>
      <c r="I61" s="291" t="s">
        <v>12480</v>
      </c>
      <c r="J61" s="221" t="s">
        <v>13758</v>
      </c>
      <c r="K61" s="203" t="s">
        <v>2207</v>
      </c>
      <c r="L61" s="203" t="s">
        <v>3136</v>
      </c>
      <c r="M61" s="204">
        <v>40311</v>
      </c>
      <c r="N61" s="203">
        <v>250</v>
      </c>
      <c r="O61" s="483">
        <v>13.5</v>
      </c>
      <c r="P61" s="371">
        <f t="shared" si="7"/>
        <v>16586.95</v>
      </c>
      <c r="Q61" s="174">
        <f t="shared" si="7"/>
        <v>7298.26</v>
      </c>
      <c r="R61" s="174">
        <f t="shared" si="8"/>
        <v>9288.69</v>
      </c>
      <c r="S61" s="174">
        <v>348494</v>
      </c>
      <c r="T61" s="474"/>
      <c r="U61" s="474"/>
      <c r="V61" s="471">
        <f>T41/U41*O61</f>
        <v>16586.949606492864</v>
      </c>
      <c r="W61" s="471">
        <f>T41/U41*O61*44%</f>
        <v>7298.2578268568604</v>
      </c>
      <c r="X61" s="203" t="s">
        <v>13883</v>
      </c>
      <c r="Y61" s="291" t="s">
        <v>13884</v>
      </c>
      <c r="Z61" s="291">
        <v>170</v>
      </c>
      <c r="AA61" s="291"/>
      <c r="AB61" s="291"/>
      <c r="AC61" s="291"/>
      <c r="AD61" s="291"/>
      <c r="AE61" s="291"/>
    </row>
    <row r="62" spans="1:31" ht="93.75" customHeight="1" x14ac:dyDescent="0.2">
      <c r="A62" s="468">
        <v>49</v>
      </c>
      <c r="B62" s="291" t="s">
        <v>13880</v>
      </c>
      <c r="C62" s="291" t="s">
        <v>13931</v>
      </c>
      <c r="D62" s="85" t="s">
        <v>13929</v>
      </c>
      <c r="E62" s="4" t="s">
        <v>13156</v>
      </c>
      <c r="F62" s="203" t="s">
        <v>13887</v>
      </c>
      <c r="G62" s="203" t="s">
        <v>13932</v>
      </c>
      <c r="H62" s="203" t="s">
        <v>13757</v>
      </c>
      <c r="I62" s="291" t="s">
        <v>12480</v>
      </c>
      <c r="J62" s="221" t="s">
        <v>13758</v>
      </c>
      <c r="K62" s="203" t="s">
        <v>2207</v>
      </c>
      <c r="L62" s="203" t="s">
        <v>3136</v>
      </c>
      <c r="M62" s="204">
        <v>40311</v>
      </c>
      <c r="N62" s="203">
        <v>250</v>
      </c>
      <c r="O62" s="483">
        <v>12.5</v>
      </c>
      <c r="P62" s="371">
        <f t="shared" si="7"/>
        <v>15358.29</v>
      </c>
      <c r="Q62" s="174">
        <f t="shared" si="7"/>
        <v>6757.65</v>
      </c>
      <c r="R62" s="174">
        <f t="shared" si="8"/>
        <v>8600.6400000000012</v>
      </c>
      <c r="S62" s="174">
        <v>322679.63</v>
      </c>
      <c r="T62" s="474"/>
      <c r="U62" s="474"/>
      <c r="V62" s="471">
        <f>T41/U41*O62</f>
        <v>15358.28667267858</v>
      </c>
      <c r="W62" s="471">
        <f>T41/U41*O62*44%</f>
        <v>6757.6461359785753</v>
      </c>
      <c r="X62" s="203" t="s">
        <v>13883</v>
      </c>
      <c r="Y62" s="291" t="s">
        <v>13884</v>
      </c>
      <c r="Z62" s="291">
        <v>170</v>
      </c>
      <c r="AA62" s="291"/>
      <c r="AB62" s="291"/>
      <c r="AC62" s="291"/>
      <c r="AD62" s="291"/>
      <c r="AE62" s="291"/>
    </row>
    <row r="63" spans="1:31" ht="93.75" customHeight="1" x14ac:dyDescent="0.2">
      <c r="A63" s="468">
        <v>50</v>
      </c>
      <c r="B63" s="291" t="s">
        <v>13880</v>
      </c>
      <c r="C63" s="291" t="s">
        <v>13933</v>
      </c>
      <c r="D63" s="85" t="s">
        <v>13886</v>
      </c>
      <c r="E63" s="4" t="s">
        <v>13156</v>
      </c>
      <c r="F63" s="203" t="s">
        <v>13887</v>
      </c>
      <c r="G63" s="203" t="s">
        <v>13934</v>
      </c>
      <c r="H63" s="203" t="s">
        <v>13757</v>
      </c>
      <c r="I63" s="291" t="s">
        <v>12480</v>
      </c>
      <c r="J63" s="221" t="s">
        <v>13758</v>
      </c>
      <c r="K63" s="203" t="s">
        <v>2207</v>
      </c>
      <c r="L63" s="203" t="s">
        <v>3136</v>
      </c>
      <c r="M63" s="204">
        <v>40311</v>
      </c>
      <c r="N63" s="203">
        <v>250</v>
      </c>
      <c r="O63" s="483">
        <v>19</v>
      </c>
      <c r="P63" s="371">
        <f t="shared" si="7"/>
        <v>23344.6</v>
      </c>
      <c r="Q63" s="174">
        <f t="shared" si="7"/>
        <v>10271.620000000001</v>
      </c>
      <c r="R63" s="174">
        <f t="shared" si="8"/>
        <v>13072.979999999998</v>
      </c>
      <c r="S63" s="174">
        <v>490473.03</v>
      </c>
      <c r="T63" s="474"/>
      <c r="U63" s="474"/>
      <c r="V63" s="471">
        <f>T41/U41*O63</f>
        <v>23344.59574247144</v>
      </c>
      <c r="W63" s="471">
        <f>T41/U41*O63*44%</f>
        <v>10271.622126687433</v>
      </c>
      <c r="X63" s="203" t="s">
        <v>13883</v>
      </c>
      <c r="Y63" s="291" t="s">
        <v>13884</v>
      </c>
      <c r="Z63" s="291">
        <v>170</v>
      </c>
      <c r="AA63" s="291"/>
      <c r="AB63" s="291"/>
      <c r="AC63" s="291"/>
      <c r="AD63" s="291"/>
      <c r="AE63" s="291"/>
    </row>
    <row r="64" spans="1:31" ht="93.75" customHeight="1" x14ac:dyDescent="0.2">
      <c r="A64" s="468">
        <v>51</v>
      </c>
      <c r="B64" s="291" t="s">
        <v>13880</v>
      </c>
      <c r="C64" s="291" t="s">
        <v>13935</v>
      </c>
      <c r="D64" s="85" t="s">
        <v>13886</v>
      </c>
      <c r="E64" s="4" t="s">
        <v>13156</v>
      </c>
      <c r="F64" s="203" t="s">
        <v>13887</v>
      </c>
      <c r="G64" s="203" t="s">
        <v>13936</v>
      </c>
      <c r="H64" s="203" t="s">
        <v>13757</v>
      </c>
      <c r="I64" s="291" t="s">
        <v>12480</v>
      </c>
      <c r="J64" s="221" t="s">
        <v>13758</v>
      </c>
      <c r="K64" s="203" t="s">
        <v>2207</v>
      </c>
      <c r="L64" s="203" t="s">
        <v>3136</v>
      </c>
      <c r="M64" s="204">
        <v>40311</v>
      </c>
      <c r="N64" s="203">
        <v>250</v>
      </c>
      <c r="O64" s="483">
        <v>12.9</v>
      </c>
      <c r="P64" s="371">
        <f t="shared" si="7"/>
        <v>15849.75</v>
      </c>
      <c r="Q64" s="174">
        <f t="shared" si="7"/>
        <v>6973.89</v>
      </c>
      <c r="R64" s="174">
        <f t="shared" si="8"/>
        <v>8875.86</v>
      </c>
      <c r="S64" s="174">
        <v>333005.37</v>
      </c>
      <c r="T64" s="474"/>
      <c r="U64" s="474"/>
      <c r="V64" s="471">
        <f>T41/U41*O64</f>
        <v>15849.751846204295</v>
      </c>
      <c r="W64" s="471">
        <f>T41/U41*O64*44%</f>
        <v>6973.8908123298897</v>
      </c>
      <c r="X64" s="203" t="s">
        <v>13883</v>
      </c>
      <c r="Y64" s="291" t="s">
        <v>13884</v>
      </c>
      <c r="Z64" s="291">
        <v>170</v>
      </c>
      <c r="AA64" s="291"/>
      <c r="AB64" s="291"/>
      <c r="AC64" s="291"/>
      <c r="AD64" s="291"/>
      <c r="AE64" s="291"/>
    </row>
    <row r="65" spans="1:31" ht="54.75" customHeight="1" x14ac:dyDescent="0.2">
      <c r="A65" s="468">
        <v>52</v>
      </c>
      <c r="B65" s="291" t="s">
        <v>13937</v>
      </c>
      <c r="C65" s="291" t="s">
        <v>1029</v>
      </c>
      <c r="D65" s="85" t="s">
        <v>13886</v>
      </c>
      <c r="E65" s="4" t="s">
        <v>13938</v>
      </c>
      <c r="F65" s="203" t="s">
        <v>13939</v>
      </c>
      <c r="G65" s="203" t="s">
        <v>13940</v>
      </c>
      <c r="H65" s="203" t="s">
        <v>13757</v>
      </c>
      <c r="I65" s="291" t="s">
        <v>12480</v>
      </c>
      <c r="J65" s="221" t="s">
        <v>13758</v>
      </c>
      <c r="K65" s="203" t="s">
        <v>2207</v>
      </c>
      <c r="L65" s="203" t="s">
        <v>3136</v>
      </c>
      <c r="M65" s="204">
        <v>40311</v>
      </c>
      <c r="N65" s="203">
        <v>250</v>
      </c>
      <c r="O65" s="483">
        <v>11.9</v>
      </c>
      <c r="P65" s="371">
        <f>T65/U65*O65</f>
        <v>12245.089275452843</v>
      </c>
      <c r="Q65" s="174">
        <f>T65/U65*O65*44%</f>
        <v>5387.8392811992508</v>
      </c>
      <c r="R65" s="174">
        <f>V65-W65</f>
        <v>6857.25</v>
      </c>
      <c r="S65" s="472"/>
      <c r="T65" s="174">
        <v>1153199.29</v>
      </c>
      <c r="U65" s="174">
        <f>890.7+0+230</f>
        <v>1120.7</v>
      </c>
      <c r="V65" s="471">
        <f>ROUND(P65,2)</f>
        <v>12245.09</v>
      </c>
      <c r="W65" s="471">
        <f>ROUND(Q65,2)</f>
        <v>5387.84</v>
      </c>
      <c r="X65" s="203" t="s">
        <v>13941</v>
      </c>
      <c r="Y65" s="203" t="s">
        <v>13942</v>
      </c>
      <c r="Z65" s="291">
        <v>170</v>
      </c>
      <c r="AA65" s="203"/>
      <c r="AB65" s="204"/>
      <c r="AC65" s="291"/>
      <c r="AD65" s="291"/>
      <c r="AE65" s="291"/>
    </row>
    <row r="66" spans="1:31" ht="93.75" customHeight="1" x14ac:dyDescent="0.2">
      <c r="A66" s="468">
        <v>53</v>
      </c>
      <c r="B66" s="291" t="s">
        <v>13943</v>
      </c>
      <c r="C66" s="291" t="s">
        <v>13944</v>
      </c>
      <c r="D66" s="85" t="s">
        <v>13886</v>
      </c>
      <c r="E66" s="4" t="s">
        <v>13156</v>
      </c>
      <c r="F66" s="203" t="s">
        <v>13887</v>
      </c>
      <c r="G66" s="203" t="s">
        <v>13945</v>
      </c>
      <c r="H66" s="203" t="s">
        <v>13757</v>
      </c>
      <c r="I66" s="291" t="s">
        <v>12480</v>
      </c>
      <c r="J66" s="221" t="s">
        <v>13758</v>
      </c>
      <c r="K66" s="203" t="s">
        <v>2207</v>
      </c>
      <c r="L66" s="203" t="s">
        <v>3136</v>
      </c>
      <c r="M66" s="204">
        <v>40529</v>
      </c>
      <c r="N66" s="203">
        <v>729</v>
      </c>
      <c r="O66" s="174">
        <v>17.100000000000001</v>
      </c>
      <c r="P66" s="174">
        <f>T66/U66*O66</f>
        <v>27053.843031183347</v>
      </c>
      <c r="Q66" s="174">
        <f>T66/U66*O66*44%</f>
        <v>11903.690933720673</v>
      </c>
      <c r="R66" s="174">
        <f t="shared" si="8"/>
        <v>15150.152097462675</v>
      </c>
      <c r="S66" s="174">
        <v>461345.18</v>
      </c>
      <c r="T66" s="474">
        <v>4302352.09</v>
      </c>
      <c r="U66" s="474">
        <f>2070+147.4+502</f>
        <v>2719.4</v>
      </c>
      <c r="V66" s="471">
        <f>T66/U66*O66</f>
        <v>27053.843031183347</v>
      </c>
      <c r="W66" s="471">
        <f>T66/U66*O66*44%</f>
        <v>11903.690933720673</v>
      </c>
      <c r="X66" s="203" t="s">
        <v>13946</v>
      </c>
      <c r="Y66" s="204" t="s">
        <v>6147</v>
      </c>
      <c r="Z66" s="203" t="s">
        <v>13947</v>
      </c>
      <c r="AA66" s="203"/>
      <c r="AB66" s="204"/>
      <c r="AC66" s="291"/>
      <c r="AD66" s="203"/>
      <c r="AE66" s="203"/>
    </row>
    <row r="67" spans="1:31" ht="93.75" customHeight="1" x14ac:dyDescent="0.2">
      <c r="A67" s="468">
        <v>54</v>
      </c>
      <c r="B67" s="291" t="s">
        <v>13943</v>
      </c>
      <c r="C67" s="291" t="s">
        <v>13948</v>
      </c>
      <c r="D67" s="85" t="s">
        <v>13886</v>
      </c>
      <c r="E67" s="4" t="s">
        <v>13156</v>
      </c>
      <c r="F67" s="203" t="s">
        <v>13887</v>
      </c>
      <c r="G67" s="203" t="s">
        <v>13949</v>
      </c>
      <c r="H67" s="203" t="s">
        <v>13757</v>
      </c>
      <c r="I67" s="291" t="s">
        <v>12480</v>
      </c>
      <c r="J67" s="221" t="s">
        <v>13758</v>
      </c>
      <c r="K67" s="203" t="s">
        <v>2207</v>
      </c>
      <c r="L67" s="203" t="s">
        <v>3136</v>
      </c>
      <c r="M67" s="204">
        <v>40529</v>
      </c>
      <c r="N67" s="203">
        <v>729</v>
      </c>
      <c r="O67" s="174">
        <v>17.899999999999999</v>
      </c>
      <c r="P67" s="174">
        <f>T66/U66*O67</f>
        <v>28319.51989813929</v>
      </c>
      <c r="Q67" s="174">
        <f>T66/U66*O67*44%</f>
        <v>12460.588755181287</v>
      </c>
      <c r="R67" s="174">
        <f t="shared" si="8"/>
        <v>15858.931142958003</v>
      </c>
      <c r="S67" s="174">
        <v>482928.57</v>
      </c>
      <c r="T67" s="474"/>
      <c r="U67" s="474"/>
      <c r="V67" s="471">
        <f>T66/U66*O67</f>
        <v>28319.51989813929</v>
      </c>
      <c r="W67" s="471">
        <f>T66/U66*O67*44%</f>
        <v>12460.588755181287</v>
      </c>
      <c r="X67" s="203" t="s">
        <v>13946</v>
      </c>
      <c r="Y67" s="204" t="s">
        <v>6147</v>
      </c>
      <c r="Z67" s="203" t="s">
        <v>13947</v>
      </c>
      <c r="AA67" s="203"/>
      <c r="AB67" s="204"/>
      <c r="AC67" s="291"/>
      <c r="AD67" s="203"/>
      <c r="AE67" s="203"/>
    </row>
    <row r="68" spans="1:31" ht="93.75" customHeight="1" x14ac:dyDescent="0.2">
      <c r="A68" s="468">
        <v>55</v>
      </c>
      <c r="B68" s="291" t="s">
        <v>13943</v>
      </c>
      <c r="C68" s="291" t="s">
        <v>13950</v>
      </c>
      <c r="D68" s="85" t="s">
        <v>13886</v>
      </c>
      <c r="E68" s="4" t="s">
        <v>13156</v>
      </c>
      <c r="F68" s="203" t="s">
        <v>13887</v>
      </c>
      <c r="G68" s="203" t="s">
        <v>13951</v>
      </c>
      <c r="H68" s="203" t="s">
        <v>13757</v>
      </c>
      <c r="I68" s="291" t="s">
        <v>12480</v>
      </c>
      <c r="J68" s="221" t="s">
        <v>13758</v>
      </c>
      <c r="K68" s="203" t="s">
        <v>2207</v>
      </c>
      <c r="L68" s="203" t="s">
        <v>3136</v>
      </c>
      <c r="M68" s="204">
        <v>40529</v>
      </c>
      <c r="N68" s="203">
        <v>729</v>
      </c>
      <c r="O68" s="174">
        <v>17.600000000000001</v>
      </c>
      <c r="P68" s="174">
        <f>T66/U66*O68</f>
        <v>27844.891073030816</v>
      </c>
      <c r="Q68" s="174">
        <f>T66/U66*O68*44%</f>
        <v>12251.752072133559</v>
      </c>
      <c r="R68" s="174">
        <f t="shared" si="8"/>
        <v>15593.139000897258</v>
      </c>
      <c r="S68" s="174">
        <v>474834.8</v>
      </c>
      <c r="T68" s="474"/>
      <c r="U68" s="474"/>
      <c r="V68" s="471">
        <f>T66/U66*O68</f>
        <v>27844.891073030816</v>
      </c>
      <c r="W68" s="471">
        <f>T66/U66*O68*44%</f>
        <v>12251.752072133559</v>
      </c>
      <c r="X68" s="203" t="s">
        <v>13946</v>
      </c>
      <c r="Y68" s="204" t="s">
        <v>6147</v>
      </c>
      <c r="Z68" s="203" t="s">
        <v>13947</v>
      </c>
      <c r="AA68" s="203"/>
      <c r="AB68" s="204"/>
      <c r="AC68" s="291"/>
      <c r="AD68" s="203"/>
      <c r="AE68" s="203"/>
    </row>
    <row r="69" spans="1:31" ht="93.75" customHeight="1" x14ac:dyDescent="0.2">
      <c r="A69" s="468">
        <v>56</v>
      </c>
      <c r="B69" s="291" t="s">
        <v>13943</v>
      </c>
      <c r="C69" s="291" t="s">
        <v>13952</v>
      </c>
      <c r="D69" s="85" t="s">
        <v>13886</v>
      </c>
      <c r="E69" s="4" t="s">
        <v>13156</v>
      </c>
      <c r="F69" s="203" t="s">
        <v>13887</v>
      </c>
      <c r="G69" s="203" t="s">
        <v>13953</v>
      </c>
      <c r="H69" s="203" t="s">
        <v>13757</v>
      </c>
      <c r="I69" s="291" t="s">
        <v>12480</v>
      </c>
      <c r="J69" s="221" t="s">
        <v>13758</v>
      </c>
      <c r="K69" s="203" t="s">
        <v>2207</v>
      </c>
      <c r="L69" s="203" t="s">
        <v>3136</v>
      </c>
      <c r="M69" s="204">
        <v>40529</v>
      </c>
      <c r="N69" s="203">
        <v>729</v>
      </c>
      <c r="O69" s="174">
        <v>17.2</v>
      </c>
      <c r="P69" s="174">
        <f>T66/U66*O69</f>
        <v>27212.05263955284</v>
      </c>
      <c r="Q69" s="174">
        <f>T66/U66*O69*44%</f>
        <v>11973.30316140325</v>
      </c>
      <c r="R69" s="174">
        <f t="shared" si="8"/>
        <v>15238.74947814959</v>
      </c>
      <c r="S69" s="174">
        <v>464043.1</v>
      </c>
      <c r="T69" s="474"/>
      <c r="U69" s="474"/>
      <c r="V69" s="471">
        <f>T66/U66*O69</f>
        <v>27212.05263955284</v>
      </c>
      <c r="W69" s="471">
        <f>T66/U66*O69*44%</f>
        <v>11973.30316140325</v>
      </c>
      <c r="X69" s="203" t="s">
        <v>13946</v>
      </c>
      <c r="Y69" s="204" t="s">
        <v>6147</v>
      </c>
      <c r="Z69" s="203" t="s">
        <v>13947</v>
      </c>
      <c r="AA69" s="203"/>
      <c r="AB69" s="204"/>
      <c r="AC69" s="291"/>
      <c r="AD69" s="203"/>
      <c r="AE69" s="203"/>
    </row>
    <row r="70" spans="1:31" ht="93.75" customHeight="1" x14ac:dyDescent="0.2">
      <c r="A70" s="468">
        <v>57</v>
      </c>
      <c r="B70" s="291" t="s">
        <v>13943</v>
      </c>
      <c r="C70" s="291" t="s">
        <v>13954</v>
      </c>
      <c r="D70" s="85" t="s">
        <v>13886</v>
      </c>
      <c r="E70" s="4" t="s">
        <v>13156</v>
      </c>
      <c r="F70" s="203" t="s">
        <v>13887</v>
      </c>
      <c r="G70" s="203" t="s">
        <v>13955</v>
      </c>
      <c r="H70" s="203" t="s">
        <v>13757</v>
      </c>
      <c r="I70" s="291" t="s">
        <v>12480</v>
      </c>
      <c r="J70" s="221" t="s">
        <v>13758</v>
      </c>
      <c r="K70" s="203" t="s">
        <v>2207</v>
      </c>
      <c r="L70" s="203" t="s">
        <v>3136</v>
      </c>
      <c r="M70" s="204">
        <v>40529</v>
      </c>
      <c r="N70" s="203">
        <v>729</v>
      </c>
      <c r="O70" s="174">
        <v>17</v>
      </c>
      <c r="P70" s="174">
        <f>T66/U66*O70</f>
        <v>26895.633422813851</v>
      </c>
      <c r="Q70" s="174">
        <f>T66/U66*O70*44%</f>
        <v>11834.078706038095</v>
      </c>
      <c r="R70" s="174">
        <f t="shared" si="8"/>
        <v>15061.554716775756</v>
      </c>
      <c r="S70" s="174">
        <v>458647.25</v>
      </c>
      <c r="T70" s="474"/>
      <c r="U70" s="474"/>
      <c r="V70" s="471">
        <f>T66/U66*O70</f>
        <v>26895.633422813851</v>
      </c>
      <c r="W70" s="471">
        <f>T66/U66*O70*44%</f>
        <v>11834.078706038095</v>
      </c>
      <c r="X70" s="203" t="s">
        <v>13946</v>
      </c>
      <c r="Y70" s="204" t="s">
        <v>6147</v>
      </c>
      <c r="Z70" s="203" t="s">
        <v>13947</v>
      </c>
      <c r="AA70" s="203"/>
      <c r="AB70" s="204"/>
      <c r="AC70" s="291"/>
      <c r="AD70" s="203"/>
      <c r="AE70" s="203"/>
    </row>
    <row r="71" spans="1:31" ht="93.75" customHeight="1" x14ac:dyDescent="0.2">
      <c r="A71" s="468">
        <v>58</v>
      </c>
      <c r="B71" s="291" t="s">
        <v>13943</v>
      </c>
      <c r="C71" s="291" t="s">
        <v>13956</v>
      </c>
      <c r="D71" s="85" t="s">
        <v>13886</v>
      </c>
      <c r="E71" s="4" t="s">
        <v>13156</v>
      </c>
      <c r="F71" s="203" t="s">
        <v>13887</v>
      </c>
      <c r="G71" s="203" t="s">
        <v>13957</v>
      </c>
      <c r="H71" s="203" t="s">
        <v>13757</v>
      </c>
      <c r="I71" s="291" t="s">
        <v>12480</v>
      </c>
      <c r="J71" s="221" t="s">
        <v>13758</v>
      </c>
      <c r="K71" s="203" t="s">
        <v>2207</v>
      </c>
      <c r="L71" s="203" t="s">
        <v>3136</v>
      </c>
      <c r="M71" s="204">
        <v>40529</v>
      </c>
      <c r="N71" s="203">
        <v>729</v>
      </c>
      <c r="O71" s="174">
        <v>17.8</v>
      </c>
      <c r="P71" s="174">
        <f>T66/U66*O71</f>
        <v>28161.310289769801</v>
      </c>
      <c r="Q71" s="174">
        <f>T66/U66*O71*44%</f>
        <v>12390.976527498713</v>
      </c>
      <c r="R71" s="174">
        <f t="shared" si="8"/>
        <v>15770.333762271088</v>
      </c>
      <c r="S71" s="174">
        <v>480230.65</v>
      </c>
      <c r="T71" s="474"/>
      <c r="U71" s="474"/>
      <c r="V71" s="471">
        <f>T66/U66*O71</f>
        <v>28161.310289769801</v>
      </c>
      <c r="W71" s="471">
        <f>T66/U66*O71*44%</f>
        <v>12390.976527498713</v>
      </c>
      <c r="X71" s="203" t="s">
        <v>13946</v>
      </c>
      <c r="Y71" s="204" t="s">
        <v>6147</v>
      </c>
      <c r="Z71" s="203" t="s">
        <v>13947</v>
      </c>
      <c r="AA71" s="203"/>
      <c r="AB71" s="204"/>
      <c r="AC71" s="291"/>
      <c r="AD71" s="203"/>
      <c r="AE71" s="203"/>
    </row>
    <row r="72" spans="1:31" ht="93.75" customHeight="1" x14ac:dyDescent="0.2">
      <c r="A72" s="468">
        <v>59</v>
      </c>
      <c r="B72" s="291" t="s">
        <v>13943</v>
      </c>
      <c r="C72" s="291" t="s">
        <v>13958</v>
      </c>
      <c r="D72" s="85" t="s">
        <v>13886</v>
      </c>
      <c r="E72" s="4" t="s">
        <v>13156</v>
      </c>
      <c r="F72" s="203" t="s">
        <v>13887</v>
      </c>
      <c r="G72" s="203" t="s">
        <v>13959</v>
      </c>
      <c r="H72" s="203" t="s">
        <v>13757</v>
      </c>
      <c r="I72" s="291" t="s">
        <v>12480</v>
      </c>
      <c r="J72" s="221" t="s">
        <v>13758</v>
      </c>
      <c r="K72" s="203" t="s">
        <v>2207</v>
      </c>
      <c r="L72" s="203" t="s">
        <v>3136</v>
      </c>
      <c r="M72" s="204">
        <v>40529</v>
      </c>
      <c r="N72" s="203">
        <v>729</v>
      </c>
      <c r="O72" s="174">
        <v>17.5</v>
      </c>
      <c r="P72" s="174">
        <f>T66/U66*O72</f>
        <v>27686.68146466132</v>
      </c>
      <c r="Q72" s="174">
        <f>T66/U66*O72*44%</f>
        <v>12182.139844450981</v>
      </c>
      <c r="R72" s="174">
        <f t="shared" si="8"/>
        <v>15504.541620210339</v>
      </c>
      <c r="S72" s="174">
        <v>472136.88</v>
      </c>
      <c r="T72" s="474"/>
      <c r="U72" s="474"/>
      <c r="V72" s="471">
        <f>T66/U66*O72</f>
        <v>27686.68146466132</v>
      </c>
      <c r="W72" s="471">
        <f>T66/U66*O72*44%</f>
        <v>12182.139844450981</v>
      </c>
      <c r="X72" s="203" t="s">
        <v>13946</v>
      </c>
      <c r="Y72" s="204" t="s">
        <v>6147</v>
      </c>
      <c r="Z72" s="203" t="s">
        <v>13947</v>
      </c>
      <c r="AA72" s="203"/>
      <c r="AB72" s="204"/>
      <c r="AC72" s="291"/>
      <c r="AD72" s="203"/>
      <c r="AE72" s="203"/>
    </row>
    <row r="73" spans="1:31" ht="93.75" customHeight="1" x14ac:dyDescent="0.2">
      <c r="A73" s="468">
        <v>60</v>
      </c>
      <c r="B73" s="291" t="s">
        <v>13943</v>
      </c>
      <c r="C73" s="291" t="s">
        <v>13960</v>
      </c>
      <c r="D73" s="85" t="s">
        <v>13886</v>
      </c>
      <c r="E73" s="4" t="s">
        <v>13156</v>
      </c>
      <c r="F73" s="203" t="s">
        <v>13887</v>
      </c>
      <c r="G73" s="203" t="s">
        <v>13961</v>
      </c>
      <c r="H73" s="203" t="s">
        <v>13757</v>
      </c>
      <c r="I73" s="291" t="s">
        <v>12480</v>
      </c>
      <c r="J73" s="221" t="s">
        <v>13758</v>
      </c>
      <c r="K73" s="203" t="s">
        <v>2207</v>
      </c>
      <c r="L73" s="203" t="s">
        <v>3136</v>
      </c>
      <c r="M73" s="204">
        <v>40529</v>
      </c>
      <c r="N73" s="203">
        <v>729</v>
      </c>
      <c r="O73" s="174">
        <v>17.3</v>
      </c>
      <c r="P73" s="174">
        <f>T66/U66*O73</f>
        <v>27370.262247922336</v>
      </c>
      <c r="Q73" s="174">
        <f>T66/U66*O73*44%</f>
        <v>12042.915389085827</v>
      </c>
      <c r="R73" s="174">
        <f t="shared" si="8"/>
        <v>15327.346858836509</v>
      </c>
      <c r="S73" s="174">
        <v>466741.03</v>
      </c>
      <c r="T73" s="474"/>
      <c r="U73" s="474"/>
      <c r="V73" s="471">
        <f>T66/U66*O73</f>
        <v>27370.262247922336</v>
      </c>
      <c r="W73" s="471">
        <f>T66/U66*O73*44%</f>
        <v>12042.915389085827</v>
      </c>
      <c r="X73" s="203" t="s">
        <v>13946</v>
      </c>
      <c r="Y73" s="204" t="s">
        <v>6147</v>
      </c>
      <c r="Z73" s="203" t="s">
        <v>13947</v>
      </c>
      <c r="AA73" s="203"/>
      <c r="AB73" s="204"/>
      <c r="AC73" s="291"/>
      <c r="AD73" s="203"/>
      <c r="AE73" s="203"/>
    </row>
    <row r="74" spans="1:31" ht="93.75" customHeight="1" x14ac:dyDescent="0.2">
      <c r="A74" s="468">
        <v>61</v>
      </c>
      <c r="B74" s="291" t="s">
        <v>13943</v>
      </c>
      <c r="C74" s="291" t="s">
        <v>13962</v>
      </c>
      <c r="D74" s="85" t="s">
        <v>13886</v>
      </c>
      <c r="E74" s="4" t="s">
        <v>13156</v>
      </c>
      <c r="F74" s="203" t="s">
        <v>13887</v>
      </c>
      <c r="G74" s="203" t="s">
        <v>13963</v>
      </c>
      <c r="H74" s="203" t="s">
        <v>13757</v>
      </c>
      <c r="I74" s="291" t="s">
        <v>12480</v>
      </c>
      <c r="J74" s="221" t="s">
        <v>13758</v>
      </c>
      <c r="K74" s="203" t="s">
        <v>2207</v>
      </c>
      <c r="L74" s="203" t="s">
        <v>3136</v>
      </c>
      <c r="M74" s="204">
        <v>40529</v>
      </c>
      <c r="N74" s="203">
        <v>729</v>
      </c>
      <c r="O74" s="174">
        <v>17.5</v>
      </c>
      <c r="P74" s="174">
        <f>T66/U66*O74</f>
        <v>27686.68146466132</v>
      </c>
      <c r="Q74" s="174">
        <f>T66/U66*O74*44%</f>
        <v>12182.139844450981</v>
      </c>
      <c r="R74" s="174">
        <f t="shared" si="8"/>
        <v>15504.541620210339</v>
      </c>
      <c r="S74" s="174">
        <v>472136.88</v>
      </c>
      <c r="T74" s="474"/>
      <c r="U74" s="474"/>
      <c r="V74" s="471">
        <f>T66/U66*O74</f>
        <v>27686.68146466132</v>
      </c>
      <c r="W74" s="471">
        <f>T66/U66*O74*44%</f>
        <v>12182.139844450981</v>
      </c>
      <c r="X74" s="203" t="s">
        <v>13946</v>
      </c>
      <c r="Y74" s="204" t="s">
        <v>6147</v>
      </c>
      <c r="Z74" s="203" t="s">
        <v>13947</v>
      </c>
      <c r="AA74" s="203"/>
      <c r="AB74" s="204"/>
      <c r="AC74" s="291"/>
      <c r="AD74" s="203"/>
      <c r="AE74" s="203"/>
    </row>
    <row r="75" spans="1:31" ht="93.75" customHeight="1" x14ac:dyDescent="0.2">
      <c r="A75" s="468">
        <v>62</v>
      </c>
      <c r="B75" s="291" t="s">
        <v>13943</v>
      </c>
      <c r="C75" s="291" t="s">
        <v>13964</v>
      </c>
      <c r="D75" s="85" t="s">
        <v>13886</v>
      </c>
      <c r="E75" s="4" t="s">
        <v>13156</v>
      </c>
      <c r="F75" s="203" t="s">
        <v>13887</v>
      </c>
      <c r="G75" s="203" t="s">
        <v>13965</v>
      </c>
      <c r="H75" s="203" t="s">
        <v>13757</v>
      </c>
      <c r="I75" s="291" t="s">
        <v>12480</v>
      </c>
      <c r="J75" s="221" t="s">
        <v>13758</v>
      </c>
      <c r="K75" s="203" t="s">
        <v>2207</v>
      </c>
      <c r="L75" s="203" t="s">
        <v>3136</v>
      </c>
      <c r="M75" s="204">
        <v>40529</v>
      </c>
      <c r="N75" s="203">
        <v>729</v>
      </c>
      <c r="O75" s="174">
        <v>17</v>
      </c>
      <c r="P75" s="174">
        <f>T66/U66*O75</f>
        <v>26895.633422813851</v>
      </c>
      <c r="Q75" s="174">
        <f>T66/U66*O75*44%</f>
        <v>11834.078706038095</v>
      </c>
      <c r="R75" s="174">
        <f t="shared" si="8"/>
        <v>15061.554716775756</v>
      </c>
      <c r="S75" s="174">
        <v>458647.25</v>
      </c>
      <c r="T75" s="474"/>
      <c r="U75" s="474"/>
      <c r="V75" s="471">
        <f>T66/U66*O75</f>
        <v>26895.633422813851</v>
      </c>
      <c r="W75" s="471">
        <f>T66/U66*O75*44%</f>
        <v>11834.078706038095</v>
      </c>
      <c r="X75" s="203" t="s">
        <v>13946</v>
      </c>
      <c r="Y75" s="203" t="s">
        <v>6147</v>
      </c>
      <c r="Z75" s="203" t="s">
        <v>13947</v>
      </c>
      <c r="AA75" s="203"/>
      <c r="AB75" s="204"/>
      <c r="AC75" s="291"/>
      <c r="AD75" s="203"/>
      <c r="AE75" s="203"/>
    </row>
    <row r="76" spans="1:31" ht="93.75" customHeight="1" x14ac:dyDescent="0.2">
      <c r="A76" s="468">
        <v>63</v>
      </c>
      <c r="B76" s="291" t="s">
        <v>13943</v>
      </c>
      <c r="C76" s="291" t="s">
        <v>13966</v>
      </c>
      <c r="D76" s="85" t="s">
        <v>13886</v>
      </c>
      <c r="E76" s="4" t="s">
        <v>13156</v>
      </c>
      <c r="F76" s="203" t="s">
        <v>13887</v>
      </c>
      <c r="G76" s="203" t="s">
        <v>13967</v>
      </c>
      <c r="H76" s="203" t="s">
        <v>13757</v>
      </c>
      <c r="I76" s="291" t="s">
        <v>12480</v>
      </c>
      <c r="J76" s="221" t="s">
        <v>13758</v>
      </c>
      <c r="K76" s="203" t="s">
        <v>2207</v>
      </c>
      <c r="L76" s="203" t="s">
        <v>3136</v>
      </c>
      <c r="M76" s="204">
        <v>40529</v>
      </c>
      <c r="N76" s="203">
        <v>729</v>
      </c>
      <c r="O76" s="174">
        <v>17.2</v>
      </c>
      <c r="P76" s="174">
        <f>T66/U66*O76</f>
        <v>27212.05263955284</v>
      </c>
      <c r="Q76" s="174">
        <f>T66/U66*O76*44%</f>
        <v>11973.30316140325</v>
      </c>
      <c r="R76" s="174">
        <f t="shared" si="8"/>
        <v>15238.74947814959</v>
      </c>
      <c r="S76" s="174">
        <v>464043.1</v>
      </c>
      <c r="T76" s="474"/>
      <c r="U76" s="474"/>
      <c r="V76" s="471">
        <f>T66/U66*O76</f>
        <v>27212.05263955284</v>
      </c>
      <c r="W76" s="471">
        <f>T66/U66*O76*44%</f>
        <v>11973.30316140325</v>
      </c>
      <c r="X76" s="203" t="s">
        <v>13946</v>
      </c>
      <c r="Y76" s="203" t="s">
        <v>6147</v>
      </c>
      <c r="Z76" s="203" t="s">
        <v>13947</v>
      </c>
      <c r="AA76" s="203"/>
      <c r="AB76" s="204"/>
      <c r="AC76" s="291"/>
      <c r="AD76" s="203"/>
      <c r="AE76" s="203"/>
    </row>
    <row r="77" spans="1:31" ht="93.75" customHeight="1" x14ac:dyDescent="0.2">
      <c r="A77" s="468">
        <v>64</v>
      </c>
      <c r="B77" s="291" t="s">
        <v>13943</v>
      </c>
      <c r="C77" s="203" t="s">
        <v>13968</v>
      </c>
      <c r="D77" s="85" t="s">
        <v>13886</v>
      </c>
      <c r="E77" s="4" t="s">
        <v>13156</v>
      </c>
      <c r="F77" s="203" t="s">
        <v>13887</v>
      </c>
      <c r="G77" s="203" t="s">
        <v>13969</v>
      </c>
      <c r="H77" s="203" t="s">
        <v>13757</v>
      </c>
      <c r="I77" s="291" t="s">
        <v>12480</v>
      </c>
      <c r="J77" s="221" t="s">
        <v>13758</v>
      </c>
      <c r="K77" s="203" t="s">
        <v>2207</v>
      </c>
      <c r="L77" s="203" t="s">
        <v>3136</v>
      </c>
      <c r="M77" s="204">
        <v>40529</v>
      </c>
      <c r="N77" s="203">
        <v>729</v>
      </c>
      <c r="O77" s="174">
        <v>17.7</v>
      </c>
      <c r="P77" s="174">
        <f>T66/U66*O77</f>
        <v>28003.100681400305</v>
      </c>
      <c r="Q77" s="174">
        <f>T66/U66*O77*44%</f>
        <v>12321.364299816134</v>
      </c>
      <c r="R77" s="174">
        <f t="shared" si="8"/>
        <v>15681.736381584171</v>
      </c>
      <c r="S77" s="174">
        <v>477532.73</v>
      </c>
      <c r="T77" s="474"/>
      <c r="U77" s="474"/>
      <c r="V77" s="471">
        <f>T66/U66*O77</f>
        <v>28003.100681400305</v>
      </c>
      <c r="W77" s="471">
        <f>T66/U66*O77*44%</f>
        <v>12321.364299816134</v>
      </c>
      <c r="X77" s="203" t="s">
        <v>13946</v>
      </c>
      <c r="Y77" s="203" t="s">
        <v>6147</v>
      </c>
      <c r="Z77" s="203" t="s">
        <v>13947</v>
      </c>
      <c r="AA77" s="203"/>
      <c r="AB77" s="204"/>
      <c r="AC77" s="291"/>
      <c r="AD77" s="203"/>
      <c r="AE77" s="203"/>
    </row>
    <row r="78" spans="1:31" ht="93.75" customHeight="1" x14ac:dyDescent="0.2">
      <c r="A78" s="468">
        <v>65</v>
      </c>
      <c r="B78" s="291" t="s">
        <v>13943</v>
      </c>
      <c r="C78" s="203" t="s">
        <v>13970</v>
      </c>
      <c r="D78" s="85" t="s">
        <v>13886</v>
      </c>
      <c r="E78" s="4" t="s">
        <v>13156</v>
      </c>
      <c r="F78" s="203" t="s">
        <v>13887</v>
      </c>
      <c r="G78" s="203" t="s">
        <v>13971</v>
      </c>
      <c r="H78" s="203" t="s">
        <v>13757</v>
      </c>
      <c r="I78" s="291" t="s">
        <v>12480</v>
      </c>
      <c r="J78" s="221" t="s">
        <v>13758</v>
      </c>
      <c r="K78" s="203" t="s">
        <v>2207</v>
      </c>
      <c r="L78" s="203" t="s">
        <v>3136</v>
      </c>
      <c r="M78" s="204">
        <v>40529</v>
      </c>
      <c r="N78" s="203">
        <v>729</v>
      </c>
      <c r="O78" s="174">
        <v>17.5</v>
      </c>
      <c r="P78" s="174">
        <f>T66/U66*O78</f>
        <v>27686.68146466132</v>
      </c>
      <c r="Q78" s="174">
        <f>T66/U66*O78*44%</f>
        <v>12182.139844450981</v>
      </c>
      <c r="R78" s="174">
        <f t="shared" si="8"/>
        <v>15504.541620210339</v>
      </c>
      <c r="S78" s="174">
        <v>472136.88</v>
      </c>
      <c r="T78" s="474"/>
      <c r="U78" s="474"/>
      <c r="V78" s="471">
        <f>T66/U66*O78</f>
        <v>27686.68146466132</v>
      </c>
      <c r="W78" s="471">
        <f>T66/U66*O78*44%</f>
        <v>12182.139844450981</v>
      </c>
      <c r="X78" s="203" t="s">
        <v>13946</v>
      </c>
      <c r="Y78" s="203" t="s">
        <v>6147</v>
      </c>
      <c r="Z78" s="203" t="s">
        <v>13947</v>
      </c>
      <c r="AA78" s="203"/>
      <c r="AB78" s="204"/>
      <c r="AC78" s="291"/>
      <c r="AD78" s="203"/>
      <c r="AE78" s="203"/>
    </row>
    <row r="79" spans="1:31" ht="93.75" customHeight="1" x14ac:dyDescent="0.2">
      <c r="A79" s="468">
        <v>66</v>
      </c>
      <c r="B79" s="291" t="s">
        <v>13943</v>
      </c>
      <c r="C79" s="203" t="s">
        <v>13972</v>
      </c>
      <c r="D79" s="85" t="s">
        <v>13886</v>
      </c>
      <c r="E79" s="4" t="s">
        <v>13156</v>
      </c>
      <c r="F79" s="203" t="s">
        <v>13887</v>
      </c>
      <c r="G79" s="203" t="s">
        <v>13973</v>
      </c>
      <c r="H79" s="203" t="s">
        <v>13757</v>
      </c>
      <c r="I79" s="291" t="s">
        <v>12480</v>
      </c>
      <c r="J79" s="221" t="s">
        <v>13758</v>
      </c>
      <c r="K79" s="203" t="s">
        <v>2207</v>
      </c>
      <c r="L79" s="203" t="s">
        <v>3136</v>
      </c>
      <c r="M79" s="204">
        <v>40529</v>
      </c>
      <c r="N79" s="203">
        <v>729</v>
      </c>
      <c r="O79" s="174">
        <v>18</v>
      </c>
      <c r="P79" s="174">
        <f>T66/U66*O79</f>
        <v>28477.729506508786</v>
      </c>
      <c r="Q79" s="174">
        <f>T66/U66*O79*44%</f>
        <v>12530.200982863866</v>
      </c>
      <c r="R79" s="174">
        <f t="shared" si="8"/>
        <v>15947.52852364492</v>
      </c>
      <c r="S79" s="174">
        <v>485626.5</v>
      </c>
      <c r="T79" s="474"/>
      <c r="U79" s="474"/>
      <c r="V79" s="471">
        <f>T66/U66*O79</f>
        <v>28477.729506508786</v>
      </c>
      <c r="W79" s="471">
        <f>T66/U66*O79*44%</f>
        <v>12530.200982863866</v>
      </c>
      <c r="X79" s="203" t="s">
        <v>13946</v>
      </c>
      <c r="Y79" s="203" t="s">
        <v>6147</v>
      </c>
      <c r="Z79" s="203" t="s">
        <v>13947</v>
      </c>
      <c r="AA79" s="203"/>
      <c r="AB79" s="204"/>
      <c r="AC79" s="291"/>
      <c r="AD79" s="203"/>
      <c r="AE79" s="203"/>
    </row>
    <row r="80" spans="1:31" ht="93.75" customHeight="1" x14ac:dyDescent="0.2">
      <c r="A80" s="468">
        <v>67</v>
      </c>
      <c r="B80" s="291" t="s">
        <v>13943</v>
      </c>
      <c r="C80" s="203" t="s">
        <v>13974</v>
      </c>
      <c r="D80" s="85" t="s">
        <v>13886</v>
      </c>
      <c r="E80" s="4" t="s">
        <v>13156</v>
      </c>
      <c r="F80" s="203" t="s">
        <v>13887</v>
      </c>
      <c r="G80" s="203" t="s">
        <v>13975</v>
      </c>
      <c r="H80" s="203" t="s">
        <v>13757</v>
      </c>
      <c r="I80" s="291" t="s">
        <v>12480</v>
      </c>
      <c r="J80" s="221" t="s">
        <v>13758</v>
      </c>
      <c r="K80" s="203" t="s">
        <v>2207</v>
      </c>
      <c r="L80" s="203" t="s">
        <v>3136</v>
      </c>
      <c r="M80" s="204">
        <v>40529</v>
      </c>
      <c r="N80" s="203">
        <v>729</v>
      </c>
      <c r="O80" s="174">
        <v>17.399999999999999</v>
      </c>
      <c r="P80" s="174">
        <f>T66/U66*O80</f>
        <v>27528.471856291824</v>
      </c>
      <c r="Q80" s="174">
        <f>T66/U66*O80*44%</f>
        <v>12112.527616768402</v>
      </c>
      <c r="R80" s="174">
        <f t="shared" si="8"/>
        <v>15415.944239523422</v>
      </c>
      <c r="S80" s="174">
        <v>469438.95</v>
      </c>
      <c r="T80" s="474"/>
      <c r="U80" s="474"/>
      <c r="V80" s="471">
        <f>T66/U66*O80</f>
        <v>27528.471856291824</v>
      </c>
      <c r="W80" s="471">
        <f>T66/U66*O80*44%</f>
        <v>12112.527616768402</v>
      </c>
      <c r="X80" s="203" t="s">
        <v>13946</v>
      </c>
      <c r="Y80" s="203" t="s">
        <v>6147</v>
      </c>
      <c r="Z80" s="203" t="s">
        <v>13947</v>
      </c>
      <c r="AA80" s="203"/>
      <c r="AB80" s="204"/>
      <c r="AC80" s="291"/>
      <c r="AD80" s="203"/>
      <c r="AE80" s="203"/>
    </row>
    <row r="81" spans="1:31" ht="93.75" customHeight="1" x14ac:dyDescent="0.2">
      <c r="A81" s="468">
        <v>68</v>
      </c>
      <c r="B81" s="291" t="s">
        <v>13943</v>
      </c>
      <c r="C81" s="291" t="s">
        <v>13976</v>
      </c>
      <c r="D81" s="85" t="s">
        <v>13886</v>
      </c>
      <c r="E81" s="4" t="s">
        <v>13156</v>
      </c>
      <c r="F81" s="203" t="s">
        <v>13767</v>
      </c>
      <c r="G81" s="203" t="s">
        <v>13977</v>
      </c>
      <c r="H81" s="203" t="s">
        <v>13757</v>
      </c>
      <c r="I81" s="291" t="s">
        <v>12480</v>
      </c>
      <c r="J81" s="221" t="s">
        <v>13758</v>
      </c>
      <c r="K81" s="203" t="s">
        <v>2207</v>
      </c>
      <c r="L81" s="203" t="s">
        <v>3136</v>
      </c>
      <c r="M81" s="204">
        <v>40529</v>
      </c>
      <c r="N81" s="203">
        <v>729</v>
      </c>
      <c r="O81" s="174">
        <v>17.5</v>
      </c>
      <c r="P81" s="174">
        <f>T66/U66*O81</f>
        <v>27686.68146466132</v>
      </c>
      <c r="Q81" s="174">
        <f>T66/U66*O81*44%</f>
        <v>12182.139844450981</v>
      </c>
      <c r="R81" s="174">
        <f t="shared" si="8"/>
        <v>15504.541620210339</v>
      </c>
      <c r="S81" s="174">
        <v>472136.88</v>
      </c>
      <c r="T81" s="474"/>
      <c r="U81" s="474"/>
      <c r="V81" s="471">
        <f>T66/U66*O81</f>
        <v>27686.68146466132</v>
      </c>
      <c r="W81" s="471">
        <f>T66/U66*O81*44%</f>
        <v>12182.139844450981</v>
      </c>
      <c r="X81" s="203" t="s">
        <v>13946</v>
      </c>
      <c r="Y81" s="203" t="s">
        <v>6147</v>
      </c>
      <c r="Z81" s="203" t="s">
        <v>13947</v>
      </c>
      <c r="AA81" s="203"/>
      <c r="AB81" s="204"/>
      <c r="AC81" s="291"/>
      <c r="AD81" s="203"/>
      <c r="AE81" s="203"/>
    </row>
    <row r="82" spans="1:31" ht="76.5" customHeight="1" x14ac:dyDescent="0.2">
      <c r="A82" s="468">
        <v>69</v>
      </c>
      <c r="B82" s="291" t="s">
        <v>13978</v>
      </c>
      <c r="C82" s="203" t="s">
        <v>1029</v>
      </c>
      <c r="D82" s="469" t="s">
        <v>13886</v>
      </c>
      <c r="E82" s="4" t="s">
        <v>13979</v>
      </c>
      <c r="F82" s="203" t="s">
        <v>13980</v>
      </c>
      <c r="G82" s="203" t="s">
        <v>13981</v>
      </c>
      <c r="H82" s="203" t="s">
        <v>13757</v>
      </c>
      <c r="I82" s="291" t="s">
        <v>12480</v>
      </c>
      <c r="J82" s="221" t="s">
        <v>13758</v>
      </c>
      <c r="K82" s="203" t="s">
        <v>2207</v>
      </c>
      <c r="L82" s="203" t="s">
        <v>3136</v>
      </c>
      <c r="M82" s="204">
        <v>40311</v>
      </c>
      <c r="N82" s="203">
        <v>250</v>
      </c>
      <c r="O82" s="470">
        <v>17.899999999999999</v>
      </c>
      <c r="P82" s="174">
        <f>T82/U82*O82</f>
        <v>23264.969876187693</v>
      </c>
      <c r="Q82" s="174">
        <f>T82/U82*O82*40%</f>
        <v>9305.987950475077</v>
      </c>
      <c r="R82" s="174">
        <f t="shared" ref="R82:R89" si="9">V82-W82</f>
        <v>13958.980000000001</v>
      </c>
      <c r="S82" s="218"/>
      <c r="T82" s="474">
        <v>5741079.7199999997</v>
      </c>
      <c r="U82" s="474">
        <f>2396.72+219.05+1801.4</f>
        <v>4417.17</v>
      </c>
      <c r="V82" s="471">
        <f t="shared" ref="V82:W89" si="10">ROUND(P82,2)</f>
        <v>23264.97</v>
      </c>
      <c r="W82" s="471">
        <f t="shared" si="10"/>
        <v>9305.99</v>
      </c>
      <c r="X82" s="203" t="s">
        <v>13946</v>
      </c>
      <c r="Y82" s="203" t="s">
        <v>13982</v>
      </c>
      <c r="Z82" s="203" t="s">
        <v>13947</v>
      </c>
      <c r="AA82" s="203"/>
      <c r="AB82" s="203"/>
      <c r="AC82" s="203"/>
      <c r="AD82" s="203"/>
      <c r="AE82" s="203"/>
    </row>
    <row r="83" spans="1:31" ht="76.5" customHeight="1" x14ac:dyDescent="0.2">
      <c r="A83" s="468">
        <v>70</v>
      </c>
      <c r="B83" s="291" t="s">
        <v>13978</v>
      </c>
      <c r="C83" s="203" t="s">
        <v>1029</v>
      </c>
      <c r="D83" s="469" t="s">
        <v>13886</v>
      </c>
      <c r="E83" s="4" t="s">
        <v>13979</v>
      </c>
      <c r="F83" s="203" t="s">
        <v>13980</v>
      </c>
      <c r="G83" s="203" t="s">
        <v>13983</v>
      </c>
      <c r="H83" s="203" t="s">
        <v>13757</v>
      </c>
      <c r="I83" s="291" t="s">
        <v>12480</v>
      </c>
      <c r="J83" s="221" t="s">
        <v>13758</v>
      </c>
      <c r="K83" s="203" t="s">
        <v>2207</v>
      </c>
      <c r="L83" s="203" t="s">
        <v>3136</v>
      </c>
      <c r="M83" s="204">
        <v>40311</v>
      </c>
      <c r="N83" s="203">
        <v>250</v>
      </c>
      <c r="O83" s="470">
        <v>12.5</v>
      </c>
      <c r="P83" s="174">
        <f>T82/U82*O83</f>
        <v>16246.487343706491</v>
      </c>
      <c r="Q83" s="174">
        <f>T82/U82*O83*40%</f>
        <v>6498.5949374825968</v>
      </c>
      <c r="R83" s="174">
        <f t="shared" si="9"/>
        <v>9747.9</v>
      </c>
      <c r="S83" s="174"/>
      <c r="T83" s="474"/>
      <c r="U83" s="474"/>
      <c r="V83" s="471">
        <f t="shared" si="10"/>
        <v>16246.49</v>
      </c>
      <c r="W83" s="471">
        <f t="shared" si="10"/>
        <v>6498.59</v>
      </c>
      <c r="X83" s="203" t="s">
        <v>13946</v>
      </c>
      <c r="Y83" s="203" t="s">
        <v>13982</v>
      </c>
      <c r="Z83" s="203" t="s">
        <v>13947</v>
      </c>
      <c r="AA83" s="203"/>
      <c r="AB83" s="203"/>
      <c r="AC83" s="203"/>
      <c r="AD83" s="203"/>
      <c r="AE83" s="203"/>
    </row>
    <row r="84" spans="1:31" ht="76.5" customHeight="1" x14ac:dyDescent="0.2">
      <c r="A84" s="468">
        <v>71</v>
      </c>
      <c r="B84" s="291" t="s">
        <v>13978</v>
      </c>
      <c r="C84" s="203" t="s">
        <v>1029</v>
      </c>
      <c r="D84" s="469" t="s">
        <v>13886</v>
      </c>
      <c r="E84" s="4" t="s">
        <v>13979</v>
      </c>
      <c r="F84" s="203" t="s">
        <v>13980</v>
      </c>
      <c r="G84" s="203" t="s">
        <v>13984</v>
      </c>
      <c r="H84" s="203" t="s">
        <v>13757</v>
      </c>
      <c r="I84" s="291" t="s">
        <v>12480</v>
      </c>
      <c r="J84" s="221" t="s">
        <v>13758</v>
      </c>
      <c r="K84" s="203" t="s">
        <v>2207</v>
      </c>
      <c r="L84" s="203" t="s">
        <v>3136</v>
      </c>
      <c r="M84" s="204">
        <v>40311</v>
      </c>
      <c r="N84" s="203">
        <v>250</v>
      </c>
      <c r="O84" s="470">
        <v>17.600000000000001</v>
      </c>
      <c r="P84" s="174">
        <f>T82/U82*O84</f>
        <v>22875.054179938743</v>
      </c>
      <c r="Q84" s="174">
        <f>T82/U82*O84*40%</f>
        <v>9150.0216719754972</v>
      </c>
      <c r="R84" s="174">
        <f t="shared" si="9"/>
        <v>13725.029999999999</v>
      </c>
      <c r="S84" s="174"/>
      <c r="T84" s="474"/>
      <c r="U84" s="474"/>
      <c r="V84" s="471">
        <f t="shared" si="10"/>
        <v>22875.05</v>
      </c>
      <c r="W84" s="471">
        <f t="shared" si="10"/>
        <v>9150.02</v>
      </c>
      <c r="X84" s="203" t="s">
        <v>13946</v>
      </c>
      <c r="Y84" s="203" t="s">
        <v>13982</v>
      </c>
      <c r="Z84" s="203" t="s">
        <v>13947</v>
      </c>
      <c r="AA84" s="203"/>
      <c r="AB84" s="203"/>
      <c r="AC84" s="203"/>
      <c r="AD84" s="203"/>
      <c r="AE84" s="203"/>
    </row>
    <row r="85" spans="1:31" ht="76.5" customHeight="1" x14ac:dyDescent="0.2">
      <c r="A85" s="468">
        <v>72</v>
      </c>
      <c r="B85" s="291" t="s">
        <v>13978</v>
      </c>
      <c r="C85" s="203" t="s">
        <v>13985</v>
      </c>
      <c r="D85" s="469" t="s">
        <v>13886</v>
      </c>
      <c r="E85" s="4" t="s">
        <v>13979</v>
      </c>
      <c r="F85" s="203" t="s">
        <v>13980</v>
      </c>
      <c r="G85" s="203" t="s">
        <v>13986</v>
      </c>
      <c r="H85" s="203" t="s">
        <v>13757</v>
      </c>
      <c r="I85" s="291" t="s">
        <v>12480</v>
      </c>
      <c r="J85" s="221" t="s">
        <v>13758</v>
      </c>
      <c r="K85" s="203" t="s">
        <v>2207</v>
      </c>
      <c r="L85" s="203" t="s">
        <v>3136</v>
      </c>
      <c r="M85" s="204">
        <v>40311</v>
      </c>
      <c r="N85" s="203">
        <v>250</v>
      </c>
      <c r="O85" s="470">
        <v>28.4</v>
      </c>
      <c r="P85" s="174">
        <f>T82/U82*O85</f>
        <v>36912.019244901145</v>
      </c>
      <c r="Q85" s="174">
        <f>T82/U82*O85*40%</f>
        <v>14764.807697960459</v>
      </c>
      <c r="R85" s="174">
        <f t="shared" si="9"/>
        <v>22147.21</v>
      </c>
      <c r="S85" s="174">
        <v>633762.76</v>
      </c>
      <c r="T85" s="474"/>
      <c r="U85" s="474"/>
      <c r="V85" s="471">
        <f t="shared" si="10"/>
        <v>36912.019999999997</v>
      </c>
      <c r="W85" s="471">
        <f t="shared" si="10"/>
        <v>14764.81</v>
      </c>
      <c r="X85" s="203" t="s">
        <v>13946</v>
      </c>
      <c r="Y85" s="203" t="s">
        <v>13982</v>
      </c>
      <c r="Z85" s="203" t="s">
        <v>13947</v>
      </c>
      <c r="AA85" s="203"/>
      <c r="AB85" s="203"/>
      <c r="AC85" s="203"/>
      <c r="AD85" s="203"/>
      <c r="AE85" s="203"/>
    </row>
    <row r="86" spans="1:31" ht="76.5" customHeight="1" x14ac:dyDescent="0.2">
      <c r="A86" s="468">
        <v>73</v>
      </c>
      <c r="B86" s="291" t="s">
        <v>13978</v>
      </c>
      <c r="C86" s="203" t="s">
        <v>1029</v>
      </c>
      <c r="D86" s="469" t="s">
        <v>13886</v>
      </c>
      <c r="E86" s="4" t="s">
        <v>13979</v>
      </c>
      <c r="F86" s="203" t="s">
        <v>13980</v>
      </c>
      <c r="G86" s="203" t="s">
        <v>13987</v>
      </c>
      <c r="H86" s="203" t="s">
        <v>13757</v>
      </c>
      <c r="I86" s="291" t="s">
        <v>12480</v>
      </c>
      <c r="J86" s="221" t="s">
        <v>13758</v>
      </c>
      <c r="K86" s="203" t="s">
        <v>2207</v>
      </c>
      <c r="L86" s="203" t="s">
        <v>3136</v>
      </c>
      <c r="M86" s="204">
        <v>40311</v>
      </c>
      <c r="N86" s="203">
        <v>250</v>
      </c>
      <c r="O86" s="470">
        <v>17.600000000000001</v>
      </c>
      <c r="P86" s="174">
        <f>T82/U82*O86</f>
        <v>22875.054179938743</v>
      </c>
      <c r="Q86" s="174">
        <f>T82/U82*O86*40%</f>
        <v>9150.0216719754972</v>
      </c>
      <c r="R86" s="174">
        <f t="shared" si="9"/>
        <v>13725.029999999999</v>
      </c>
      <c r="S86" s="174"/>
      <c r="T86" s="474"/>
      <c r="U86" s="474"/>
      <c r="V86" s="471">
        <f t="shared" si="10"/>
        <v>22875.05</v>
      </c>
      <c r="W86" s="471">
        <f t="shared" si="10"/>
        <v>9150.02</v>
      </c>
      <c r="X86" s="203" t="s">
        <v>13946</v>
      </c>
      <c r="Y86" s="203" t="s">
        <v>13982</v>
      </c>
      <c r="Z86" s="203" t="s">
        <v>13947</v>
      </c>
      <c r="AA86" s="203"/>
      <c r="AB86" s="203"/>
      <c r="AC86" s="203"/>
      <c r="AD86" s="203"/>
      <c r="AE86" s="203"/>
    </row>
    <row r="87" spans="1:31" ht="76.5" customHeight="1" x14ac:dyDescent="0.2">
      <c r="A87" s="468">
        <v>74</v>
      </c>
      <c r="B87" s="291" t="s">
        <v>13978</v>
      </c>
      <c r="C87" s="203" t="s">
        <v>1029</v>
      </c>
      <c r="D87" s="469" t="s">
        <v>13886</v>
      </c>
      <c r="E87" s="4" t="s">
        <v>13979</v>
      </c>
      <c r="F87" s="203" t="s">
        <v>13980</v>
      </c>
      <c r="G87" s="203" t="s">
        <v>13988</v>
      </c>
      <c r="H87" s="203" t="s">
        <v>13757</v>
      </c>
      <c r="I87" s="291" t="s">
        <v>12480</v>
      </c>
      <c r="J87" s="221" t="s">
        <v>13758</v>
      </c>
      <c r="K87" s="203" t="s">
        <v>2207</v>
      </c>
      <c r="L87" s="203" t="s">
        <v>3136</v>
      </c>
      <c r="M87" s="204">
        <v>40311</v>
      </c>
      <c r="N87" s="203">
        <v>250</v>
      </c>
      <c r="O87" s="470">
        <v>13.1</v>
      </c>
      <c r="P87" s="174">
        <f>T82/U82*O87</f>
        <v>17026.318736204401</v>
      </c>
      <c r="Q87" s="174">
        <f>T82/U82*O87*40%</f>
        <v>6810.5274944817611</v>
      </c>
      <c r="R87" s="174">
        <f t="shared" si="9"/>
        <v>10215.790000000001</v>
      </c>
      <c r="S87" s="174"/>
      <c r="T87" s="474"/>
      <c r="U87" s="474"/>
      <c r="V87" s="471">
        <f t="shared" si="10"/>
        <v>17026.32</v>
      </c>
      <c r="W87" s="471">
        <f t="shared" si="10"/>
        <v>6810.53</v>
      </c>
      <c r="X87" s="203" t="s">
        <v>13946</v>
      </c>
      <c r="Y87" s="203" t="s">
        <v>13982</v>
      </c>
      <c r="Z87" s="203" t="s">
        <v>13947</v>
      </c>
      <c r="AA87" s="203"/>
      <c r="AB87" s="203"/>
      <c r="AC87" s="203"/>
      <c r="AD87" s="203"/>
      <c r="AE87" s="203"/>
    </row>
    <row r="88" spans="1:31" ht="76.5" customHeight="1" x14ac:dyDescent="0.2">
      <c r="A88" s="468">
        <v>75</v>
      </c>
      <c r="B88" s="291" t="s">
        <v>13978</v>
      </c>
      <c r="C88" s="203" t="s">
        <v>1029</v>
      </c>
      <c r="D88" s="469" t="s">
        <v>13886</v>
      </c>
      <c r="E88" s="4" t="s">
        <v>13979</v>
      </c>
      <c r="F88" s="203" t="s">
        <v>13980</v>
      </c>
      <c r="G88" s="203" t="s">
        <v>13989</v>
      </c>
      <c r="H88" s="203" t="s">
        <v>13757</v>
      </c>
      <c r="I88" s="291" t="s">
        <v>12480</v>
      </c>
      <c r="J88" s="221" t="s">
        <v>13758</v>
      </c>
      <c r="K88" s="203" t="s">
        <v>2207</v>
      </c>
      <c r="L88" s="203" t="s">
        <v>3136</v>
      </c>
      <c r="M88" s="204">
        <v>40311</v>
      </c>
      <c r="N88" s="203">
        <v>250</v>
      </c>
      <c r="O88" s="470">
        <v>12.5</v>
      </c>
      <c r="P88" s="174">
        <f>T82/U82*O88</f>
        <v>16246.487343706491</v>
      </c>
      <c r="Q88" s="174">
        <f>T82/U82*O88*40%</f>
        <v>6498.5949374825968</v>
      </c>
      <c r="R88" s="174">
        <f t="shared" si="9"/>
        <v>9747.9</v>
      </c>
      <c r="S88" s="174"/>
      <c r="T88" s="474"/>
      <c r="U88" s="474"/>
      <c r="V88" s="471">
        <f t="shared" si="10"/>
        <v>16246.49</v>
      </c>
      <c r="W88" s="471">
        <f t="shared" si="10"/>
        <v>6498.59</v>
      </c>
      <c r="X88" s="203" t="s">
        <v>13946</v>
      </c>
      <c r="Y88" s="203" t="s">
        <v>13982</v>
      </c>
      <c r="Z88" s="203" t="s">
        <v>13947</v>
      </c>
      <c r="AA88" s="203"/>
      <c r="AB88" s="203"/>
      <c r="AC88" s="203"/>
      <c r="AD88" s="203"/>
      <c r="AE88" s="203"/>
    </row>
    <row r="89" spans="1:31" ht="76.5" customHeight="1" x14ac:dyDescent="0.2">
      <c r="A89" s="468">
        <v>76</v>
      </c>
      <c r="B89" s="291" t="s">
        <v>13978</v>
      </c>
      <c r="C89" s="291" t="s">
        <v>13990</v>
      </c>
      <c r="D89" s="469" t="s">
        <v>13886</v>
      </c>
      <c r="E89" s="4" t="s">
        <v>13979</v>
      </c>
      <c r="F89" s="203" t="s">
        <v>13980</v>
      </c>
      <c r="G89" s="203" t="s">
        <v>13991</v>
      </c>
      <c r="H89" s="203" t="s">
        <v>13757</v>
      </c>
      <c r="I89" s="291" t="s">
        <v>12480</v>
      </c>
      <c r="J89" s="221" t="s">
        <v>13758</v>
      </c>
      <c r="K89" s="203" t="s">
        <v>2207</v>
      </c>
      <c r="L89" s="203" t="s">
        <v>3136</v>
      </c>
      <c r="M89" s="204">
        <v>40311</v>
      </c>
      <c r="N89" s="203">
        <v>250</v>
      </c>
      <c r="O89" s="470">
        <v>18.100000000000001</v>
      </c>
      <c r="P89" s="174">
        <f>T82/U82*O89</f>
        <v>23524.913673687002</v>
      </c>
      <c r="Q89" s="174">
        <f>T82/U82*O89*40%</f>
        <v>9409.9654694748006</v>
      </c>
      <c r="R89" s="174">
        <f t="shared" si="9"/>
        <v>14114.94</v>
      </c>
      <c r="S89" s="174">
        <v>495916.29</v>
      </c>
      <c r="T89" s="474"/>
      <c r="U89" s="474"/>
      <c r="V89" s="471">
        <f t="shared" si="10"/>
        <v>23524.91</v>
      </c>
      <c r="W89" s="471">
        <f t="shared" si="10"/>
        <v>9409.9699999999993</v>
      </c>
      <c r="X89" s="203" t="s">
        <v>13946</v>
      </c>
      <c r="Y89" s="203" t="s">
        <v>13982</v>
      </c>
      <c r="Z89" s="203" t="s">
        <v>13947</v>
      </c>
      <c r="AA89" s="203"/>
      <c r="AB89" s="203"/>
      <c r="AC89" s="203"/>
      <c r="AD89" s="203"/>
      <c r="AE89" s="203"/>
    </row>
    <row r="90" spans="1:31" ht="24" customHeight="1" x14ac:dyDescent="0.2">
      <c r="A90" s="90"/>
      <c r="B90" s="90"/>
      <c r="C90" s="90"/>
      <c r="D90" s="484"/>
      <c r="E90" s="485"/>
      <c r="F90" s="146"/>
      <c r="G90" s="146"/>
      <c r="H90" s="146"/>
      <c r="I90" s="90"/>
      <c r="J90" s="486"/>
      <c r="K90" s="146"/>
      <c r="L90" s="146"/>
      <c r="M90" s="487"/>
      <c r="N90" s="146"/>
      <c r="O90" s="488">
        <f>SUM(O7:O89)</f>
        <v>3165.7</v>
      </c>
      <c r="P90" s="135">
        <f>SUM(P7:P89)</f>
        <v>5125490.8543857224</v>
      </c>
      <c r="Q90" s="135"/>
      <c r="R90" s="135"/>
      <c r="S90" s="135"/>
      <c r="T90" s="135"/>
      <c r="U90" s="135"/>
      <c r="V90" s="471"/>
      <c r="W90" s="471"/>
      <c r="X90" s="146"/>
      <c r="Y90" s="146"/>
      <c r="Z90" s="146"/>
      <c r="AA90" s="146"/>
      <c r="AB90" s="146"/>
      <c r="AC90" s="146"/>
      <c r="AD90" s="146"/>
      <c r="AE90" s="146"/>
    </row>
    <row r="91" spans="1:31" x14ac:dyDescent="0.2">
      <c r="K91" s="7"/>
      <c r="L91" s="7"/>
      <c r="M91" s="7"/>
      <c r="N91" s="7"/>
      <c r="O91" s="488"/>
      <c r="P91" s="489"/>
      <c r="Q91" s="489"/>
      <c r="R91" s="489"/>
      <c r="S91" s="489"/>
      <c r="T91" s="488"/>
      <c r="U91" s="135"/>
      <c r="V91" s="135"/>
      <c r="W91" s="135"/>
    </row>
    <row r="92" spans="1:31" x14ac:dyDescent="0.2">
      <c r="K92" s="7"/>
      <c r="L92" s="7"/>
      <c r="M92" s="7"/>
      <c r="N92" s="7"/>
    </row>
    <row r="93" spans="1:31" x14ac:dyDescent="0.2">
      <c r="K93" s="7"/>
      <c r="L93" s="7"/>
      <c r="M93" s="7"/>
      <c r="N93" s="7"/>
    </row>
    <row r="94" spans="1:31" x14ac:dyDescent="0.2">
      <c r="K94" s="7"/>
      <c r="L94" s="7"/>
      <c r="M94" s="7"/>
      <c r="N94" s="7"/>
    </row>
    <row r="95" spans="1:31" x14ac:dyDescent="0.2">
      <c r="D95" s="90"/>
      <c r="G95" s="6"/>
      <c r="I95" s="90"/>
      <c r="J95" s="7"/>
      <c r="K95" s="7"/>
      <c r="L95" s="7"/>
      <c r="M95" s="7"/>
      <c r="W95" s="6"/>
      <c r="Y95" s="90"/>
      <c r="AE95" s="6"/>
    </row>
    <row r="96" spans="1:31" x14ac:dyDescent="0.2">
      <c r="K96" s="7"/>
      <c r="L96" s="7"/>
      <c r="M96" s="7"/>
      <c r="N96" s="7"/>
    </row>
    <row r="99" spans="1:31" x14ac:dyDescent="0.2">
      <c r="A99" s="6"/>
      <c r="B99" s="6"/>
      <c r="E99" s="6"/>
      <c r="F99" s="6"/>
      <c r="G99" s="6"/>
      <c r="J99" s="6"/>
      <c r="K99" s="6"/>
      <c r="L99" s="6"/>
      <c r="M99" s="6"/>
      <c r="N99" s="6"/>
      <c r="O99" s="6"/>
      <c r="P99" s="6"/>
      <c r="Q99" s="6"/>
      <c r="R99" s="6"/>
      <c r="S99" s="6"/>
      <c r="T99" s="6"/>
      <c r="U99" s="6"/>
      <c r="V99" s="6"/>
      <c r="W99" s="6"/>
      <c r="Z99" s="6"/>
      <c r="AA99" s="6"/>
      <c r="AB99" s="6"/>
      <c r="AC99" s="6"/>
      <c r="AD99" s="6"/>
      <c r="AE99" s="6"/>
    </row>
  </sheetData>
  <mergeCells count="24">
    <mergeCell ref="T41:T64"/>
    <mergeCell ref="U41:U64"/>
    <mergeCell ref="T66:T81"/>
    <mergeCell ref="U66:U81"/>
    <mergeCell ref="T82:T89"/>
    <mergeCell ref="U82:U89"/>
    <mergeCell ref="A21:A28"/>
    <mergeCell ref="S21:S28"/>
    <mergeCell ref="T21:T28"/>
    <mergeCell ref="U21:U28"/>
    <mergeCell ref="T32:T33"/>
    <mergeCell ref="U32:U33"/>
    <mergeCell ref="AA4:AC4"/>
    <mergeCell ref="AD4:AE4"/>
    <mergeCell ref="T9:T10"/>
    <mergeCell ref="U9:U10"/>
    <mergeCell ref="T13:T14"/>
    <mergeCell ref="U13:U14"/>
    <mergeCell ref="A1:B1"/>
    <mergeCell ref="L4:N4"/>
    <mergeCell ref="O4:O5"/>
    <mergeCell ref="P4:S4"/>
    <mergeCell ref="V4:W6"/>
    <mergeCell ref="X4:Z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39"/>
  <sheetViews>
    <sheetView workbookViewId="0">
      <selection activeCell="P7" sqref="P7:P9"/>
    </sheetView>
  </sheetViews>
  <sheetFormatPr defaultColWidth="9.140625" defaultRowHeight="12.75" x14ac:dyDescent="0.2"/>
  <cols>
    <col min="1" max="1" width="4.28515625" style="90" customWidth="1"/>
    <col min="2" max="2" width="9.28515625" style="90" customWidth="1"/>
    <col min="3" max="3" width="11" style="6" customWidth="1"/>
    <col min="4" max="4" width="9.7109375" style="6" customWidth="1"/>
    <col min="5" max="5" width="6.28515625" style="6" customWidth="1"/>
    <col min="6" max="6" width="7.85546875" style="90" customWidth="1"/>
    <col min="7" max="7" width="12.5703125" style="90" customWidth="1"/>
    <col min="8" max="8" width="6.5703125" style="90" customWidth="1"/>
    <col min="9" max="9" width="10.140625" style="90" customWidth="1"/>
    <col min="10" max="10" width="8.42578125" style="90" customWidth="1"/>
    <col min="11" max="11" width="12.85546875" style="90" customWidth="1"/>
    <col min="12" max="12" width="9.7109375" style="90" customWidth="1"/>
    <col min="13" max="13" width="9.140625" style="90" customWidth="1"/>
    <col min="14" max="14" width="7" style="90" customWidth="1"/>
    <col min="15" max="16" width="9.5703125" style="90" customWidth="1"/>
    <col min="17" max="17" width="10.42578125" style="90" customWidth="1"/>
    <col min="18" max="18" width="11.28515625" style="90" customWidth="1"/>
    <col min="19" max="19" width="10" style="90" customWidth="1"/>
    <col min="20" max="20" width="17.28515625" style="90" customWidth="1"/>
    <col min="21" max="21" width="9.5703125" style="90" customWidth="1"/>
    <col min="22" max="22" width="17" style="387" customWidth="1"/>
    <col min="23" max="23" width="8.5703125" style="90" customWidth="1"/>
    <col min="24" max="24" width="8.140625" style="90" customWidth="1"/>
    <col min="25" max="16384" width="9.140625" style="6"/>
  </cols>
  <sheetData>
    <row r="1" spans="1:24" ht="18.75" customHeight="1" x14ac:dyDescent="0.25">
      <c r="A1" s="505" t="s">
        <v>12980</v>
      </c>
      <c r="B1" s="505"/>
      <c r="C1" s="91"/>
      <c r="D1" s="91"/>
      <c r="E1" s="92"/>
      <c r="F1" s="103"/>
      <c r="G1" s="103"/>
      <c r="H1" s="103" t="s">
        <v>6147</v>
      </c>
      <c r="I1" s="103"/>
      <c r="J1" s="103"/>
      <c r="K1" s="103"/>
      <c r="L1" s="103"/>
      <c r="M1" s="103"/>
    </row>
    <row r="2" spans="1:24" ht="15.75" x14ac:dyDescent="0.2">
      <c r="A2" s="91" t="s">
        <v>13992</v>
      </c>
      <c r="B2" s="91"/>
      <c r="C2" s="91"/>
      <c r="D2" s="91"/>
      <c r="E2" s="92"/>
      <c r="F2" s="103"/>
      <c r="G2" s="103"/>
      <c r="I2" s="103"/>
      <c r="J2" s="103"/>
      <c r="K2" s="103"/>
      <c r="L2" s="103"/>
      <c r="M2" s="103"/>
    </row>
    <row r="3" spans="1:24" ht="14.25" customHeight="1" thickBot="1" x14ac:dyDescent="0.25">
      <c r="B3" s="103" t="s">
        <v>3211</v>
      </c>
      <c r="C3" s="92"/>
      <c r="D3" s="92"/>
      <c r="E3" s="92"/>
      <c r="F3" s="103"/>
      <c r="G3" s="103"/>
      <c r="H3" s="103"/>
      <c r="I3" s="103"/>
      <c r="J3" s="103"/>
      <c r="K3" s="103"/>
      <c r="L3" s="103"/>
      <c r="M3" s="103"/>
    </row>
    <row r="4" spans="1:24" s="284" customFormat="1" ht="61.5" customHeight="1" thickBot="1" x14ac:dyDescent="0.25">
      <c r="A4" s="506" t="s">
        <v>3972</v>
      </c>
      <c r="B4" s="506" t="s">
        <v>6165</v>
      </c>
      <c r="C4" s="297" t="s">
        <v>12408</v>
      </c>
      <c r="D4" s="281" t="s">
        <v>1995</v>
      </c>
      <c r="E4" s="297" t="s">
        <v>12982</v>
      </c>
      <c r="F4" s="297" t="s">
        <v>438</v>
      </c>
      <c r="G4" s="297" t="s">
        <v>12418</v>
      </c>
      <c r="H4" s="297" t="s">
        <v>2417</v>
      </c>
      <c r="I4" s="297" t="s">
        <v>5331</v>
      </c>
      <c r="J4" s="297" t="s">
        <v>12419</v>
      </c>
      <c r="K4" s="300" t="s">
        <v>3130</v>
      </c>
      <c r="L4" s="303"/>
      <c r="M4" s="301"/>
      <c r="N4" s="297" t="s">
        <v>12983</v>
      </c>
      <c r="O4" s="297" t="s">
        <v>5405</v>
      </c>
      <c r="P4" s="507" t="s">
        <v>4261</v>
      </c>
      <c r="Q4" s="508"/>
      <c r="R4" s="508"/>
      <c r="S4" s="509"/>
      <c r="T4" s="510" t="s">
        <v>12420</v>
      </c>
      <c r="U4" s="511"/>
      <c r="V4" s="512"/>
      <c r="W4" s="297" t="s">
        <v>12984</v>
      </c>
      <c r="X4" s="297" t="s">
        <v>12985</v>
      </c>
    </row>
    <row r="5" spans="1:24" s="284" customFormat="1" ht="45.75" customHeight="1" thickBot="1" x14ac:dyDescent="0.25">
      <c r="A5" s="513"/>
      <c r="B5" s="513"/>
      <c r="C5" s="298"/>
      <c r="D5" s="513"/>
      <c r="E5" s="298"/>
      <c r="F5" s="298"/>
      <c r="G5" s="298"/>
      <c r="H5" s="298"/>
      <c r="I5" s="298"/>
      <c r="J5" s="298"/>
      <c r="K5" s="93" t="s">
        <v>3771</v>
      </c>
      <c r="L5" s="93" t="s">
        <v>1598</v>
      </c>
      <c r="M5" s="93" t="s">
        <v>3131</v>
      </c>
      <c r="N5" s="298"/>
      <c r="O5" s="298"/>
      <c r="P5" s="93" t="s">
        <v>38</v>
      </c>
      <c r="Q5" s="93" t="s">
        <v>12986</v>
      </c>
      <c r="R5" s="93" t="s">
        <v>2252</v>
      </c>
      <c r="S5" s="93" t="s">
        <v>13993</v>
      </c>
      <c r="T5" s="93" t="s">
        <v>3771</v>
      </c>
      <c r="U5" s="93" t="s">
        <v>1598</v>
      </c>
      <c r="V5" s="514" t="s">
        <v>3131</v>
      </c>
      <c r="W5" s="298"/>
      <c r="X5" s="298"/>
    </row>
    <row r="6" spans="1:24" s="19" customFormat="1" ht="15.75" customHeight="1" x14ac:dyDescent="0.2">
      <c r="A6" s="20">
        <v>1</v>
      </c>
      <c r="B6" s="20">
        <v>2</v>
      </c>
      <c r="C6" s="20">
        <v>3</v>
      </c>
      <c r="D6" s="20">
        <v>4</v>
      </c>
      <c r="E6" s="20">
        <v>5</v>
      </c>
      <c r="F6" s="20">
        <v>6</v>
      </c>
      <c r="G6" s="20">
        <v>7</v>
      </c>
      <c r="H6" s="20">
        <v>8</v>
      </c>
      <c r="I6" s="20">
        <v>9</v>
      </c>
      <c r="J6" s="20">
        <v>10</v>
      </c>
      <c r="K6" s="20">
        <v>11</v>
      </c>
      <c r="L6" s="20">
        <v>12</v>
      </c>
      <c r="M6" s="20">
        <v>13</v>
      </c>
      <c r="N6" s="20">
        <v>14</v>
      </c>
      <c r="O6" s="20">
        <v>15</v>
      </c>
      <c r="P6" s="20">
        <v>16</v>
      </c>
      <c r="Q6" s="20">
        <v>17</v>
      </c>
      <c r="R6" s="20">
        <v>18</v>
      </c>
      <c r="S6" s="20">
        <v>19</v>
      </c>
      <c r="T6" s="20">
        <v>20</v>
      </c>
      <c r="U6" s="20">
        <v>21</v>
      </c>
      <c r="V6" s="515">
        <v>22</v>
      </c>
      <c r="W6" s="20">
        <v>23</v>
      </c>
      <c r="X6" s="20">
        <v>24</v>
      </c>
    </row>
    <row r="7" spans="1:24" s="19" customFormat="1" ht="93" customHeight="1" x14ac:dyDescent="0.2">
      <c r="A7" s="289">
        <v>1</v>
      </c>
      <c r="B7" s="12" t="s">
        <v>13994</v>
      </c>
      <c r="C7" s="28"/>
      <c r="D7" s="13" t="s">
        <v>13995</v>
      </c>
      <c r="E7" s="12" t="s">
        <v>13996</v>
      </c>
      <c r="F7" s="285" t="s">
        <v>13997</v>
      </c>
      <c r="G7" s="289" t="s">
        <v>13998</v>
      </c>
      <c r="H7" s="285" t="s">
        <v>13999</v>
      </c>
      <c r="I7" s="285" t="s">
        <v>2614</v>
      </c>
      <c r="J7" s="285" t="s">
        <v>2207</v>
      </c>
      <c r="K7" s="285" t="s">
        <v>14000</v>
      </c>
      <c r="L7" s="285" t="s">
        <v>14001</v>
      </c>
      <c r="M7" s="285" t="s">
        <v>14002</v>
      </c>
      <c r="N7" s="370">
        <v>30.7</v>
      </c>
      <c r="O7" s="15">
        <v>39814</v>
      </c>
      <c r="P7" s="40">
        <v>2901</v>
      </c>
      <c r="Q7" s="40">
        <f>P7-R7</f>
        <v>950.8</v>
      </c>
      <c r="R7" s="40">
        <v>1950.2</v>
      </c>
      <c r="S7" s="40"/>
      <c r="T7" s="285" t="s">
        <v>2829</v>
      </c>
      <c r="U7" s="14">
        <v>34187</v>
      </c>
      <c r="V7" s="160">
        <v>41</v>
      </c>
      <c r="W7" s="289" t="s">
        <v>14003</v>
      </c>
      <c r="X7" s="289"/>
    </row>
    <row r="8" spans="1:24" s="19" customFormat="1" ht="117" customHeight="1" x14ac:dyDescent="0.2">
      <c r="A8" s="289">
        <v>2</v>
      </c>
      <c r="B8" s="12" t="s">
        <v>14004</v>
      </c>
      <c r="C8" s="13"/>
      <c r="D8" s="13" t="s">
        <v>13668</v>
      </c>
      <c r="E8" s="22" t="s">
        <v>13156</v>
      </c>
      <c r="F8" s="285" t="s">
        <v>14005</v>
      </c>
      <c r="G8" s="285" t="s">
        <v>14006</v>
      </c>
      <c r="I8" s="285" t="s">
        <v>10465</v>
      </c>
      <c r="J8" s="285" t="s">
        <v>2207</v>
      </c>
      <c r="K8" s="516" t="s">
        <v>14007</v>
      </c>
      <c r="L8" s="14" t="s">
        <v>14008</v>
      </c>
      <c r="M8" s="22" t="s">
        <v>14009</v>
      </c>
      <c r="N8" s="17">
        <v>256.26</v>
      </c>
      <c r="O8" s="14">
        <v>39814</v>
      </c>
      <c r="P8" s="17">
        <f>261437.87+49534.34</f>
        <v>310972.20999999996</v>
      </c>
      <c r="Q8" s="40">
        <f>90904.58+17298.78</f>
        <v>108203.36</v>
      </c>
      <c r="R8" s="17">
        <f>P8-Q8</f>
        <v>202768.84999999998</v>
      </c>
      <c r="S8" s="17"/>
      <c r="T8" s="285" t="s">
        <v>3136</v>
      </c>
      <c r="U8" s="14" t="s">
        <v>14010</v>
      </c>
      <c r="V8" s="70">
        <v>863</v>
      </c>
      <c r="W8" s="14"/>
      <c r="X8" s="285"/>
    </row>
    <row r="9" spans="1:24" s="19" customFormat="1" ht="72.75" customHeight="1" x14ac:dyDescent="0.2">
      <c r="A9" s="289">
        <v>3</v>
      </c>
      <c r="B9" s="12" t="s">
        <v>14011</v>
      </c>
      <c r="C9" s="54" t="s">
        <v>14012</v>
      </c>
      <c r="D9" s="517" t="s">
        <v>14013</v>
      </c>
      <c r="E9" s="22" t="s">
        <v>13687</v>
      </c>
      <c r="F9" s="361" t="s">
        <v>14014</v>
      </c>
      <c r="G9" s="285" t="s">
        <v>14015</v>
      </c>
      <c r="H9" s="285"/>
      <c r="I9" s="285" t="s">
        <v>10465</v>
      </c>
      <c r="J9" s="285" t="s">
        <v>2207</v>
      </c>
      <c r="K9" s="22" t="s">
        <v>3136</v>
      </c>
      <c r="L9" s="14" t="s">
        <v>14016</v>
      </c>
      <c r="M9" s="285" t="s">
        <v>14017</v>
      </c>
      <c r="N9" s="518">
        <v>16</v>
      </c>
      <c r="O9" s="15">
        <v>41141</v>
      </c>
      <c r="P9" s="17">
        <v>45069.77</v>
      </c>
      <c r="Q9" s="40">
        <f>P9-R9</f>
        <v>0</v>
      </c>
      <c r="R9" s="17">
        <v>45069.77</v>
      </c>
      <c r="S9" s="17">
        <v>209769.60000000001</v>
      </c>
      <c r="T9" s="285" t="s">
        <v>3136</v>
      </c>
      <c r="U9" s="14">
        <v>41141</v>
      </c>
      <c r="V9" s="70">
        <v>764</v>
      </c>
      <c r="W9" s="15">
        <v>41128</v>
      </c>
      <c r="X9" s="285" t="s">
        <v>14018</v>
      </c>
    </row>
    <row r="10" spans="1:24" ht="18.75" customHeight="1" x14ac:dyDescent="0.2">
      <c r="N10" s="519">
        <f>SUM(N7:N9)</f>
        <v>302.95999999999998</v>
      </c>
      <c r="O10" s="520"/>
      <c r="P10" s="521">
        <f>SUM(P7:P9)</f>
        <v>358942.98</v>
      </c>
      <c r="Q10" s="521"/>
      <c r="R10" s="521"/>
    </row>
    <row r="13" spans="1:24" s="450" customFormat="1" ht="11.25" x14ac:dyDescent="0.2">
      <c r="A13" s="7"/>
      <c r="B13" s="522"/>
      <c r="C13" s="523"/>
      <c r="D13" s="523"/>
      <c r="E13" s="523"/>
      <c r="F13" s="159"/>
      <c r="G13" s="159"/>
      <c r="H13" s="159"/>
      <c r="I13" s="159"/>
      <c r="J13" s="159"/>
      <c r="K13" s="159"/>
      <c r="L13" s="159"/>
      <c r="M13" s="159"/>
      <c r="N13" s="159"/>
      <c r="O13" s="159"/>
      <c r="P13" s="524"/>
      <c r="Q13" s="524"/>
      <c r="R13" s="524"/>
      <c r="S13" s="524"/>
      <c r="T13" s="524"/>
      <c r="U13" s="524"/>
      <c r="V13" s="525"/>
      <c r="W13" s="526"/>
      <c r="X13" s="159"/>
    </row>
    <row r="14" spans="1:24" s="450" customFormat="1" ht="17.25" customHeight="1" x14ac:dyDescent="0.2">
      <c r="A14" s="7"/>
      <c r="B14" s="522"/>
      <c r="C14" s="523"/>
      <c r="D14" s="523"/>
      <c r="E14" s="523"/>
      <c r="F14" s="159"/>
      <c r="G14" s="159"/>
      <c r="H14" s="159"/>
      <c r="I14" s="159"/>
      <c r="J14" s="159"/>
      <c r="K14" s="159"/>
      <c r="L14" s="159"/>
      <c r="M14" s="159"/>
      <c r="N14" s="159"/>
      <c r="O14" s="159"/>
      <c r="P14" s="524"/>
      <c r="Q14" s="524"/>
      <c r="R14" s="524"/>
      <c r="S14" s="524"/>
      <c r="T14" s="524"/>
      <c r="U14" s="524"/>
      <c r="V14" s="525"/>
      <c r="W14" s="526"/>
      <c r="X14" s="159"/>
    </row>
    <row r="15" spans="1:24" s="450" customFormat="1" ht="16.5" customHeight="1" x14ac:dyDescent="0.2">
      <c r="A15" s="7"/>
      <c r="B15" s="7"/>
      <c r="F15" s="7"/>
      <c r="K15" s="7"/>
      <c r="N15" s="7"/>
      <c r="P15" s="7"/>
      <c r="Q15" s="7"/>
      <c r="R15" s="7"/>
      <c r="S15" s="7"/>
      <c r="T15" s="7"/>
      <c r="U15" s="7"/>
      <c r="V15" s="525"/>
      <c r="W15" s="7"/>
      <c r="X15" s="7"/>
    </row>
    <row r="16" spans="1:24" s="450" customFormat="1" ht="54.75" customHeight="1" x14ac:dyDescent="0.2">
      <c r="A16" s="7"/>
      <c r="B16" s="7"/>
      <c r="F16" s="7"/>
      <c r="K16" s="7"/>
      <c r="N16" s="7"/>
      <c r="P16" s="7"/>
      <c r="Q16" s="7"/>
      <c r="R16" s="7"/>
      <c r="S16" s="7"/>
      <c r="T16" s="7"/>
      <c r="U16" s="7"/>
      <c r="V16" s="525"/>
      <c r="W16" s="7"/>
      <c r="X16" s="7"/>
    </row>
    <row r="17" spans="1:24" s="450" customFormat="1" ht="11.25" x14ac:dyDescent="0.2">
      <c r="A17" s="7"/>
      <c r="B17" s="7"/>
      <c r="F17" s="7"/>
      <c r="K17" s="7"/>
      <c r="N17" s="7"/>
      <c r="P17" s="7"/>
      <c r="Q17" s="7"/>
      <c r="R17" s="7"/>
      <c r="S17" s="7"/>
      <c r="T17" s="7"/>
      <c r="U17" s="7"/>
      <c r="V17" s="525"/>
      <c r="W17" s="7"/>
      <c r="X17" s="7"/>
    </row>
    <row r="18" spans="1:24" s="450" customFormat="1" ht="62.25" customHeight="1" x14ac:dyDescent="0.2">
      <c r="A18" s="7"/>
      <c r="B18" s="7"/>
      <c r="F18" s="7"/>
      <c r="K18" s="7"/>
      <c r="N18" s="7"/>
      <c r="P18" s="7"/>
      <c r="Q18" s="7"/>
      <c r="R18" s="7"/>
      <c r="S18" s="7"/>
      <c r="T18" s="7"/>
      <c r="U18" s="7"/>
      <c r="V18" s="525"/>
      <c r="W18" s="7"/>
      <c r="X18" s="7"/>
    </row>
    <row r="19" spans="1:24" s="450" customFormat="1" ht="47.25" customHeight="1" x14ac:dyDescent="0.2">
      <c r="A19" s="7"/>
      <c r="B19" s="7"/>
      <c r="F19" s="7"/>
      <c r="K19" s="7"/>
      <c r="N19" s="7"/>
      <c r="P19" s="7"/>
      <c r="Q19" s="7"/>
      <c r="R19" s="7"/>
      <c r="S19" s="7"/>
      <c r="T19" s="7"/>
      <c r="U19" s="7"/>
      <c r="V19" s="525"/>
      <c r="W19" s="7"/>
      <c r="X19" s="7"/>
    </row>
    <row r="20" spans="1:24" s="450" customFormat="1" ht="42" customHeight="1" x14ac:dyDescent="0.2">
      <c r="A20" s="7"/>
      <c r="B20" s="7"/>
      <c r="F20" s="7"/>
      <c r="K20" s="7"/>
      <c r="N20" s="7"/>
      <c r="P20" s="7"/>
      <c r="Q20" s="7"/>
      <c r="R20" s="7"/>
      <c r="S20" s="7"/>
      <c r="T20" s="7"/>
      <c r="U20" s="7"/>
      <c r="V20" s="525"/>
      <c r="W20" s="7"/>
      <c r="X20" s="7"/>
    </row>
    <row r="21" spans="1:24" s="450" customFormat="1" ht="42" customHeight="1" x14ac:dyDescent="0.2">
      <c r="A21" s="7"/>
      <c r="B21" s="7"/>
      <c r="F21" s="7"/>
      <c r="K21" s="7"/>
      <c r="N21" s="7"/>
      <c r="P21" s="7"/>
      <c r="Q21" s="7"/>
      <c r="R21" s="7"/>
      <c r="S21" s="7"/>
      <c r="T21" s="7"/>
      <c r="U21" s="7"/>
      <c r="V21" s="525"/>
      <c r="W21" s="7"/>
      <c r="X21" s="7"/>
    </row>
    <row r="22" spans="1:24" s="450" customFormat="1" ht="45" customHeight="1" x14ac:dyDescent="0.2">
      <c r="A22" s="7"/>
      <c r="B22" s="7"/>
      <c r="F22" s="7"/>
      <c r="K22" s="7"/>
      <c r="N22" s="7"/>
      <c r="P22" s="7"/>
      <c r="Q22" s="7"/>
      <c r="R22" s="7"/>
      <c r="S22" s="7"/>
      <c r="T22" s="7"/>
      <c r="U22" s="7"/>
      <c r="V22" s="525"/>
      <c r="W22" s="7"/>
      <c r="X22" s="7"/>
    </row>
    <row r="23" spans="1:24" s="450" customFormat="1" ht="60" customHeight="1" x14ac:dyDescent="0.2">
      <c r="A23" s="7"/>
      <c r="B23" s="7"/>
      <c r="F23" s="7"/>
      <c r="K23" s="7"/>
      <c r="N23" s="7"/>
      <c r="P23" s="7"/>
      <c r="Q23" s="7"/>
      <c r="R23" s="7"/>
      <c r="S23" s="7"/>
      <c r="T23" s="7"/>
      <c r="U23" s="7"/>
      <c r="V23" s="525"/>
      <c r="W23" s="7"/>
      <c r="X23" s="7"/>
    </row>
    <row r="24" spans="1:24" s="450" customFormat="1" ht="44.25" customHeight="1" x14ac:dyDescent="0.2">
      <c r="A24" s="7"/>
      <c r="B24" s="7"/>
      <c r="F24" s="7"/>
      <c r="K24" s="7"/>
      <c r="N24" s="7"/>
      <c r="P24" s="7"/>
      <c r="Q24" s="7"/>
      <c r="R24" s="7"/>
      <c r="S24" s="7"/>
      <c r="T24" s="7"/>
      <c r="U24" s="7"/>
      <c r="V24" s="525"/>
      <c r="W24" s="7"/>
      <c r="X24" s="7"/>
    </row>
    <row r="25" spans="1:24" s="450" customFormat="1" ht="44.25" customHeight="1" x14ac:dyDescent="0.2">
      <c r="A25" s="7"/>
      <c r="B25" s="7"/>
      <c r="F25" s="7"/>
      <c r="K25" s="7"/>
      <c r="N25" s="7"/>
      <c r="P25" s="7"/>
      <c r="Q25" s="7"/>
      <c r="R25" s="7"/>
      <c r="S25" s="7"/>
      <c r="T25" s="7"/>
      <c r="U25" s="7"/>
      <c r="V25" s="525"/>
      <c r="W25" s="7"/>
      <c r="X25" s="7"/>
    </row>
    <row r="26" spans="1:24" s="450" customFormat="1" ht="11.25" x14ac:dyDescent="0.2">
      <c r="A26" s="7"/>
      <c r="B26" s="7"/>
      <c r="F26" s="7"/>
      <c r="K26" s="7"/>
      <c r="N26" s="7"/>
      <c r="P26" s="7"/>
      <c r="Q26" s="7"/>
      <c r="R26" s="7"/>
      <c r="S26" s="7"/>
      <c r="T26" s="7"/>
      <c r="U26" s="7"/>
      <c r="V26" s="525"/>
      <c r="W26" s="7"/>
      <c r="X26" s="7"/>
    </row>
    <row r="27" spans="1:24" s="450" customFormat="1" ht="11.25" x14ac:dyDescent="0.2">
      <c r="A27" s="7"/>
      <c r="B27" s="7"/>
      <c r="F27" s="7"/>
      <c r="K27" s="7"/>
      <c r="N27" s="7"/>
      <c r="P27" s="7"/>
      <c r="Q27" s="7"/>
      <c r="R27" s="7"/>
      <c r="S27" s="7"/>
      <c r="T27" s="7"/>
      <c r="U27" s="7"/>
      <c r="V27" s="525"/>
      <c r="W27" s="7"/>
      <c r="X27" s="7"/>
    </row>
    <row r="30" spans="1:24" ht="36" customHeight="1" x14ac:dyDescent="0.2"/>
    <row r="33" ht="76.5" customHeight="1" x14ac:dyDescent="0.2"/>
    <row r="34" ht="55.5" customHeight="1" x14ac:dyDescent="0.2"/>
    <row r="36" ht="62.25" customHeight="1" x14ac:dyDescent="0.2"/>
    <row r="37" ht="45" customHeight="1" x14ac:dyDescent="0.2"/>
    <row r="38" ht="40.5" customHeight="1" x14ac:dyDescent="0.2"/>
    <row r="39" ht="45.75" customHeight="1" x14ac:dyDescent="0.2"/>
    <row r="41" ht="44.25" customHeight="1" x14ac:dyDescent="0.2"/>
    <row r="42" ht="45" customHeight="1" x14ac:dyDescent="0.2"/>
    <row r="43" ht="62.25" customHeight="1" x14ac:dyDescent="0.2"/>
    <row r="44" ht="64.5" customHeight="1" x14ac:dyDescent="0.2"/>
    <row r="50" ht="45.75" customHeight="1" x14ac:dyDescent="0.2"/>
    <row r="59" ht="52.5" customHeight="1" x14ac:dyDescent="0.2"/>
    <row r="60" ht="35.25" customHeight="1" x14ac:dyDescent="0.2"/>
    <row r="62" ht="76.5" customHeight="1" x14ac:dyDescent="0.2"/>
    <row r="66" spans="1:24" s="450" customFormat="1" ht="45" customHeight="1" x14ac:dyDescent="0.2">
      <c r="A66" s="7"/>
      <c r="B66" s="7"/>
      <c r="F66" s="7"/>
      <c r="K66" s="7"/>
      <c r="N66" s="7"/>
      <c r="P66" s="7"/>
      <c r="Q66" s="7"/>
      <c r="R66" s="7"/>
      <c r="S66" s="7"/>
      <c r="T66" s="7"/>
      <c r="U66" s="7"/>
      <c r="V66" s="525"/>
      <c r="W66" s="7"/>
      <c r="X66" s="7"/>
    </row>
    <row r="67" spans="1:24" s="450" customFormat="1" ht="56.25" customHeight="1" x14ac:dyDescent="0.2">
      <c r="A67" s="7"/>
      <c r="B67" s="7"/>
      <c r="F67" s="7"/>
      <c r="K67" s="7"/>
      <c r="N67" s="7"/>
      <c r="P67" s="7"/>
      <c r="Q67" s="7"/>
      <c r="R67" s="7"/>
      <c r="S67" s="7"/>
      <c r="T67" s="7"/>
      <c r="U67" s="7"/>
      <c r="V67" s="525"/>
      <c r="W67" s="7"/>
      <c r="X67" s="7"/>
    </row>
    <row r="68" spans="1:24" s="450" customFormat="1" ht="40.5" hidden="1" customHeight="1" x14ac:dyDescent="0.2">
      <c r="A68" s="7"/>
      <c r="B68" s="7"/>
      <c r="F68" s="7"/>
      <c r="K68" s="7"/>
      <c r="N68" s="7"/>
      <c r="P68" s="7"/>
      <c r="Q68" s="7"/>
      <c r="R68" s="7"/>
      <c r="S68" s="7"/>
      <c r="T68" s="7"/>
      <c r="U68" s="7"/>
      <c r="V68" s="525"/>
      <c r="W68" s="7"/>
      <c r="X68" s="7"/>
    </row>
    <row r="69" spans="1:24" s="450" customFormat="1" ht="41.25" hidden="1" customHeight="1" x14ac:dyDescent="0.2">
      <c r="A69" s="7"/>
      <c r="B69" s="7"/>
      <c r="F69" s="7"/>
      <c r="K69" s="7"/>
      <c r="N69" s="7"/>
      <c r="P69" s="7"/>
      <c r="Q69" s="7"/>
      <c r="R69" s="7"/>
      <c r="S69" s="7"/>
      <c r="T69" s="7"/>
      <c r="U69" s="7"/>
      <c r="V69" s="525"/>
      <c r="W69" s="7"/>
      <c r="X69" s="7"/>
    </row>
    <row r="70" spans="1:24" s="450" customFormat="1" ht="74.25" hidden="1" customHeight="1" x14ac:dyDescent="0.2">
      <c r="A70" s="7"/>
      <c r="B70" s="7"/>
      <c r="F70" s="7"/>
      <c r="K70" s="7"/>
      <c r="N70" s="7"/>
      <c r="P70" s="7"/>
      <c r="Q70" s="7"/>
      <c r="R70" s="7"/>
      <c r="S70" s="7"/>
      <c r="T70" s="7"/>
      <c r="U70" s="7"/>
      <c r="V70" s="525"/>
      <c r="W70" s="7"/>
      <c r="X70" s="7"/>
    </row>
    <row r="71" spans="1:24" s="450" customFormat="1" ht="42" hidden="1" customHeight="1" x14ac:dyDescent="0.2">
      <c r="A71" s="7"/>
      <c r="B71" s="7"/>
      <c r="F71" s="7"/>
      <c r="K71" s="7"/>
      <c r="N71" s="7"/>
      <c r="P71" s="7"/>
      <c r="Q71" s="7"/>
      <c r="R71" s="7"/>
      <c r="S71" s="7"/>
      <c r="T71" s="7"/>
      <c r="U71" s="7"/>
      <c r="V71" s="525"/>
      <c r="W71" s="7"/>
      <c r="X71" s="7"/>
    </row>
    <row r="72" spans="1:24" s="450" customFormat="1" ht="63" hidden="1" customHeight="1" x14ac:dyDescent="0.2">
      <c r="A72" s="7"/>
      <c r="B72" s="7"/>
      <c r="F72" s="7"/>
      <c r="K72" s="7"/>
      <c r="N72" s="7"/>
      <c r="P72" s="7"/>
      <c r="Q72" s="7"/>
      <c r="R72" s="7"/>
      <c r="S72" s="7"/>
      <c r="T72" s="7"/>
      <c r="U72" s="7"/>
      <c r="V72" s="525"/>
      <c r="W72" s="7"/>
      <c r="X72" s="7"/>
    </row>
    <row r="73" spans="1:24" s="450" customFormat="1" ht="74.25" hidden="1" customHeight="1" x14ac:dyDescent="0.2">
      <c r="A73" s="7"/>
      <c r="B73" s="7"/>
      <c r="F73" s="7"/>
      <c r="K73" s="7"/>
      <c r="N73" s="7"/>
      <c r="P73" s="7"/>
      <c r="Q73" s="7"/>
      <c r="R73" s="7"/>
      <c r="S73" s="7"/>
      <c r="T73" s="7"/>
      <c r="U73" s="7"/>
      <c r="V73" s="525"/>
      <c r="W73" s="7"/>
      <c r="X73" s="7"/>
    </row>
    <row r="74" spans="1:24" s="450" customFormat="1" ht="72.75" hidden="1" customHeight="1" x14ac:dyDescent="0.2">
      <c r="A74" s="224">
        <v>98</v>
      </c>
      <c r="B74" s="7"/>
      <c r="F74" s="7"/>
      <c r="K74" s="7"/>
      <c r="N74" s="7"/>
      <c r="P74" s="7"/>
      <c r="Q74" s="7"/>
      <c r="R74" s="7"/>
      <c r="S74" s="7"/>
      <c r="T74" s="7"/>
      <c r="U74" s="7"/>
      <c r="V74" s="525"/>
      <c r="W74" s="7"/>
      <c r="X74" s="7"/>
    </row>
    <row r="75" spans="1:24" s="450" customFormat="1" ht="63" hidden="1" customHeight="1" x14ac:dyDescent="0.2">
      <c r="A75" s="527">
        <v>93</v>
      </c>
      <c r="B75" s="7"/>
      <c r="F75" s="7"/>
      <c r="K75" s="7"/>
      <c r="N75" s="7"/>
      <c r="P75" s="7"/>
      <c r="Q75" s="7"/>
      <c r="R75" s="7"/>
      <c r="S75" s="7"/>
      <c r="T75" s="7"/>
      <c r="U75" s="7"/>
      <c r="V75" s="525"/>
      <c r="W75" s="7"/>
      <c r="X75" s="7"/>
    </row>
    <row r="76" spans="1:24" s="450" customFormat="1" ht="14.25" hidden="1" customHeight="1" x14ac:dyDescent="0.2">
      <c r="A76" s="528"/>
      <c r="B76" s="7"/>
      <c r="F76" s="7"/>
      <c r="K76" s="7"/>
      <c r="N76" s="7"/>
      <c r="P76" s="7"/>
      <c r="Q76" s="7"/>
      <c r="R76" s="7"/>
      <c r="S76" s="7"/>
      <c r="T76" s="7"/>
      <c r="U76" s="7"/>
      <c r="V76" s="525"/>
      <c r="W76" s="7"/>
      <c r="X76" s="7"/>
    </row>
    <row r="77" spans="1:24" s="450" customFormat="1" ht="42" hidden="1" customHeight="1" x14ac:dyDescent="0.2">
      <c r="A77" s="224">
        <v>94</v>
      </c>
      <c r="B77" s="7"/>
      <c r="F77" s="7"/>
      <c r="K77" s="7"/>
      <c r="N77" s="7"/>
      <c r="P77" s="7"/>
      <c r="Q77" s="7"/>
      <c r="R77" s="7"/>
      <c r="S77" s="7"/>
      <c r="T77" s="7"/>
      <c r="U77" s="7"/>
      <c r="V77" s="525"/>
      <c r="W77" s="7"/>
      <c r="X77" s="7"/>
    </row>
    <row r="78" spans="1:24" s="450" customFormat="1" ht="33.75" hidden="1" customHeight="1" x14ac:dyDescent="0.2">
      <c r="A78" s="224">
        <v>52</v>
      </c>
      <c r="B78" s="7"/>
      <c r="F78" s="7"/>
      <c r="K78" s="7"/>
      <c r="N78" s="7"/>
      <c r="P78" s="7"/>
      <c r="Q78" s="7"/>
      <c r="R78" s="7"/>
      <c r="S78" s="7"/>
      <c r="T78" s="7"/>
      <c r="U78" s="7"/>
      <c r="V78" s="525"/>
      <c r="W78" s="7"/>
      <c r="X78" s="7"/>
    </row>
    <row r="79" spans="1:24" s="450" customFormat="1" ht="33" hidden="1" customHeight="1" x14ac:dyDescent="0.2">
      <c r="A79" s="224">
        <v>80</v>
      </c>
      <c r="B79" s="7"/>
      <c r="F79" s="7"/>
      <c r="K79" s="7"/>
      <c r="N79" s="7"/>
      <c r="P79" s="7"/>
      <c r="Q79" s="7"/>
      <c r="R79" s="7"/>
      <c r="S79" s="7"/>
      <c r="T79" s="7"/>
      <c r="U79" s="7"/>
      <c r="V79" s="525"/>
      <c r="W79" s="7"/>
      <c r="X79" s="7"/>
    </row>
    <row r="80" spans="1:24" s="450" customFormat="1" ht="33" hidden="1" customHeight="1" x14ac:dyDescent="0.2">
      <c r="A80" s="224">
        <v>81</v>
      </c>
      <c r="B80" s="7"/>
      <c r="F80" s="7"/>
      <c r="K80" s="7"/>
      <c r="N80" s="7"/>
      <c r="P80" s="7"/>
      <c r="Q80" s="7"/>
      <c r="R80" s="7"/>
      <c r="S80" s="7"/>
      <c r="T80" s="7"/>
      <c r="U80" s="7"/>
      <c r="V80" s="525"/>
      <c r="W80" s="7"/>
      <c r="X80" s="7"/>
    </row>
    <row r="81" spans="1:24" s="450" customFormat="1" ht="42" hidden="1" customHeight="1" x14ac:dyDescent="0.2">
      <c r="A81" s="224">
        <v>5</v>
      </c>
      <c r="B81" s="7"/>
      <c r="F81" s="7"/>
      <c r="K81" s="7"/>
      <c r="N81" s="7"/>
      <c r="P81" s="7"/>
      <c r="Q81" s="7"/>
      <c r="R81" s="7"/>
      <c r="S81" s="7"/>
      <c r="T81" s="7"/>
      <c r="U81" s="7"/>
      <c r="V81" s="525"/>
      <c r="W81" s="7"/>
      <c r="X81" s="7"/>
    </row>
    <row r="82" spans="1:24" s="450" customFormat="1" ht="35.25" hidden="1" customHeight="1" x14ac:dyDescent="0.2">
      <c r="A82" s="224">
        <v>51</v>
      </c>
      <c r="B82" s="7"/>
      <c r="F82" s="7"/>
      <c r="K82" s="7"/>
      <c r="N82" s="7"/>
      <c r="P82" s="7"/>
      <c r="Q82" s="7"/>
      <c r="R82" s="7"/>
      <c r="S82" s="7"/>
      <c r="T82" s="7"/>
      <c r="U82" s="7"/>
      <c r="V82" s="525"/>
      <c r="W82" s="7"/>
      <c r="X82" s="7"/>
    </row>
    <row r="83" spans="1:24" s="450" customFormat="1" ht="41.25" hidden="1" customHeight="1" x14ac:dyDescent="0.2">
      <c r="A83" s="224">
        <v>88</v>
      </c>
      <c r="B83" s="7"/>
      <c r="F83" s="7"/>
      <c r="K83" s="7"/>
      <c r="N83" s="7"/>
      <c r="P83" s="7"/>
      <c r="Q83" s="7"/>
      <c r="R83" s="7"/>
      <c r="S83" s="7"/>
      <c r="T83" s="7"/>
      <c r="U83" s="7"/>
      <c r="V83" s="525"/>
      <c r="W83" s="7"/>
      <c r="X83" s="7"/>
    </row>
    <row r="84" spans="1:24" s="450" customFormat="1" ht="42.75" hidden="1" customHeight="1" x14ac:dyDescent="0.2">
      <c r="A84" s="224">
        <v>107</v>
      </c>
      <c r="B84" s="7"/>
      <c r="F84" s="7"/>
      <c r="K84" s="7"/>
      <c r="N84" s="7"/>
      <c r="P84" s="7"/>
      <c r="Q84" s="7"/>
      <c r="R84" s="7"/>
      <c r="S84" s="7"/>
      <c r="T84" s="7"/>
      <c r="U84" s="7"/>
      <c r="V84" s="525"/>
      <c r="W84" s="7"/>
      <c r="X84" s="7"/>
    </row>
    <row r="85" spans="1:24" s="450" customFormat="1" ht="42.75" hidden="1" customHeight="1" x14ac:dyDescent="0.2">
      <c r="A85" s="224">
        <v>109</v>
      </c>
      <c r="B85" s="7"/>
      <c r="F85" s="7"/>
      <c r="K85" s="7"/>
      <c r="N85" s="7"/>
      <c r="P85" s="7"/>
      <c r="Q85" s="7"/>
      <c r="R85" s="7"/>
      <c r="S85" s="7"/>
      <c r="T85" s="7"/>
      <c r="U85" s="7"/>
      <c r="V85" s="525"/>
      <c r="W85" s="7"/>
      <c r="X85" s="7"/>
    </row>
    <row r="86" spans="1:24" s="450" customFormat="1" ht="42.75" hidden="1" customHeight="1" x14ac:dyDescent="0.2">
      <c r="A86" s="224">
        <v>110</v>
      </c>
      <c r="B86" s="7"/>
      <c r="F86" s="7"/>
      <c r="K86" s="7"/>
      <c r="N86" s="7"/>
      <c r="P86" s="7"/>
      <c r="Q86" s="7"/>
      <c r="R86" s="7"/>
      <c r="S86" s="7"/>
      <c r="T86" s="7"/>
      <c r="U86" s="7"/>
      <c r="V86" s="525"/>
      <c r="W86" s="7"/>
      <c r="X86" s="7"/>
    </row>
    <row r="87" spans="1:24" s="450" customFormat="1" ht="42.75" hidden="1" customHeight="1" x14ac:dyDescent="0.2">
      <c r="A87" s="224">
        <v>105</v>
      </c>
      <c r="B87" s="7"/>
      <c r="F87" s="7"/>
      <c r="K87" s="7"/>
      <c r="N87" s="7"/>
      <c r="P87" s="7"/>
      <c r="Q87" s="7"/>
      <c r="R87" s="7"/>
      <c r="S87" s="7"/>
      <c r="T87" s="7"/>
      <c r="U87" s="7"/>
      <c r="V87" s="525"/>
      <c r="W87" s="7"/>
      <c r="X87" s="7"/>
    </row>
    <row r="88" spans="1:24" s="450" customFormat="1" ht="33.75" hidden="1" customHeight="1" x14ac:dyDescent="0.2">
      <c r="A88" s="224">
        <v>88</v>
      </c>
      <c r="B88" s="7"/>
      <c r="F88" s="7"/>
      <c r="K88" s="7"/>
      <c r="N88" s="7"/>
      <c r="P88" s="7"/>
      <c r="Q88" s="7"/>
      <c r="R88" s="7"/>
      <c r="S88" s="7"/>
      <c r="T88" s="7"/>
      <c r="U88" s="7"/>
      <c r="V88" s="525"/>
      <c r="W88" s="7"/>
      <c r="X88" s="7"/>
    </row>
    <row r="89" spans="1:24" s="450" customFormat="1" ht="30.75" hidden="1" customHeight="1" x14ac:dyDescent="0.2">
      <c r="A89" s="224">
        <v>5</v>
      </c>
      <c r="B89" s="7"/>
      <c r="F89" s="7"/>
      <c r="K89" s="7"/>
      <c r="N89" s="7"/>
      <c r="P89" s="7"/>
      <c r="Q89" s="7"/>
      <c r="R89" s="7"/>
      <c r="S89" s="7"/>
      <c r="T89" s="7"/>
      <c r="U89" s="7"/>
      <c r="V89" s="525"/>
      <c r="W89" s="7"/>
      <c r="X89" s="7"/>
    </row>
    <row r="90" spans="1:24" s="450" customFormat="1" ht="61.5" customHeight="1" x14ac:dyDescent="0.2">
      <c r="A90" s="224"/>
      <c r="B90" s="7"/>
      <c r="F90" s="7"/>
      <c r="K90" s="7"/>
      <c r="N90" s="7"/>
      <c r="P90" s="7"/>
      <c r="Q90" s="7"/>
      <c r="R90" s="7"/>
      <c r="S90" s="7"/>
      <c r="T90" s="7"/>
      <c r="U90" s="7"/>
      <c r="V90" s="525"/>
      <c r="W90" s="7"/>
      <c r="X90" s="7"/>
    </row>
    <row r="91" spans="1:24" s="450" customFormat="1" ht="66" customHeight="1" x14ac:dyDescent="0.2">
      <c r="A91" s="224"/>
      <c r="B91" s="7"/>
      <c r="F91" s="7"/>
      <c r="K91" s="7"/>
      <c r="N91" s="7"/>
      <c r="P91" s="7"/>
      <c r="Q91" s="7"/>
      <c r="R91" s="7"/>
      <c r="S91" s="7"/>
      <c r="T91" s="7"/>
      <c r="U91" s="7"/>
      <c r="V91" s="525"/>
      <c r="W91" s="7"/>
      <c r="X91" s="7"/>
    </row>
    <row r="92" spans="1:24" x14ac:dyDescent="0.2">
      <c r="A92" s="224"/>
    </row>
    <row r="93" spans="1:24" x14ac:dyDescent="0.2">
      <c r="A93" s="224"/>
    </row>
    <row r="94" spans="1:24" x14ac:dyDescent="0.2">
      <c r="A94" s="224"/>
    </row>
    <row r="95" spans="1:24" s="450" customFormat="1" ht="42.75" customHeight="1" x14ac:dyDescent="0.2">
      <c r="A95" s="224">
        <v>2</v>
      </c>
      <c r="B95" s="7"/>
      <c r="F95" s="7"/>
      <c r="K95" s="7"/>
      <c r="N95" s="7"/>
      <c r="P95" s="7"/>
      <c r="Q95" s="7"/>
      <c r="R95" s="7"/>
      <c r="S95" s="7"/>
      <c r="T95" s="7"/>
      <c r="U95" s="7"/>
      <c r="V95" s="525"/>
      <c r="W95" s="7"/>
      <c r="X95" s="7"/>
    </row>
    <row r="96" spans="1:24" x14ac:dyDescent="0.2">
      <c r="N96" s="488"/>
      <c r="O96" s="488"/>
    </row>
    <row r="97" spans="1:23" x14ac:dyDescent="0.2">
      <c r="N97" s="488"/>
      <c r="O97" s="488"/>
    </row>
    <row r="98" spans="1:23" x14ac:dyDescent="0.2">
      <c r="N98" s="488"/>
      <c r="O98" s="488"/>
    </row>
    <row r="99" spans="1:23" x14ac:dyDescent="0.2">
      <c r="N99" s="488"/>
      <c r="O99" s="488"/>
    </row>
    <row r="100" spans="1:23" x14ac:dyDescent="0.2">
      <c r="N100" s="488"/>
      <c r="O100" s="488"/>
    </row>
    <row r="101" spans="1:23" x14ac:dyDescent="0.2">
      <c r="N101" s="488"/>
      <c r="O101" s="488"/>
    </row>
    <row r="102" spans="1:23" x14ac:dyDescent="0.2">
      <c r="N102" s="488"/>
      <c r="O102" s="488"/>
    </row>
    <row r="103" spans="1:23" x14ac:dyDescent="0.2">
      <c r="B103" s="529"/>
      <c r="C103" s="529"/>
      <c r="D103" s="159"/>
      <c r="E103" s="159"/>
      <c r="F103" s="529"/>
      <c r="G103" s="529"/>
      <c r="H103" s="529"/>
      <c r="I103" s="159"/>
      <c r="J103" s="159"/>
      <c r="K103" s="159"/>
      <c r="L103" s="159"/>
      <c r="M103" s="159"/>
      <c r="N103" s="529"/>
      <c r="O103" s="529"/>
      <c r="P103" s="530"/>
      <c r="Q103" s="529"/>
      <c r="R103" s="159"/>
      <c r="S103" s="159"/>
      <c r="T103" s="159"/>
      <c r="U103" s="159"/>
      <c r="V103" s="531"/>
      <c r="W103" s="159"/>
    </row>
    <row r="104" spans="1:23" x14ac:dyDescent="0.2">
      <c r="B104" s="529"/>
      <c r="C104" s="529"/>
      <c r="D104" s="159"/>
      <c r="E104" s="159"/>
      <c r="F104" s="529"/>
      <c r="G104" s="529"/>
      <c r="H104" s="529"/>
      <c r="I104" s="159"/>
      <c r="J104" s="159"/>
      <c r="K104" s="159"/>
      <c r="L104" s="159"/>
      <c r="M104" s="159"/>
      <c r="N104" s="159"/>
      <c r="O104" s="159"/>
      <c r="P104" s="159"/>
      <c r="Q104" s="159"/>
      <c r="R104" s="159"/>
      <c r="S104" s="159"/>
      <c r="T104" s="159"/>
      <c r="U104" s="159"/>
      <c r="V104" s="531"/>
      <c r="W104" s="159"/>
    </row>
    <row r="105" spans="1:23" x14ac:dyDescent="0.2">
      <c r="B105" s="7"/>
      <c r="C105" s="7"/>
      <c r="D105" s="7"/>
      <c r="E105" s="7"/>
      <c r="F105" s="7"/>
      <c r="G105" s="7"/>
      <c r="H105" s="7"/>
      <c r="I105" s="7"/>
      <c r="J105" s="7"/>
      <c r="K105" s="7"/>
      <c r="L105" s="7"/>
      <c r="M105" s="7"/>
      <c r="N105" s="7"/>
      <c r="O105" s="7"/>
      <c r="P105" s="7"/>
      <c r="Q105" s="7"/>
      <c r="R105" s="7"/>
      <c r="S105" s="7"/>
      <c r="T105" s="7"/>
      <c r="U105" s="7"/>
      <c r="V105" s="525"/>
      <c r="W105" s="7"/>
    </row>
    <row r="106" spans="1:23" x14ac:dyDescent="0.2">
      <c r="B106" s="522"/>
      <c r="C106" s="523"/>
      <c r="D106" s="159"/>
      <c r="E106" s="159"/>
      <c r="F106" s="159"/>
      <c r="G106" s="159"/>
      <c r="H106" s="159"/>
      <c r="I106" s="159"/>
      <c r="J106" s="159"/>
      <c r="K106" s="159"/>
      <c r="L106" s="159"/>
      <c r="M106" s="159"/>
      <c r="N106" s="532"/>
      <c r="O106" s="532"/>
      <c r="P106" s="532"/>
      <c r="Q106" s="533"/>
      <c r="R106" s="533"/>
      <c r="S106" s="533"/>
      <c r="T106" s="533"/>
      <c r="U106" s="533"/>
      <c r="V106" s="531"/>
      <c r="W106" s="159"/>
    </row>
    <row r="107" spans="1:23" x14ac:dyDescent="0.2">
      <c r="B107" s="7"/>
      <c r="C107" s="450"/>
      <c r="D107" s="534"/>
      <c r="E107" s="534"/>
      <c r="F107" s="159"/>
      <c r="G107" s="159"/>
      <c r="H107" s="159"/>
      <c r="I107" s="159"/>
      <c r="J107" s="159"/>
      <c r="K107" s="159"/>
      <c r="L107" s="159"/>
      <c r="M107" s="159"/>
      <c r="N107" s="524"/>
      <c r="O107" s="524"/>
      <c r="P107" s="524"/>
      <c r="Q107" s="526"/>
      <c r="R107" s="526"/>
      <c r="S107" s="526"/>
      <c r="T107" s="526"/>
      <c r="U107" s="526"/>
      <c r="V107" s="525"/>
      <c r="W107" s="159"/>
    </row>
    <row r="108" spans="1:23" ht="35.25" customHeight="1" x14ac:dyDescent="0.2">
      <c r="A108" s="145"/>
      <c r="B108" s="145"/>
      <c r="C108" s="145"/>
      <c r="D108" s="145"/>
      <c r="E108" s="145"/>
      <c r="F108" s="159"/>
      <c r="G108" s="159"/>
      <c r="H108" s="159"/>
      <c r="I108" s="159"/>
      <c r="J108" s="159"/>
      <c r="K108" s="159"/>
      <c r="L108" s="159"/>
      <c r="M108" s="159"/>
      <c r="N108" s="524"/>
      <c r="O108" s="524"/>
      <c r="P108" s="524"/>
      <c r="Q108" s="526"/>
      <c r="R108" s="526"/>
      <c r="S108" s="526"/>
      <c r="T108" s="526"/>
      <c r="U108" s="526"/>
      <c r="V108" s="525"/>
      <c r="W108" s="159"/>
    </row>
    <row r="109" spans="1:23" x14ac:dyDescent="0.2">
      <c r="N109" s="488"/>
      <c r="O109" s="488"/>
    </row>
    <row r="110" spans="1:23" x14ac:dyDescent="0.2">
      <c r="N110" s="488"/>
      <c r="O110" s="488"/>
    </row>
    <row r="111" spans="1:23" x14ac:dyDescent="0.2">
      <c r="N111" s="488"/>
      <c r="O111" s="488"/>
    </row>
    <row r="112" spans="1:23" x14ac:dyDescent="0.2">
      <c r="N112" s="488"/>
      <c r="O112" s="488"/>
    </row>
    <row r="113" spans="14:15" x14ac:dyDescent="0.2">
      <c r="N113" s="488"/>
      <c r="O113" s="488"/>
    </row>
    <row r="114" spans="14:15" x14ac:dyDescent="0.2">
      <c r="N114" s="488"/>
      <c r="O114" s="488"/>
    </row>
    <row r="115" spans="14:15" x14ac:dyDescent="0.2">
      <c r="N115" s="488"/>
      <c r="O115" s="488"/>
    </row>
    <row r="116" spans="14:15" x14ac:dyDescent="0.2">
      <c r="N116" s="488"/>
      <c r="O116" s="488"/>
    </row>
    <row r="117" spans="14:15" x14ac:dyDescent="0.2">
      <c r="N117" s="488"/>
      <c r="O117" s="488"/>
    </row>
    <row r="118" spans="14:15" x14ac:dyDescent="0.2">
      <c r="N118" s="488"/>
      <c r="O118" s="488"/>
    </row>
    <row r="119" spans="14:15" x14ac:dyDescent="0.2">
      <c r="N119" s="488"/>
      <c r="O119" s="488"/>
    </row>
    <row r="120" spans="14:15" x14ac:dyDescent="0.2">
      <c r="N120" s="488"/>
      <c r="O120" s="488"/>
    </row>
    <row r="121" spans="14:15" x14ac:dyDescent="0.2">
      <c r="N121" s="488"/>
      <c r="O121" s="488"/>
    </row>
    <row r="122" spans="14:15" x14ac:dyDescent="0.2">
      <c r="N122" s="488"/>
      <c r="O122" s="488"/>
    </row>
    <row r="123" spans="14:15" x14ac:dyDescent="0.2">
      <c r="N123" s="488"/>
      <c r="O123" s="488"/>
    </row>
    <row r="124" spans="14:15" x14ac:dyDescent="0.2">
      <c r="N124" s="488"/>
      <c r="O124" s="488"/>
    </row>
    <row r="125" spans="14:15" x14ac:dyDescent="0.2">
      <c r="N125" s="488"/>
      <c r="O125" s="488"/>
    </row>
    <row r="126" spans="14:15" x14ac:dyDescent="0.2">
      <c r="N126" s="488"/>
      <c r="O126" s="488"/>
    </row>
    <row r="127" spans="14:15" x14ac:dyDescent="0.2">
      <c r="N127" s="488"/>
      <c r="O127" s="488"/>
    </row>
    <row r="128" spans="14:15" x14ac:dyDescent="0.2">
      <c r="N128" s="488"/>
      <c r="O128" s="488"/>
    </row>
    <row r="129" spans="14:15" x14ac:dyDescent="0.2">
      <c r="N129" s="488"/>
      <c r="O129" s="488"/>
    </row>
    <row r="130" spans="14:15" x14ac:dyDescent="0.2">
      <c r="N130" s="488"/>
      <c r="O130" s="488"/>
    </row>
    <row r="131" spans="14:15" x14ac:dyDescent="0.2">
      <c r="N131" s="488"/>
      <c r="O131" s="488"/>
    </row>
    <row r="132" spans="14:15" x14ac:dyDescent="0.2">
      <c r="N132" s="488"/>
      <c r="O132" s="488"/>
    </row>
    <row r="133" spans="14:15" x14ac:dyDescent="0.2">
      <c r="N133" s="488"/>
      <c r="O133" s="488"/>
    </row>
    <row r="134" spans="14:15" x14ac:dyDescent="0.2">
      <c r="N134" s="488"/>
      <c r="O134" s="488"/>
    </row>
    <row r="135" spans="14:15" x14ac:dyDescent="0.2">
      <c r="N135" s="488"/>
      <c r="O135" s="488"/>
    </row>
    <row r="136" spans="14:15" x14ac:dyDescent="0.2">
      <c r="N136" s="488"/>
      <c r="O136" s="488"/>
    </row>
    <row r="137" spans="14:15" x14ac:dyDescent="0.2">
      <c r="N137" s="488"/>
      <c r="O137" s="488"/>
    </row>
    <row r="138" spans="14:15" x14ac:dyDescent="0.2">
      <c r="N138" s="488"/>
      <c r="O138" s="488"/>
    </row>
    <row r="139" spans="14:15" x14ac:dyDescent="0.2">
      <c r="N139" s="488"/>
      <c r="O139" s="488"/>
    </row>
  </sheetData>
  <mergeCells count="21">
    <mergeCell ref="N103:Q103"/>
    <mergeCell ref="W4:W5"/>
    <mergeCell ref="X4:X5"/>
    <mergeCell ref="A75:A76"/>
    <mergeCell ref="B103:B104"/>
    <mergeCell ref="C103:C104"/>
    <mergeCell ref="F103:F104"/>
    <mergeCell ref="G103:G104"/>
    <mergeCell ref="H103:H104"/>
    <mergeCell ref="J4:J5"/>
    <mergeCell ref="K4:M4"/>
    <mergeCell ref="N4:N5"/>
    <mergeCell ref="O4:O5"/>
    <mergeCell ref="P4:S4"/>
    <mergeCell ref="T4:V4"/>
    <mergeCell ref="C4:C5"/>
    <mergeCell ref="E4:E5"/>
    <mergeCell ref="F4:F5"/>
    <mergeCell ref="G4:G5"/>
    <mergeCell ref="H4:H5"/>
    <mergeCell ref="I4:I5"/>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07"/>
  <sheetViews>
    <sheetView topLeftCell="A140" workbookViewId="0">
      <selection activeCell="Q145" sqref="Q145"/>
    </sheetView>
  </sheetViews>
  <sheetFormatPr defaultColWidth="9.140625" defaultRowHeight="12.75" x14ac:dyDescent="0.2"/>
  <cols>
    <col min="1" max="1" width="6.140625" style="90" customWidth="1"/>
    <col min="2" max="2" width="8.85546875" style="7" customWidth="1"/>
    <col min="3" max="3" width="13.42578125" style="159" customWidth="1"/>
    <col min="4" max="4" width="17.28515625" style="6" customWidth="1"/>
    <col min="5" max="5" width="9" style="90" customWidth="1"/>
    <col min="6" max="6" width="14.28515625" style="534" customWidth="1"/>
    <col min="7" max="7" width="14.28515625" style="159" customWidth="1"/>
    <col min="8" max="8" width="14.85546875" style="159" customWidth="1"/>
    <col min="9" max="9" width="10.28515625" style="7" customWidth="1"/>
    <col min="10" max="10" width="9" style="7" customWidth="1"/>
    <col min="11" max="11" width="12.28515625" style="90" customWidth="1"/>
    <col min="12" max="12" width="10.140625" style="90" customWidth="1"/>
    <col min="13" max="13" width="5.85546875" style="90" customWidth="1"/>
    <col min="14" max="14" width="10" style="90" customWidth="1"/>
    <col min="15" max="15" width="7.5703125" style="535" customWidth="1"/>
    <col min="16" max="16" width="9.140625" style="387" customWidth="1"/>
    <col min="17" max="17" width="13.140625" style="90" customWidth="1"/>
    <col min="18" max="18" width="12.140625" style="90" customWidth="1"/>
    <col min="19" max="19" width="11.140625" style="90" customWidth="1"/>
    <col min="20" max="20" width="11.85546875" style="6" customWidth="1"/>
    <col min="21" max="21" width="13.140625" style="7" customWidth="1"/>
    <col min="22" max="22" width="10.42578125" style="7" customWidth="1"/>
    <col min="23" max="23" width="9.85546875" style="7" customWidth="1"/>
    <col min="24" max="25" width="9.140625" style="6"/>
    <col min="26" max="26" width="1.5703125" style="6" customWidth="1"/>
    <col min="27" max="28" width="9.140625" style="6"/>
    <col min="29" max="29" width="7.42578125" style="6" customWidth="1"/>
    <col min="30" max="30" width="8.5703125" style="6" customWidth="1"/>
    <col min="31" max="16384" width="9.140625" style="6"/>
  </cols>
  <sheetData>
    <row r="1" spans="1:23" ht="17.25" customHeight="1" x14ac:dyDescent="0.2">
      <c r="A1" s="318" t="s">
        <v>12980</v>
      </c>
      <c r="B1" s="318"/>
      <c r="C1" s="318"/>
    </row>
    <row r="2" spans="1:23" ht="17.25" customHeight="1" x14ac:dyDescent="0.2">
      <c r="A2" s="91" t="s">
        <v>14019</v>
      </c>
      <c r="B2" s="288"/>
      <c r="C2" s="536"/>
      <c r="I2" s="90"/>
      <c r="J2" s="90"/>
      <c r="U2" s="90"/>
      <c r="V2" s="90"/>
      <c r="W2" s="90"/>
    </row>
    <row r="3" spans="1:23" ht="17.25" customHeight="1" thickBot="1" x14ac:dyDescent="0.25">
      <c r="C3" s="159" t="s">
        <v>3211</v>
      </c>
    </row>
    <row r="4" spans="1:23" s="19" customFormat="1" ht="35.25" customHeight="1" thickBot="1" x14ac:dyDescent="0.25">
      <c r="A4" s="297" t="s">
        <v>14020</v>
      </c>
      <c r="B4" s="537" t="s">
        <v>6165</v>
      </c>
      <c r="C4" s="538" t="s">
        <v>12408</v>
      </c>
      <c r="D4" s="539" t="s">
        <v>1995</v>
      </c>
      <c r="E4" s="540" t="s">
        <v>12982</v>
      </c>
      <c r="F4" s="541" t="s">
        <v>438</v>
      </c>
      <c r="G4" s="542" t="s">
        <v>14021</v>
      </c>
      <c r="H4" s="538" t="s">
        <v>2417</v>
      </c>
      <c r="I4" s="538" t="s">
        <v>5331</v>
      </c>
      <c r="J4" s="297" t="s">
        <v>12419</v>
      </c>
      <c r="K4" s="300" t="s">
        <v>3130</v>
      </c>
      <c r="L4" s="303"/>
      <c r="M4" s="301"/>
      <c r="N4" s="297" t="s">
        <v>14022</v>
      </c>
      <c r="O4" s="305" t="s">
        <v>14023</v>
      </c>
      <c r="P4" s="543" t="s">
        <v>5405</v>
      </c>
      <c r="Q4" s="544" t="s">
        <v>14024</v>
      </c>
      <c r="R4" s="545"/>
      <c r="S4" s="545"/>
      <c r="T4" s="546"/>
      <c r="U4" s="300" t="s">
        <v>3130</v>
      </c>
      <c r="V4" s="303"/>
      <c r="W4" s="301"/>
    </row>
    <row r="5" spans="1:23" s="19" customFormat="1" ht="26.25" customHeight="1" thickBot="1" x14ac:dyDescent="0.25">
      <c r="A5" s="298"/>
      <c r="B5" s="547"/>
      <c r="C5" s="548"/>
      <c r="D5" s="549"/>
      <c r="E5" s="550"/>
      <c r="F5" s="551"/>
      <c r="G5" s="552"/>
      <c r="H5" s="548"/>
      <c r="I5" s="548"/>
      <c r="J5" s="298"/>
      <c r="K5" s="93" t="s">
        <v>3771</v>
      </c>
      <c r="L5" s="93" t="s">
        <v>1598</v>
      </c>
      <c r="M5" s="280" t="s">
        <v>3131</v>
      </c>
      <c r="N5" s="302"/>
      <c r="O5" s="311"/>
      <c r="P5" s="553"/>
      <c r="Q5" s="93" t="s">
        <v>14025</v>
      </c>
      <c r="R5" s="93" t="s">
        <v>14026</v>
      </c>
      <c r="S5" s="94" t="s">
        <v>11432</v>
      </c>
      <c r="T5" s="323" t="s">
        <v>12413</v>
      </c>
      <c r="U5" s="281" t="s">
        <v>3771</v>
      </c>
      <c r="V5" s="281" t="s">
        <v>1598</v>
      </c>
      <c r="W5" s="239" t="s">
        <v>3131</v>
      </c>
    </row>
    <row r="6" spans="1:23" s="19" customFormat="1" ht="17.25" customHeight="1" x14ac:dyDescent="0.2">
      <c r="A6" s="37">
        <v>1</v>
      </c>
      <c r="B6" s="37">
        <v>2</v>
      </c>
      <c r="C6" s="285">
        <v>3</v>
      </c>
      <c r="D6" s="289">
        <v>4</v>
      </c>
      <c r="E6" s="289">
        <v>5</v>
      </c>
      <c r="F6" s="285">
        <v>6</v>
      </c>
      <c r="G6" s="285">
        <v>7</v>
      </c>
      <c r="H6" s="285">
        <v>8</v>
      </c>
      <c r="I6" s="289">
        <v>9</v>
      </c>
      <c r="J6" s="289">
        <v>10</v>
      </c>
      <c r="K6" s="20">
        <v>11</v>
      </c>
      <c r="L6" s="20">
        <v>12</v>
      </c>
      <c r="M6" s="20">
        <v>13</v>
      </c>
      <c r="N6" s="289">
        <v>14</v>
      </c>
      <c r="O6" s="160">
        <v>14</v>
      </c>
      <c r="P6" s="160">
        <v>15</v>
      </c>
      <c r="Q6" s="20">
        <v>16</v>
      </c>
      <c r="R6" s="20">
        <v>17</v>
      </c>
      <c r="S6" s="20">
        <v>18</v>
      </c>
      <c r="T6" s="20">
        <v>19</v>
      </c>
      <c r="U6" s="289">
        <v>20</v>
      </c>
      <c r="V6" s="289">
        <v>21</v>
      </c>
      <c r="W6" s="289">
        <v>22</v>
      </c>
    </row>
    <row r="7" spans="1:23" s="19" customFormat="1" ht="37.5" customHeight="1" x14ac:dyDescent="0.2">
      <c r="A7" s="289">
        <v>1</v>
      </c>
      <c r="B7" s="289" t="s">
        <v>14027</v>
      </c>
      <c r="C7" s="9"/>
      <c r="D7" s="18" t="s">
        <v>14028</v>
      </c>
      <c r="E7" s="289">
        <v>1982</v>
      </c>
      <c r="F7" s="9" t="s">
        <v>14029</v>
      </c>
      <c r="G7" s="285" t="s">
        <v>14030</v>
      </c>
      <c r="H7" s="284"/>
      <c r="I7" s="285" t="s">
        <v>2042</v>
      </c>
      <c r="J7" s="285" t="s">
        <v>2207</v>
      </c>
      <c r="K7" s="285" t="s">
        <v>3136</v>
      </c>
      <c r="L7" s="14">
        <v>41873</v>
      </c>
      <c r="M7" s="285">
        <v>734</v>
      </c>
      <c r="N7" s="285"/>
      <c r="O7" s="24">
        <v>1</v>
      </c>
      <c r="P7" s="15">
        <v>41873</v>
      </c>
      <c r="Q7" s="40">
        <v>109264.95</v>
      </c>
      <c r="R7" s="40">
        <f>Q7-S7</f>
        <v>109264.95</v>
      </c>
      <c r="S7" s="40">
        <v>0</v>
      </c>
      <c r="T7" s="18"/>
      <c r="U7" s="289"/>
      <c r="V7" s="289"/>
      <c r="W7" s="289"/>
    </row>
    <row r="8" spans="1:23" s="19" customFormat="1" ht="27.75" customHeight="1" x14ac:dyDescent="0.2">
      <c r="A8" s="289">
        <v>2</v>
      </c>
      <c r="B8" s="289" t="s">
        <v>14031</v>
      </c>
      <c r="C8" s="9"/>
      <c r="D8" s="9" t="s">
        <v>14032</v>
      </c>
      <c r="E8" s="289"/>
      <c r="F8" s="554" t="s">
        <v>14033</v>
      </c>
      <c r="G8" s="285" t="s">
        <v>14034</v>
      </c>
      <c r="H8" s="56" t="s">
        <v>101</v>
      </c>
      <c r="I8" s="285" t="s">
        <v>5127</v>
      </c>
      <c r="J8" s="285"/>
      <c r="K8" s="289" t="s">
        <v>3132</v>
      </c>
      <c r="L8" s="289"/>
      <c r="M8" s="285" t="s">
        <v>14035</v>
      </c>
      <c r="N8" s="289"/>
      <c r="O8" s="24">
        <v>1</v>
      </c>
      <c r="P8" s="15">
        <v>39722</v>
      </c>
      <c r="Q8" s="40">
        <v>394086.69</v>
      </c>
      <c r="R8" s="40">
        <f>Q8-S8</f>
        <v>394086.69</v>
      </c>
      <c r="S8" s="40">
        <v>0</v>
      </c>
      <c r="T8" s="18"/>
      <c r="U8" s="289"/>
      <c r="V8" s="289"/>
      <c r="W8" s="289"/>
    </row>
    <row r="9" spans="1:23" s="19" customFormat="1" ht="125.25" customHeight="1" x14ac:dyDescent="0.2">
      <c r="A9" s="289">
        <v>3</v>
      </c>
      <c r="B9" s="39" t="s">
        <v>14036</v>
      </c>
      <c r="C9" s="24" t="s">
        <v>14037</v>
      </c>
      <c r="D9" s="18" t="s">
        <v>14038</v>
      </c>
      <c r="E9" s="15">
        <v>25697</v>
      </c>
      <c r="F9" s="9" t="s">
        <v>14039</v>
      </c>
      <c r="G9" s="285" t="s">
        <v>14040</v>
      </c>
      <c r="H9" s="285" t="s">
        <v>4946</v>
      </c>
      <c r="I9" s="285" t="s">
        <v>5127</v>
      </c>
      <c r="J9" s="285"/>
      <c r="K9" s="285" t="s">
        <v>11743</v>
      </c>
      <c r="L9" s="14" t="s">
        <v>13049</v>
      </c>
      <c r="M9" s="285" t="s">
        <v>13050</v>
      </c>
      <c r="N9" s="285">
        <v>118.2</v>
      </c>
      <c r="O9" s="24">
        <v>1</v>
      </c>
      <c r="P9" s="15">
        <v>41183</v>
      </c>
      <c r="Q9" s="40">
        <v>774496.71</v>
      </c>
      <c r="R9" s="40">
        <v>747394.73</v>
      </c>
      <c r="S9" s="40">
        <f>Q9-R9</f>
        <v>27101.979999999981</v>
      </c>
      <c r="T9" s="40">
        <v>5471</v>
      </c>
      <c r="U9" s="285" t="s">
        <v>14041</v>
      </c>
      <c r="V9" s="14" t="s">
        <v>14042</v>
      </c>
      <c r="W9" s="285" t="s">
        <v>14043</v>
      </c>
    </row>
    <row r="10" spans="1:23" s="19" customFormat="1" ht="30" customHeight="1" x14ac:dyDescent="0.2">
      <c r="A10" s="289">
        <v>4</v>
      </c>
      <c r="B10" s="289" t="s">
        <v>14044</v>
      </c>
      <c r="C10" s="9"/>
      <c r="D10" s="18" t="s">
        <v>14045</v>
      </c>
      <c r="E10" s="12" t="s">
        <v>14046</v>
      </c>
      <c r="F10" s="9" t="s">
        <v>14047</v>
      </c>
      <c r="G10" s="285" t="s">
        <v>14048</v>
      </c>
      <c r="H10" s="56" t="s">
        <v>101</v>
      </c>
      <c r="I10" s="285" t="s">
        <v>5127</v>
      </c>
      <c r="J10" s="285"/>
      <c r="K10" s="285" t="s">
        <v>3136</v>
      </c>
      <c r="L10" s="14">
        <v>39262</v>
      </c>
      <c r="M10" s="285">
        <v>457</v>
      </c>
      <c r="N10" s="285">
        <v>400</v>
      </c>
      <c r="O10" s="24">
        <v>1</v>
      </c>
      <c r="P10" s="15">
        <v>39722</v>
      </c>
      <c r="Q10" s="40">
        <v>444305.88</v>
      </c>
      <c r="R10" s="40">
        <f t="shared" ref="R10:R15" si="0">Q10-S10</f>
        <v>444305.88</v>
      </c>
      <c r="S10" s="40">
        <v>0</v>
      </c>
      <c r="T10" s="18"/>
      <c r="U10" s="289"/>
      <c r="V10" s="289"/>
      <c r="W10" s="289"/>
    </row>
    <row r="11" spans="1:23" s="19" customFormat="1" ht="30.75" customHeight="1" x14ac:dyDescent="0.2">
      <c r="A11" s="289">
        <v>5</v>
      </c>
      <c r="B11" s="289" t="s">
        <v>14049</v>
      </c>
      <c r="C11" s="9"/>
      <c r="D11" s="9" t="s">
        <v>14050</v>
      </c>
      <c r="E11" s="12" t="s">
        <v>14051</v>
      </c>
      <c r="F11" s="9" t="s">
        <v>14052</v>
      </c>
      <c r="G11" s="285" t="s">
        <v>14053</v>
      </c>
      <c r="H11" s="285" t="s">
        <v>7978</v>
      </c>
      <c r="I11" s="285" t="s">
        <v>5127</v>
      </c>
      <c r="J11" s="285"/>
      <c r="K11" s="285" t="s">
        <v>3136</v>
      </c>
      <c r="L11" s="14">
        <v>39412</v>
      </c>
      <c r="M11" s="22" t="s">
        <v>6310</v>
      </c>
      <c r="N11" s="14"/>
      <c r="O11" s="24" t="s">
        <v>2387</v>
      </c>
      <c r="P11" s="15">
        <v>39722</v>
      </c>
      <c r="Q11" s="40">
        <v>671321.16</v>
      </c>
      <c r="R11" s="40">
        <f t="shared" si="0"/>
        <v>671321.16</v>
      </c>
      <c r="S11" s="40">
        <v>0</v>
      </c>
      <c r="T11" s="18"/>
      <c r="U11" s="285" t="s">
        <v>13196</v>
      </c>
      <c r="V11" s="15">
        <v>36831</v>
      </c>
      <c r="W11" s="289">
        <v>44</v>
      </c>
    </row>
    <row r="12" spans="1:23" s="19" customFormat="1" ht="29.25" customHeight="1" x14ac:dyDescent="0.2">
      <c r="A12" s="289">
        <v>6</v>
      </c>
      <c r="B12" s="289" t="s">
        <v>14054</v>
      </c>
      <c r="C12" s="9"/>
      <c r="D12" s="9" t="s">
        <v>14055</v>
      </c>
      <c r="E12" s="289">
        <v>1983</v>
      </c>
      <c r="F12" s="9" t="s">
        <v>14056</v>
      </c>
      <c r="G12" s="285" t="s">
        <v>14053</v>
      </c>
      <c r="H12" s="285" t="s">
        <v>7978</v>
      </c>
      <c r="I12" s="285" t="s">
        <v>5127</v>
      </c>
      <c r="J12" s="285"/>
      <c r="K12" s="285" t="s">
        <v>3136</v>
      </c>
      <c r="L12" s="14">
        <v>39052</v>
      </c>
      <c r="M12" s="22" t="s">
        <v>14057</v>
      </c>
      <c r="N12" s="285">
        <v>1090</v>
      </c>
      <c r="O12" s="24">
        <v>1</v>
      </c>
      <c r="P12" s="15">
        <v>39722</v>
      </c>
      <c r="Q12" s="40">
        <v>549929.43000000005</v>
      </c>
      <c r="R12" s="40">
        <f t="shared" si="0"/>
        <v>549929.43000000005</v>
      </c>
      <c r="S12" s="40">
        <v>0</v>
      </c>
      <c r="T12" s="18"/>
      <c r="U12" s="289"/>
      <c r="V12" s="289"/>
      <c r="W12" s="289"/>
    </row>
    <row r="13" spans="1:23" s="19" customFormat="1" ht="30.75" customHeight="1" x14ac:dyDescent="0.2">
      <c r="A13" s="289">
        <v>7</v>
      </c>
      <c r="B13" s="289" t="s">
        <v>14058</v>
      </c>
      <c r="C13" s="9"/>
      <c r="D13" s="18" t="s">
        <v>14045</v>
      </c>
      <c r="E13" s="289">
        <v>1983</v>
      </c>
      <c r="F13" s="9" t="s">
        <v>14059</v>
      </c>
      <c r="G13" s="285" t="s">
        <v>14060</v>
      </c>
      <c r="H13" s="285" t="s">
        <v>7978</v>
      </c>
      <c r="I13" s="285" t="s">
        <v>5127</v>
      </c>
      <c r="J13" s="285"/>
      <c r="K13" s="285" t="s">
        <v>3136</v>
      </c>
      <c r="L13" s="14">
        <v>39412</v>
      </c>
      <c r="M13" s="22" t="s">
        <v>6310</v>
      </c>
      <c r="N13" s="285">
        <v>551</v>
      </c>
      <c r="O13" s="24">
        <v>1</v>
      </c>
      <c r="P13" s="15">
        <v>39814</v>
      </c>
      <c r="Q13" s="40">
        <v>535432.68000000005</v>
      </c>
      <c r="R13" s="40">
        <f t="shared" si="0"/>
        <v>535432.68000000005</v>
      </c>
      <c r="S13" s="40">
        <v>0</v>
      </c>
      <c r="T13" s="18"/>
      <c r="U13" s="289"/>
      <c r="V13" s="289"/>
      <c r="W13" s="289"/>
    </row>
    <row r="14" spans="1:23" s="19" customFormat="1" ht="30" customHeight="1" x14ac:dyDescent="0.2">
      <c r="A14" s="289">
        <v>8</v>
      </c>
      <c r="B14" s="289" t="s">
        <v>14061</v>
      </c>
      <c r="C14" s="9"/>
      <c r="D14" s="9" t="s">
        <v>14062</v>
      </c>
      <c r="E14" s="289">
        <v>1986</v>
      </c>
      <c r="F14" s="9" t="s">
        <v>14063</v>
      </c>
      <c r="G14" s="285" t="s">
        <v>14064</v>
      </c>
      <c r="H14" s="285" t="s">
        <v>7967</v>
      </c>
      <c r="I14" s="285" t="s">
        <v>5127</v>
      </c>
      <c r="J14" s="285"/>
      <c r="K14" s="285" t="s">
        <v>3136</v>
      </c>
      <c r="L14" s="14">
        <v>39412</v>
      </c>
      <c r="M14" s="22" t="s">
        <v>6310</v>
      </c>
      <c r="N14" s="285"/>
      <c r="O14" s="24">
        <v>12</v>
      </c>
      <c r="P14" s="15">
        <v>41000</v>
      </c>
      <c r="Q14" s="40">
        <v>1369741.68</v>
      </c>
      <c r="R14" s="40">
        <f t="shared" si="0"/>
        <v>1369741.68</v>
      </c>
      <c r="S14" s="40">
        <v>0</v>
      </c>
      <c r="T14" s="18"/>
      <c r="U14" s="285" t="s">
        <v>13196</v>
      </c>
      <c r="V14" s="15">
        <v>36831</v>
      </c>
      <c r="W14" s="289">
        <v>44</v>
      </c>
    </row>
    <row r="15" spans="1:23" s="19" customFormat="1" ht="27" customHeight="1" x14ac:dyDescent="0.2">
      <c r="A15" s="289">
        <v>9</v>
      </c>
      <c r="B15" s="289" t="s">
        <v>14065</v>
      </c>
      <c r="C15" s="9"/>
      <c r="D15" s="9" t="s">
        <v>14055</v>
      </c>
      <c r="E15" s="289">
        <v>1986</v>
      </c>
      <c r="F15" s="9" t="s">
        <v>14066</v>
      </c>
      <c r="G15" s="285" t="s">
        <v>14067</v>
      </c>
      <c r="H15" s="285" t="s">
        <v>7967</v>
      </c>
      <c r="I15" s="285" t="s">
        <v>5127</v>
      </c>
      <c r="J15" s="285"/>
      <c r="K15" s="285" t="s">
        <v>3136</v>
      </c>
      <c r="L15" s="14">
        <v>39052</v>
      </c>
      <c r="M15" s="22" t="s">
        <v>14057</v>
      </c>
      <c r="N15" s="285">
        <v>1760</v>
      </c>
      <c r="O15" s="24">
        <v>1</v>
      </c>
      <c r="P15" s="15">
        <v>39814</v>
      </c>
      <c r="Q15" s="40">
        <v>669419.66</v>
      </c>
      <c r="R15" s="40">
        <f t="shared" si="0"/>
        <v>669419.66</v>
      </c>
      <c r="S15" s="40">
        <v>0</v>
      </c>
      <c r="T15" s="18"/>
      <c r="U15" s="289"/>
      <c r="V15" s="289"/>
      <c r="W15" s="289"/>
    </row>
    <row r="16" spans="1:23" s="19" customFormat="1" ht="29.25" customHeight="1" x14ac:dyDescent="0.2">
      <c r="A16" s="289">
        <v>10</v>
      </c>
      <c r="B16" s="289" t="s">
        <v>14068</v>
      </c>
      <c r="C16" s="9"/>
      <c r="D16" s="9" t="s">
        <v>14062</v>
      </c>
      <c r="E16" s="289">
        <v>1989</v>
      </c>
      <c r="F16" s="9" t="s">
        <v>14069</v>
      </c>
      <c r="G16" s="285" t="s">
        <v>14070</v>
      </c>
      <c r="H16" s="285" t="s">
        <v>12435</v>
      </c>
      <c r="I16" s="285" t="s">
        <v>5127</v>
      </c>
      <c r="J16" s="285"/>
      <c r="K16" s="285" t="s">
        <v>3136</v>
      </c>
      <c r="L16" s="14">
        <v>39412</v>
      </c>
      <c r="M16" s="22" t="s">
        <v>6310</v>
      </c>
      <c r="N16" s="285"/>
      <c r="O16" s="24">
        <v>13</v>
      </c>
      <c r="P16" s="15">
        <v>41244</v>
      </c>
      <c r="Q16" s="40">
        <v>1042967.34</v>
      </c>
      <c r="R16" s="40">
        <v>1042967.34</v>
      </c>
      <c r="S16" s="40">
        <f>Q16-R16</f>
        <v>0</v>
      </c>
      <c r="T16" s="18"/>
      <c r="U16" s="285" t="s">
        <v>13196</v>
      </c>
      <c r="V16" s="15">
        <v>36831</v>
      </c>
      <c r="W16" s="289">
        <v>44</v>
      </c>
    </row>
    <row r="17" spans="1:24" s="19" customFormat="1" ht="30" customHeight="1" x14ac:dyDescent="0.2">
      <c r="A17" s="289">
        <v>11</v>
      </c>
      <c r="B17" s="289" t="s">
        <v>14071</v>
      </c>
      <c r="C17" s="9"/>
      <c r="D17" s="9" t="s">
        <v>14055</v>
      </c>
      <c r="E17" s="289">
        <v>1989</v>
      </c>
      <c r="F17" s="9" t="s">
        <v>14072</v>
      </c>
      <c r="G17" s="285" t="s">
        <v>14070</v>
      </c>
      <c r="H17" s="285" t="s">
        <v>12435</v>
      </c>
      <c r="I17" s="285" t="s">
        <v>5127</v>
      </c>
      <c r="J17" s="285"/>
      <c r="K17" s="285" t="s">
        <v>3136</v>
      </c>
      <c r="L17" s="14">
        <v>39412</v>
      </c>
      <c r="M17" s="22" t="s">
        <v>6310</v>
      </c>
      <c r="N17" s="285">
        <v>3210</v>
      </c>
      <c r="O17" s="24">
        <v>1</v>
      </c>
      <c r="P17" s="15">
        <v>40544</v>
      </c>
      <c r="Q17" s="40">
        <v>1699793.28</v>
      </c>
      <c r="R17" s="40">
        <f>Q17-S17</f>
        <v>1699793.28</v>
      </c>
      <c r="S17" s="40">
        <v>0</v>
      </c>
      <c r="T17" s="18"/>
      <c r="U17" s="289"/>
      <c r="V17" s="289"/>
      <c r="W17" s="289"/>
    </row>
    <row r="18" spans="1:24" s="19" customFormat="1" ht="28.5" customHeight="1" x14ac:dyDescent="0.2">
      <c r="A18" s="289">
        <v>12</v>
      </c>
      <c r="B18" s="289" t="s">
        <v>14073</v>
      </c>
      <c r="C18" s="9"/>
      <c r="D18" s="18" t="s">
        <v>14045</v>
      </c>
      <c r="E18" s="289">
        <v>1989</v>
      </c>
      <c r="F18" s="9" t="s">
        <v>14074</v>
      </c>
      <c r="G18" s="285" t="s">
        <v>14075</v>
      </c>
      <c r="H18" s="285" t="s">
        <v>12435</v>
      </c>
      <c r="I18" s="285" t="s">
        <v>5127</v>
      </c>
      <c r="J18" s="285"/>
      <c r="K18" s="285" t="s">
        <v>3136</v>
      </c>
      <c r="L18" s="14">
        <v>39412</v>
      </c>
      <c r="M18" s="22" t="s">
        <v>6310</v>
      </c>
      <c r="N18" s="285">
        <v>420</v>
      </c>
      <c r="O18" s="24">
        <v>1</v>
      </c>
      <c r="P18" s="15">
        <v>41244</v>
      </c>
      <c r="Q18" s="40">
        <v>227454.39</v>
      </c>
      <c r="R18" s="40">
        <v>227454.39</v>
      </c>
      <c r="S18" s="40">
        <f>Q18-R18</f>
        <v>0</v>
      </c>
      <c r="T18" s="18"/>
      <c r="U18" s="289"/>
      <c r="V18" s="289"/>
      <c r="W18" s="289"/>
    </row>
    <row r="19" spans="1:24" s="19" customFormat="1" ht="25.5" customHeight="1" x14ac:dyDescent="0.2">
      <c r="A19" s="289">
        <v>13</v>
      </c>
      <c r="B19" s="289" t="s">
        <v>14076</v>
      </c>
      <c r="C19" s="9"/>
      <c r="D19" s="9" t="s">
        <v>14077</v>
      </c>
      <c r="E19" s="289">
        <v>1968</v>
      </c>
      <c r="F19" s="9" t="s">
        <v>14078</v>
      </c>
      <c r="G19" s="285" t="s">
        <v>14079</v>
      </c>
      <c r="H19" s="285" t="s">
        <v>792</v>
      </c>
      <c r="I19" s="285" t="s">
        <v>5127</v>
      </c>
      <c r="J19" s="285"/>
      <c r="K19" s="285" t="s">
        <v>3136</v>
      </c>
      <c r="L19" s="14">
        <v>39052</v>
      </c>
      <c r="M19" s="22" t="s">
        <v>14057</v>
      </c>
      <c r="N19" s="285">
        <v>1540</v>
      </c>
      <c r="O19" s="24">
        <v>1</v>
      </c>
      <c r="P19" s="15">
        <v>39722</v>
      </c>
      <c r="Q19" s="40">
        <v>558284.76</v>
      </c>
      <c r="R19" s="40">
        <f>Q19-S19</f>
        <v>558284.76</v>
      </c>
      <c r="S19" s="40">
        <v>0</v>
      </c>
      <c r="T19" s="18"/>
      <c r="U19" s="289"/>
      <c r="V19" s="289"/>
      <c r="W19" s="289"/>
    </row>
    <row r="20" spans="1:24" s="19" customFormat="1" ht="63.75" customHeight="1" x14ac:dyDescent="0.2">
      <c r="A20" s="289">
        <v>14</v>
      </c>
      <c r="B20" s="289" t="s">
        <v>14080</v>
      </c>
      <c r="C20" s="9"/>
      <c r="D20" s="18" t="s">
        <v>14045</v>
      </c>
      <c r="E20" s="289">
        <v>1976</v>
      </c>
      <c r="F20" s="9" t="s">
        <v>14081</v>
      </c>
      <c r="G20" s="285" t="s">
        <v>14082</v>
      </c>
      <c r="H20" s="285" t="s">
        <v>14083</v>
      </c>
      <c r="I20" s="285" t="s">
        <v>2042</v>
      </c>
      <c r="J20" s="289" t="s">
        <v>2207</v>
      </c>
      <c r="K20" s="285" t="s">
        <v>14084</v>
      </c>
      <c r="L20" s="14">
        <v>44084</v>
      </c>
      <c r="M20" s="285">
        <v>10</v>
      </c>
      <c r="N20" s="285">
        <v>399.5</v>
      </c>
      <c r="O20" s="24">
        <v>1</v>
      </c>
      <c r="P20" s="15">
        <v>38718</v>
      </c>
      <c r="Q20" s="40">
        <v>325953</v>
      </c>
      <c r="R20" s="40">
        <f>Q20-S20</f>
        <v>325953</v>
      </c>
      <c r="S20" s="40">
        <v>0</v>
      </c>
      <c r="T20" s="18"/>
      <c r="U20" s="289"/>
      <c r="V20" s="289"/>
      <c r="W20" s="289"/>
    </row>
    <row r="21" spans="1:24" s="19" customFormat="1" ht="66.75" customHeight="1" x14ac:dyDescent="0.2">
      <c r="A21" s="289">
        <v>15</v>
      </c>
      <c r="B21" s="289" t="s">
        <v>14085</v>
      </c>
      <c r="C21" s="9"/>
      <c r="D21" s="18" t="s">
        <v>13268</v>
      </c>
      <c r="E21" s="289">
        <v>1976</v>
      </c>
      <c r="F21" s="9" t="s">
        <v>14086</v>
      </c>
      <c r="G21" s="285" t="s">
        <v>14087</v>
      </c>
      <c r="H21" s="285" t="s">
        <v>14083</v>
      </c>
      <c r="I21" s="285" t="s">
        <v>2042</v>
      </c>
      <c r="J21" s="289" t="s">
        <v>2207</v>
      </c>
      <c r="K21" s="285" t="s">
        <v>14084</v>
      </c>
      <c r="L21" s="14">
        <v>44084</v>
      </c>
      <c r="M21" s="285">
        <v>10</v>
      </c>
      <c r="N21" s="289"/>
      <c r="O21" s="24">
        <v>1</v>
      </c>
      <c r="P21" s="15">
        <v>38718</v>
      </c>
      <c r="Q21" s="40">
        <v>16594</v>
      </c>
      <c r="R21" s="40">
        <f>Q21-S21</f>
        <v>16594</v>
      </c>
      <c r="S21" s="40">
        <v>0</v>
      </c>
      <c r="T21" s="18"/>
      <c r="U21" s="289"/>
      <c r="V21" s="289"/>
      <c r="W21" s="289"/>
    </row>
    <row r="22" spans="1:24" s="19" customFormat="1" ht="63.75" customHeight="1" x14ac:dyDescent="0.2">
      <c r="A22" s="289">
        <v>16</v>
      </c>
      <c r="B22" s="289" t="s">
        <v>14088</v>
      </c>
      <c r="C22" s="9"/>
      <c r="D22" s="9" t="s">
        <v>14032</v>
      </c>
      <c r="E22" s="289">
        <v>1976</v>
      </c>
      <c r="F22" s="9" t="s">
        <v>14089</v>
      </c>
      <c r="G22" s="285" t="s">
        <v>14082</v>
      </c>
      <c r="H22" s="285" t="s">
        <v>14083</v>
      </c>
      <c r="I22" s="285" t="s">
        <v>2042</v>
      </c>
      <c r="J22" s="289" t="s">
        <v>2207</v>
      </c>
      <c r="K22" s="285" t="s">
        <v>14084</v>
      </c>
      <c r="L22" s="14">
        <v>44084</v>
      </c>
      <c r="M22" s="285">
        <v>10</v>
      </c>
      <c r="N22" s="285">
        <v>2105.1999999999998</v>
      </c>
      <c r="O22" s="24">
        <v>1</v>
      </c>
      <c r="P22" s="15">
        <v>38718</v>
      </c>
      <c r="Q22" s="40">
        <v>525518</v>
      </c>
      <c r="R22" s="40">
        <f>Q22-S22</f>
        <v>525518</v>
      </c>
      <c r="S22" s="40">
        <v>0</v>
      </c>
      <c r="T22" s="18"/>
      <c r="U22" s="289"/>
      <c r="V22" s="289"/>
      <c r="W22" s="289"/>
    </row>
    <row r="23" spans="1:24" s="19" customFormat="1" ht="63.75" customHeight="1" x14ac:dyDescent="0.2">
      <c r="A23" s="289">
        <v>17</v>
      </c>
      <c r="B23" s="289" t="s">
        <v>14090</v>
      </c>
      <c r="C23" s="9"/>
      <c r="D23" s="9" t="s">
        <v>14091</v>
      </c>
      <c r="E23" s="289">
        <v>1976</v>
      </c>
      <c r="F23" s="9" t="s">
        <v>14092</v>
      </c>
      <c r="G23" s="285" t="s">
        <v>14087</v>
      </c>
      <c r="H23" s="285" t="s">
        <v>14083</v>
      </c>
      <c r="I23" s="285" t="s">
        <v>2042</v>
      </c>
      <c r="J23" s="289" t="s">
        <v>2207</v>
      </c>
      <c r="K23" s="285" t="s">
        <v>14084</v>
      </c>
      <c r="L23" s="14">
        <v>44084</v>
      </c>
      <c r="M23" s="285">
        <v>10</v>
      </c>
      <c r="N23" s="285"/>
      <c r="O23" s="24">
        <v>1</v>
      </c>
      <c r="P23" s="15">
        <v>38718</v>
      </c>
      <c r="Q23" s="40">
        <v>33715.67</v>
      </c>
      <c r="R23" s="40">
        <v>33715.67</v>
      </c>
      <c r="S23" s="40">
        <v>0</v>
      </c>
      <c r="T23" s="18"/>
      <c r="U23" s="289"/>
      <c r="V23" s="289"/>
      <c r="W23" s="289"/>
    </row>
    <row r="24" spans="1:24" s="19" customFormat="1" ht="25.5" customHeight="1" x14ac:dyDescent="0.2">
      <c r="A24" s="289">
        <v>18</v>
      </c>
      <c r="B24" s="289" t="s">
        <v>14093</v>
      </c>
      <c r="C24" s="9"/>
      <c r="D24" s="18" t="s">
        <v>14094</v>
      </c>
      <c r="E24" s="12" t="s">
        <v>13146</v>
      </c>
      <c r="F24" s="9" t="s">
        <v>14095</v>
      </c>
      <c r="G24" s="285" t="s">
        <v>13158</v>
      </c>
      <c r="H24" s="285" t="s">
        <v>8293</v>
      </c>
      <c r="I24" s="285" t="s">
        <v>5127</v>
      </c>
      <c r="J24" s="285"/>
      <c r="K24" s="289" t="s">
        <v>3136</v>
      </c>
      <c r="L24" s="15">
        <v>39400</v>
      </c>
      <c r="M24" s="285">
        <v>807</v>
      </c>
      <c r="N24" s="289">
        <v>289</v>
      </c>
      <c r="O24" s="24">
        <v>1</v>
      </c>
      <c r="P24" s="15">
        <v>39722</v>
      </c>
      <c r="Q24" s="40">
        <v>539228.61</v>
      </c>
      <c r="R24" s="40">
        <f>Q24-S24</f>
        <v>539228.61</v>
      </c>
      <c r="S24" s="40">
        <v>0</v>
      </c>
      <c r="T24" s="18"/>
      <c r="U24" s="285"/>
      <c r="V24" s="285"/>
      <c r="W24" s="289"/>
    </row>
    <row r="25" spans="1:24" s="19" customFormat="1" ht="49.5" customHeight="1" x14ac:dyDescent="0.2">
      <c r="A25" s="289">
        <v>19</v>
      </c>
      <c r="B25" s="289" t="s">
        <v>14096</v>
      </c>
      <c r="C25" s="9"/>
      <c r="D25" s="9" t="s">
        <v>14097</v>
      </c>
      <c r="E25" s="12" t="s">
        <v>14098</v>
      </c>
      <c r="F25" s="9" t="s">
        <v>14099</v>
      </c>
      <c r="G25" s="285" t="s">
        <v>13158</v>
      </c>
      <c r="H25" s="285" t="s">
        <v>8293</v>
      </c>
      <c r="I25" s="285" t="s">
        <v>5127</v>
      </c>
      <c r="J25" s="285"/>
      <c r="K25" s="285" t="s">
        <v>4020</v>
      </c>
      <c r="L25" s="14" t="s">
        <v>14100</v>
      </c>
      <c r="M25" s="285" t="s">
        <v>14101</v>
      </c>
      <c r="N25" s="285">
        <v>7560</v>
      </c>
      <c r="O25" s="24">
        <v>1</v>
      </c>
      <c r="P25" s="15">
        <v>42718</v>
      </c>
      <c r="Q25" s="40">
        <f>347239.62+23681497.12+8421000</f>
        <v>32449736.740000002</v>
      </c>
      <c r="R25" s="40">
        <v>5503285.4400000004</v>
      </c>
      <c r="S25" s="40">
        <f>Q25-R25</f>
        <v>26946451.300000001</v>
      </c>
      <c r="T25" s="18"/>
      <c r="U25" s="285"/>
      <c r="V25" s="285"/>
      <c r="W25" s="289"/>
    </row>
    <row r="26" spans="1:24" s="19" customFormat="1" ht="28.5" customHeight="1" x14ac:dyDescent="0.2">
      <c r="A26" s="289">
        <v>20</v>
      </c>
      <c r="B26" s="289" t="s">
        <v>14102</v>
      </c>
      <c r="C26" s="9"/>
      <c r="D26" s="9" t="s">
        <v>14103</v>
      </c>
      <c r="E26" s="12" t="s">
        <v>13156</v>
      </c>
      <c r="F26" s="9" t="s">
        <v>14104</v>
      </c>
      <c r="G26" s="285" t="s">
        <v>13158</v>
      </c>
      <c r="H26" s="285" t="s">
        <v>8293</v>
      </c>
      <c r="I26" s="285" t="s">
        <v>5127</v>
      </c>
      <c r="J26" s="285"/>
      <c r="K26" s="289" t="s">
        <v>3136</v>
      </c>
      <c r="L26" s="14">
        <v>39162</v>
      </c>
      <c r="M26" s="285">
        <v>206</v>
      </c>
      <c r="N26" s="289">
        <v>678</v>
      </c>
      <c r="O26" s="24">
        <v>1</v>
      </c>
      <c r="P26" s="15">
        <v>39722</v>
      </c>
      <c r="Q26" s="40">
        <v>475955.46</v>
      </c>
      <c r="R26" s="40">
        <f>Q26-S26</f>
        <v>475955.46</v>
      </c>
      <c r="S26" s="40">
        <v>0</v>
      </c>
      <c r="T26" s="18"/>
      <c r="U26" s="285"/>
      <c r="V26" s="285"/>
      <c r="W26" s="289"/>
    </row>
    <row r="27" spans="1:24" s="19" customFormat="1" ht="24" customHeight="1" x14ac:dyDescent="0.2">
      <c r="A27" s="289">
        <v>21</v>
      </c>
      <c r="B27" s="289" t="s">
        <v>14105</v>
      </c>
      <c r="C27" s="285"/>
      <c r="D27" s="18" t="s">
        <v>3888</v>
      </c>
      <c r="E27" s="12" t="s">
        <v>13156</v>
      </c>
      <c r="F27" s="9" t="s">
        <v>14106</v>
      </c>
      <c r="G27" s="285" t="s">
        <v>13158</v>
      </c>
      <c r="H27" s="285" t="s">
        <v>8293</v>
      </c>
      <c r="I27" s="285" t="s">
        <v>5127</v>
      </c>
      <c r="J27" s="285"/>
      <c r="K27" s="289" t="s">
        <v>3136</v>
      </c>
      <c r="L27" s="14">
        <v>39162</v>
      </c>
      <c r="M27" s="285">
        <v>206</v>
      </c>
      <c r="N27" s="289">
        <v>2000</v>
      </c>
      <c r="O27" s="24">
        <v>1</v>
      </c>
      <c r="P27" s="15">
        <v>39722</v>
      </c>
      <c r="Q27" s="40">
        <v>95687.73</v>
      </c>
      <c r="R27" s="40">
        <f>Q27-S27</f>
        <v>95687.73</v>
      </c>
      <c r="S27" s="40">
        <v>0</v>
      </c>
      <c r="T27" s="18"/>
      <c r="U27" s="285"/>
      <c r="V27" s="285"/>
      <c r="W27" s="289"/>
    </row>
    <row r="28" spans="1:24" s="19" customFormat="1" ht="24.75" customHeight="1" x14ac:dyDescent="0.2">
      <c r="A28" s="289">
        <v>22</v>
      </c>
      <c r="B28" s="289" t="s">
        <v>14107</v>
      </c>
      <c r="C28" s="285"/>
      <c r="D28" s="9" t="s">
        <v>14108</v>
      </c>
      <c r="E28" s="12" t="s">
        <v>14109</v>
      </c>
      <c r="F28" s="9" t="s">
        <v>14110</v>
      </c>
      <c r="G28" s="285" t="s">
        <v>13158</v>
      </c>
      <c r="H28" s="285" t="s">
        <v>8293</v>
      </c>
      <c r="I28" s="285" t="s">
        <v>5127</v>
      </c>
      <c r="J28" s="285"/>
      <c r="K28" s="289" t="s">
        <v>3136</v>
      </c>
      <c r="L28" s="15">
        <v>39400</v>
      </c>
      <c r="M28" s="285">
        <v>807</v>
      </c>
      <c r="N28" s="289">
        <v>278</v>
      </c>
      <c r="O28" s="24">
        <v>1</v>
      </c>
      <c r="P28" s="15">
        <v>39934</v>
      </c>
      <c r="Q28" s="40">
        <v>144168.84</v>
      </c>
      <c r="R28" s="40">
        <f>Q28-S28</f>
        <v>144168.84</v>
      </c>
      <c r="S28" s="40">
        <v>0</v>
      </c>
      <c r="T28" s="18"/>
      <c r="U28" s="285"/>
      <c r="V28" s="285"/>
      <c r="W28" s="289"/>
    </row>
    <row r="29" spans="1:24" s="19" customFormat="1" ht="33" customHeight="1" x14ac:dyDescent="0.2">
      <c r="A29" s="289">
        <v>23</v>
      </c>
      <c r="B29" s="289" t="s">
        <v>14111</v>
      </c>
      <c r="C29" s="285"/>
      <c r="D29" s="9" t="s">
        <v>14112</v>
      </c>
      <c r="E29" s="289">
        <v>1961</v>
      </c>
      <c r="F29" s="9" t="s">
        <v>14113</v>
      </c>
      <c r="G29" s="285" t="s">
        <v>14114</v>
      </c>
      <c r="H29" s="285"/>
      <c r="I29" s="285" t="s">
        <v>2042</v>
      </c>
      <c r="J29" s="285" t="s">
        <v>2207</v>
      </c>
      <c r="K29" s="289" t="s">
        <v>3136</v>
      </c>
      <c r="L29" s="15">
        <v>42607</v>
      </c>
      <c r="M29" s="285">
        <v>897</v>
      </c>
      <c r="N29" s="289"/>
      <c r="O29" s="24">
        <v>1</v>
      </c>
      <c r="P29" s="15">
        <v>40179</v>
      </c>
      <c r="Q29" s="40">
        <v>41261.69</v>
      </c>
      <c r="R29" s="40">
        <f>Q29-S29</f>
        <v>880.45000000000437</v>
      </c>
      <c r="S29" s="40">
        <v>40381.24</v>
      </c>
      <c r="T29" s="18"/>
      <c r="U29" s="285"/>
      <c r="V29" s="285"/>
      <c r="W29" s="289"/>
      <c r="X29" s="41"/>
    </row>
    <row r="30" spans="1:24" s="19" customFormat="1" ht="53.25" customHeight="1" x14ac:dyDescent="0.2">
      <c r="A30" s="289">
        <v>24</v>
      </c>
      <c r="B30" s="289" t="s">
        <v>14115</v>
      </c>
      <c r="C30" s="285"/>
      <c r="D30" s="9" t="s">
        <v>14116</v>
      </c>
      <c r="E30" s="31">
        <v>28095</v>
      </c>
      <c r="F30" s="9" t="s">
        <v>14117</v>
      </c>
      <c r="G30" s="285" t="s">
        <v>14118</v>
      </c>
      <c r="H30" s="285"/>
      <c r="I30" s="285" t="s">
        <v>2042</v>
      </c>
      <c r="J30" s="285" t="s">
        <v>2207</v>
      </c>
      <c r="K30" s="289" t="s">
        <v>3136</v>
      </c>
      <c r="L30" s="15">
        <v>42087</v>
      </c>
      <c r="M30" s="285">
        <v>292</v>
      </c>
      <c r="N30" s="289"/>
      <c r="O30" s="24">
        <v>1</v>
      </c>
      <c r="P30" s="15">
        <v>38838</v>
      </c>
      <c r="Q30" s="40">
        <v>409810.4</v>
      </c>
      <c r="R30" s="40">
        <f>Q30-S30</f>
        <v>409810.4</v>
      </c>
      <c r="S30" s="40">
        <v>0</v>
      </c>
      <c r="T30" s="18"/>
      <c r="U30" s="285"/>
      <c r="V30" s="285"/>
      <c r="W30" s="289"/>
    </row>
    <row r="31" spans="1:24" s="19" customFormat="1" ht="27" customHeight="1" x14ac:dyDescent="0.2">
      <c r="A31" s="289">
        <v>25</v>
      </c>
      <c r="B31" s="289" t="s">
        <v>14119</v>
      </c>
      <c r="C31" s="285"/>
      <c r="D31" s="9" t="s">
        <v>14120</v>
      </c>
      <c r="E31" s="289">
        <v>1964</v>
      </c>
      <c r="F31" s="9" t="s">
        <v>14121</v>
      </c>
      <c r="G31" s="285" t="s">
        <v>14122</v>
      </c>
      <c r="H31" s="285" t="s">
        <v>4946</v>
      </c>
      <c r="I31" s="285" t="s">
        <v>5127</v>
      </c>
      <c r="J31" s="285"/>
      <c r="K31" s="289" t="s">
        <v>3132</v>
      </c>
      <c r="L31" s="15">
        <v>40403</v>
      </c>
      <c r="M31" s="285" t="s">
        <v>2320</v>
      </c>
      <c r="N31" s="14"/>
      <c r="O31" s="24">
        <v>1</v>
      </c>
      <c r="P31" s="15">
        <v>41183</v>
      </c>
      <c r="Q31" s="40">
        <v>24859.34</v>
      </c>
      <c r="R31" s="40">
        <v>24859.34</v>
      </c>
      <c r="S31" s="40">
        <f>Q31-R31</f>
        <v>0</v>
      </c>
      <c r="T31" s="18"/>
      <c r="U31" s="285"/>
      <c r="V31" s="285"/>
      <c r="W31" s="289"/>
      <c r="X31" s="41"/>
    </row>
    <row r="32" spans="1:24" s="19" customFormat="1" ht="57" customHeight="1" x14ac:dyDescent="0.2">
      <c r="A32" s="289">
        <v>26</v>
      </c>
      <c r="B32" s="289" t="s">
        <v>14123</v>
      </c>
      <c r="C32" s="285"/>
      <c r="D32" s="18" t="s">
        <v>14124</v>
      </c>
      <c r="E32" s="289">
        <v>1964</v>
      </c>
      <c r="F32" s="9" t="s">
        <v>14125</v>
      </c>
      <c r="G32" s="285" t="s">
        <v>14126</v>
      </c>
      <c r="H32" s="285" t="s">
        <v>4877</v>
      </c>
      <c r="I32" s="285" t="s">
        <v>3793</v>
      </c>
      <c r="J32" s="285"/>
      <c r="K32" s="289" t="s">
        <v>3136</v>
      </c>
      <c r="L32" s="14">
        <v>42850</v>
      </c>
      <c r="M32" s="285">
        <v>386</v>
      </c>
      <c r="N32" s="285">
        <v>1380</v>
      </c>
      <c r="O32" s="24">
        <v>1</v>
      </c>
      <c r="P32" s="15">
        <v>41730</v>
      </c>
      <c r="Q32" s="40">
        <v>58823.96</v>
      </c>
      <c r="R32" s="40">
        <v>46161.62</v>
      </c>
      <c r="S32" s="40">
        <f>Q32-R32</f>
        <v>12662.339999999997</v>
      </c>
      <c r="T32" s="18"/>
      <c r="U32" s="285"/>
      <c r="V32" s="285"/>
      <c r="W32" s="289"/>
    </row>
    <row r="33" spans="1:35" s="19" customFormat="1" ht="27" customHeight="1" x14ac:dyDescent="0.2">
      <c r="A33" s="289">
        <v>27</v>
      </c>
      <c r="B33" s="289" t="s">
        <v>14127</v>
      </c>
      <c r="C33" s="285"/>
      <c r="D33" s="18" t="s">
        <v>14128</v>
      </c>
      <c r="E33" s="289" t="s">
        <v>14129</v>
      </c>
      <c r="F33" s="9" t="s">
        <v>14130</v>
      </c>
      <c r="G33" s="285" t="s">
        <v>14131</v>
      </c>
      <c r="H33" s="285" t="s">
        <v>8661</v>
      </c>
      <c r="I33" s="285" t="s">
        <v>5127</v>
      </c>
      <c r="J33" s="285"/>
      <c r="K33" s="289" t="s">
        <v>3136</v>
      </c>
      <c r="L33" s="14">
        <v>43717</v>
      </c>
      <c r="M33" s="285">
        <v>729</v>
      </c>
      <c r="N33" s="285"/>
      <c r="O33" s="24">
        <v>1</v>
      </c>
      <c r="P33" s="15">
        <v>38808</v>
      </c>
      <c r="Q33" s="40">
        <v>284116.5</v>
      </c>
      <c r="R33" s="40">
        <v>284116.5</v>
      </c>
      <c r="S33" s="40">
        <f>Q33-R33</f>
        <v>0</v>
      </c>
      <c r="T33" s="18"/>
      <c r="U33" s="285"/>
      <c r="V33" s="285"/>
      <c r="W33" s="289"/>
      <c r="AB33" s="556"/>
      <c r="AC33" s="41"/>
      <c r="AD33" s="41"/>
      <c r="AE33" s="41"/>
      <c r="AF33" s="41"/>
      <c r="AG33" s="41"/>
      <c r="AH33" s="41"/>
      <c r="AI33" s="141"/>
    </row>
    <row r="34" spans="1:35" s="19" customFormat="1" ht="42" customHeight="1" x14ac:dyDescent="0.2">
      <c r="A34" s="289">
        <v>28</v>
      </c>
      <c r="B34" s="289" t="s">
        <v>14132</v>
      </c>
      <c r="C34" s="285"/>
      <c r="D34" s="9" t="s">
        <v>14133</v>
      </c>
      <c r="E34" s="289" t="s">
        <v>14134</v>
      </c>
      <c r="F34" s="9" t="s">
        <v>14135</v>
      </c>
      <c r="G34" s="285" t="s">
        <v>14136</v>
      </c>
      <c r="H34" s="285" t="s">
        <v>4296</v>
      </c>
      <c r="I34" s="285" t="s">
        <v>3793</v>
      </c>
      <c r="J34" s="285"/>
      <c r="K34" s="289" t="s">
        <v>3136</v>
      </c>
      <c r="L34" s="14">
        <v>42003</v>
      </c>
      <c r="M34" s="22" t="s">
        <v>5493</v>
      </c>
      <c r="N34" s="289">
        <v>395</v>
      </c>
      <c r="O34" s="24">
        <v>1</v>
      </c>
      <c r="P34" s="15">
        <v>40422</v>
      </c>
      <c r="Q34" s="40">
        <v>50888.639999999999</v>
      </c>
      <c r="R34" s="40">
        <v>50888.639999999999</v>
      </c>
      <c r="S34" s="40">
        <f>Q34-R34</f>
        <v>0</v>
      </c>
      <c r="T34" s="18"/>
      <c r="U34" s="285"/>
      <c r="V34" s="285"/>
      <c r="W34" s="289"/>
      <c r="AB34" s="556"/>
      <c r="AC34" s="41"/>
      <c r="AD34" s="41"/>
      <c r="AE34" s="41"/>
      <c r="AF34" s="41"/>
      <c r="AG34" s="41"/>
      <c r="AH34" s="41"/>
      <c r="AI34" s="141"/>
    </row>
    <row r="35" spans="1:35" s="19" customFormat="1" ht="37.5" customHeight="1" x14ac:dyDescent="0.2">
      <c r="A35" s="289">
        <v>29</v>
      </c>
      <c r="B35" s="289" t="s">
        <v>14137</v>
      </c>
      <c r="C35" s="285"/>
      <c r="D35" s="9" t="s">
        <v>14138</v>
      </c>
      <c r="E35" s="289" t="s">
        <v>14139</v>
      </c>
      <c r="F35" s="9" t="s">
        <v>14140</v>
      </c>
      <c r="G35" s="285" t="s">
        <v>14141</v>
      </c>
      <c r="H35" s="285"/>
      <c r="I35" s="285" t="s">
        <v>2042</v>
      </c>
      <c r="J35" s="285" t="s">
        <v>2207</v>
      </c>
      <c r="K35" s="289" t="s">
        <v>3136</v>
      </c>
      <c r="L35" s="15">
        <v>42850</v>
      </c>
      <c r="M35" s="285">
        <v>383</v>
      </c>
      <c r="N35" s="289">
        <v>676</v>
      </c>
      <c r="O35" s="24">
        <v>1</v>
      </c>
      <c r="P35" s="15">
        <v>38899</v>
      </c>
      <c r="Q35" s="40">
        <v>117264.1</v>
      </c>
      <c r="R35" s="40">
        <f>Q35-S35</f>
        <v>99938.05</v>
      </c>
      <c r="S35" s="40">
        <v>17326.05</v>
      </c>
      <c r="T35" s="40"/>
      <c r="U35" s="285"/>
      <c r="V35" s="285"/>
      <c r="W35" s="289"/>
      <c r="AB35" s="556"/>
      <c r="AC35" s="41"/>
      <c r="AD35" s="41"/>
      <c r="AE35" s="41"/>
      <c r="AF35" s="41"/>
      <c r="AG35" s="41"/>
      <c r="AH35" s="41"/>
      <c r="AI35" s="141"/>
    </row>
    <row r="36" spans="1:35" s="19" customFormat="1" ht="37.5" customHeight="1" x14ac:dyDescent="0.2">
      <c r="A36" s="289">
        <v>30</v>
      </c>
      <c r="B36" s="289" t="s">
        <v>14142</v>
      </c>
      <c r="C36" s="285"/>
      <c r="D36" s="9" t="s">
        <v>14138</v>
      </c>
      <c r="E36" s="289" t="s">
        <v>14143</v>
      </c>
      <c r="F36" s="9" t="s">
        <v>14144</v>
      </c>
      <c r="G36" s="285" t="s">
        <v>14145</v>
      </c>
      <c r="H36" s="285" t="s">
        <v>4877</v>
      </c>
      <c r="I36" s="285" t="s">
        <v>2337</v>
      </c>
      <c r="J36" s="289"/>
      <c r="K36" s="289"/>
      <c r="L36" s="289"/>
      <c r="M36" s="285"/>
      <c r="N36" s="289">
        <v>2030</v>
      </c>
      <c r="O36" s="24">
        <v>1</v>
      </c>
      <c r="P36" s="15">
        <v>41183</v>
      </c>
      <c r="Q36" s="40">
        <v>52541.15</v>
      </c>
      <c r="R36" s="40">
        <f>Q36-S36</f>
        <v>52541.15</v>
      </c>
      <c r="S36" s="40">
        <v>0</v>
      </c>
      <c r="T36" s="18"/>
      <c r="U36" s="285"/>
      <c r="V36" s="285"/>
      <c r="W36" s="289"/>
      <c r="AB36" s="557"/>
      <c r="AC36" s="557"/>
      <c r="AD36" s="557"/>
      <c r="AE36" s="557"/>
      <c r="AF36" s="557"/>
    </row>
    <row r="37" spans="1:35" s="19" customFormat="1" ht="27" customHeight="1" x14ac:dyDescent="0.2">
      <c r="A37" s="289">
        <v>31</v>
      </c>
      <c r="B37" s="289" t="s">
        <v>14146</v>
      </c>
      <c r="C37" s="285"/>
      <c r="D37" s="18" t="s">
        <v>14147</v>
      </c>
      <c r="E37" s="289" t="s">
        <v>14148</v>
      </c>
      <c r="F37" s="9" t="s">
        <v>14149</v>
      </c>
      <c r="G37" s="285" t="s">
        <v>14150</v>
      </c>
      <c r="H37" s="285"/>
      <c r="I37" s="285" t="s">
        <v>2042</v>
      </c>
      <c r="J37" s="285" t="s">
        <v>2207</v>
      </c>
      <c r="K37" s="289"/>
      <c r="L37" s="289"/>
      <c r="M37" s="285"/>
      <c r="N37" s="289">
        <v>514</v>
      </c>
      <c r="O37" s="24">
        <v>1</v>
      </c>
      <c r="P37" s="15" t="s">
        <v>14151</v>
      </c>
      <c r="Q37" s="40">
        <v>82846.11</v>
      </c>
      <c r="R37" s="40">
        <f>Q37-S37</f>
        <v>75503.13</v>
      </c>
      <c r="S37" s="40">
        <v>7342.98</v>
      </c>
      <c r="T37" s="18"/>
      <c r="U37" s="285"/>
      <c r="V37" s="285"/>
      <c r="W37" s="289"/>
    </row>
    <row r="38" spans="1:35" s="19" customFormat="1" ht="32.25" customHeight="1" x14ac:dyDescent="0.2">
      <c r="A38" s="289">
        <v>32</v>
      </c>
      <c r="B38" s="289" t="s">
        <v>14152</v>
      </c>
      <c r="C38" s="285"/>
      <c r="D38" s="18" t="s">
        <v>14153</v>
      </c>
      <c r="E38" s="289" t="s">
        <v>14154</v>
      </c>
      <c r="F38" s="9" t="s">
        <v>14155</v>
      </c>
      <c r="G38" s="285" t="s">
        <v>14156</v>
      </c>
      <c r="H38" s="285"/>
      <c r="I38" s="285" t="s">
        <v>2042</v>
      </c>
      <c r="J38" s="285" t="s">
        <v>2207</v>
      </c>
      <c r="K38" s="289"/>
      <c r="L38" s="289"/>
      <c r="M38" s="285"/>
      <c r="N38" s="289">
        <v>560</v>
      </c>
      <c r="O38" s="24">
        <v>1</v>
      </c>
      <c r="P38" s="15" t="s">
        <v>14151</v>
      </c>
      <c r="Q38" s="40">
        <v>137748.06</v>
      </c>
      <c r="R38" s="40">
        <f>Q38-S38</f>
        <v>137748.06</v>
      </c>
      <c r="S38" s="40">
        <v>0</v>
      </c>
      <c r="T38" s="18"/>
      <c r="U38" s="285"/>
      <c r="V38" s="285"/>
      <c r="W38" s="289"/>
    </row>
    <row r="39" spans="1:35" s="19" customFormat="1" ht="38.25" customHeight="1" x14ac:dyDescent="0.2">
      <c r="A39" s="289">
        <v>33</v>
      </c>
      <c r="B39" s="289" t="s">
        <v>14157</v>
      </c>
      <c r="C39" s="285"/>
      <c r="D39" s="9" t="s">
        <v>14158</v>
      </c>
      <c r="E39" s="289" t="s">
        <v>14134</v>
      </c>
      <c r="F39" s="9" t="s">
        <v>14159</v>
      </c>
      <c r="G39" s="285" t="s">
        <v>14136</v>
      </c>
      <c r="H39" s="285" t="s">
        <v>4296</v>
      </c>
      <c r="I39" s="285" t="s">
        <v>3793</v>
      </c>
      <c r="J39" s="285"/>
      <c r="K39" s="289" t="s">
        <v>3136</v>
      </c>
      <c r="L39" s="14">
        <v>42003</v>
      </c>
      <c r="M39" s="22" t="s">
        <v>5493</v>
      </c>
      <c r="N39" s="289">
        <v>369</v>
      </c>
      <c r="O39" s="24">
        <v>1</v>
      </c>
      <c r="P39" s="15">
        <v>40299</v>
      </c>
      <c r="Q39" s="40">
        <v>562947.51</v>
      </c>
      <c r="R39" s="40">
        <v>562947.51</v>
      </c>
      <c r="S39" s="40">
        <f>Q39-R39</f>
        <v>0</v>
      </c>
      <c r="T39" s="18"/>
      <c r="U39" s="285"/>
      <c r="V39" s="285"/>
      <c r="W39" s="289"/>
    </row>
    <row r="40" spans="1:35" s="19" customFormat="1" ht="48" customHeight="1" x14ac:dyDescent="0.2">
      <c r="A40" s="289">
        <v>34</v>
      </c>
      <c r="B40" s="289" t="s">
        <v>14160</v>
      </c>
      <c r="C40" s="285"/>
      <c r="D40" s="9" t="s">
        <v>14161</v>
      </c>
      <c r="E40" s="289" t="s">
        <v>14162</v>
      </c>
      <c r="F40" s="9" t="s">
        <v>14163</v>
      </c>
      <c r="G40" s="285" t="s">
        <v>14164</v>
      </c>
      <c r="H40" s="285"/>
      <c r="I40" s="285" t="s">
        <v>2042</v>
      </c>
      <c r="J40" s="285" t="s">
        <v>2207</v>
      </c>
      <c r="K40" s="285" t="s">
        <v>3136</v>
      </c>
      <c r="L40" s="14" t="s">
        <v>14165</v>
      </c>
      <c r="M40" s="289" t="s">
        <v>14166</v>
      </c>
      <c r="N40" s="285">
        <v>739</v>
      </c>
      <c r="O40" s="24">
        <v>1</v>
      </c>
      <c r="P40" s="15">
        <v>41183</v>
      </c>
      <c r="Q40" s="40">
        <v>90137.22</v>
      </c>
      <c r="R40" s="40">
        <f>Q40-S40</f>
        <v>23574.240000000005</v>
      </c>
      <c r="S40" s="40">
        <v>66562.98</v>
      </c>
      <c r="T40" s="18"/>
      <c r="U40" s="285"/>
      <c r="V40" s="285"/>
      <c r="W40" s="289"/>
    </row>
    <row r="41" spans="1:35" s="19" customFormat="1" ht="160.5" customHeight="1" x14ac:dyDescent="0.2">
      <c r="A41" s="289">
        <v>35</v>
      </c>
      <c r="B41" s="289" t="s">
        <v>14167</v>
      </c>
      <c r="C41" s="285"/>
      <c r="D41" s="9" t="s">
        <v>14161</v>
      </c>
      <c r="E41" s="289" t="s">
        <v>14168</v>
      </c>
      <c r="F41" s="9" t="s">
        <v>14169</v>
      </c>
      <c r="G41" s="285" t="s">
        <v>14170</v>
      </c>
      <c r="H41" s="285" t="s">
        <v>4296</v>
      </c>
      <c r="I41" s="285" t="s">
        <v>1586</v>
      </c>
      <c r="J41" s="285"/>
      <c r="K41" s="285" t="s">
        <v>3136</v>
      </c>
      <c r="L41" s="14">
        <v>43032</v>
      </c>
      <c r="M41" s="289">
        <v>951</v>
      </c>
      <c r="N41" s="285">
        <v>1753</v>
      </c>
      <c r="O41" s="24">
        <v>1</v>
      </c>
      <c r="P41" s="15">
        <v>41456</v>
      </c>
      <c r="Q41" s="40">
        <v>114187.43</v>
      </c>
      <c r="R41" s="40">
        <v>114187.43</v>
      </c>
      <c r="S41" s="40">
        <f>Q41-R41</f>
        <v>0</v>
      </c>
      <c r="T41" s="18"/>
      <c r="U41" s="285" t="s">
        <v>5071</v>
      </c>
      <c r="V41" s="15">
        <v>41163</v>
      </c>
      <c r="W41" s="289">
        <v>15795</v>
      </c>
    </row>
    <row r="42" spans="1:35" s="19" customFormat="1" ht="34.5" customHeight="1" x14ac:dyDescent="0.2">
      <c r="A42" s="289">
        <v>36</v>
      </c>
      <c r="B42" s="289" t="s">
        <v>14171</v>
      </c>
      <c r="C42" s="285"/>
      <c r="D42" s="9" t="s">
        <v>14172</v>
      </c>
      <c r="E42" s="289" t="s">
        <v>14173</v>
      </c>
      <c r="F42" s="9"/>
      <c r="G42" s="285" t="s">
        <v>14174</v>
      </c>
      <c r="H42" s="285"/>
      <c r="I42" s="285" t="s">
        <v>2042</v>
      </c>
      <c r="J42" s="285" t="s">
        <v>2207</v>
      </c>
      <c r="K42" s="289" t="s">
        <v>3136</v>
      </c>
      <c r="L42" s="14">
        <v>42087</v>
      </c>
      <c r="M42" s="285">
        <v>292</v>
      </c>
      <c r="N42" s="289">
        <v>6516</v>
      </c>
      <c r="O42" s="24">
        <v>1</v>
      </c>
      <c r="P42" s="15">
        <v>38838</v>
      </c>
      <c r="Q42" s="40">
        <v>382113.81</v>
      </c>
      <c r="R42" s="40">
        <f>Q42-S42</f>
        <v>349246.51</v>
      </c>
      <c r="S42" s="40">
        <v>32867.300000000003</v>
      </c>
      <c r="T42" s="18"/>
      <c r="U42" s="285"/>
      <c r="V42" s="285"/>
      <c r="W42" s="289"/>
    </row>
    <row r="43" spans="1:35" s="19" customFormat="1" ht="27" customHeight="1" x14ac:dyDescent="0.2">
      <c r="A43" s="289">
        <v>37</v>
      </c>
      <c r="B43" s="289" t="s">
        <v>14175</v>
      </c>
      <c r="C43" s="285"/>
      <c r="D43" s="18" t="s">
        <v>14176</v>
      </c>
      <c r="E43" s="289" t="s">
        <v>14129</v>
      </c>
      <c r="F43" s="9" t="s">
        <v>14177</v>
      </c>
      <c r="G43" s="285" t="s">
        <v>14131</v>
      </c>
      <c r="H43" s="285" t="s">
        <v>8661</v>
      </c>
      <c r="I43" s="285" t="s">
        <v>5127</v>
      </c>
      <c r="J43" s="285"/>
      <c r="K43" s="289" t="s">
        <v>3136</v>
      </c>
      <c r="L43" s="14">
        <v>43717</v>
      </c>
      <c r="M43" s="285">
        <v>729</v>
      </c>
      <c r="N43" s="285"/>
      <c r="O43" s="24">
        <v>1</v>
      </c>
      <c r="P43" s="15">
        <v>38808</v>
      </c>
      <c r="Q43" s="40">
        <v>82976.14</v>
      </c>
      <c r="R43" s="40">
        <v>82976.14</v>
      </c>
      <c r="S43" s="40">
        <f>Q43-R43</f>
        <v>0</v>
      </c>
      <c r="T43" s="18"/>
      <c r="U43" s="285"/>
      <c r="V43" s="285"/>
      <c r="W43" s="289"/>
    </row>
    <row r="44" spans="1:35" s="19" customFormat="1" ht="43.5" customHeight="1" x14ac:dyDescent="0.2">
      <c r="A44" s="289">
        <v>38</v>
      </c>
      <c r="B44" s="289" t="s">
        <v>14178</v>
      </c>
      <c r="C44" s="285"/>
      <c r="D44" s="18" t="s">
        <v>14179</v>
      </c>
      <c r="E44" s="12" t="s">
        <v>10315</v>
      </c>
      <c r="F44" s="9" t="s">
        <v>14180</v>
      </c>
      <c r="G44" s="285" t="s">
        <v>14181</v>
      </c>
      <c r="H44" s="285" t="s">
        <v>4946</v>
      </c>
      <c r="I44" s="285" t="s">
        <v>5127</v>
      </c>
      <c r="J44" s="285"/>
      <c r="K44" s="285" t="s">
        <v>3132</v>
      </c>
      <c r="L44" s="14">
        <v>40403</v>
      </c>
      <c r="M44" s="285" t="s">
        <v>2320</v>
      </c>
      <c r="N44" s="14"/>
      <c r="O44" s="24">
        <v>1</v>
      </c>
      <c r="P44" s="15">
        <v>41183</v>
      </c>
      <c r="Q44" s="40">
        <v>45490</v>
      </c>
      <c r="R44" s="40">
        <v>18683.36</v>
      </c>
      <c r="S44" s="40">
        <f>Q44-R44</f>
        <v>26806.639999999999</v>
      </c>
      <c r="T44" s="18"/>
      <c r="U44" s="285" t="s">
        <v>2779</v>
      </c>
      <c r="V44" s="14">
        <v>38467</v>
      </c>
      <c r="W44" s="289">
        <v>3</v>
      </c>
    </row>
    <row r="45" spans="1:35" s="19" customFormat="1" ht="34.5" customHeight="1" x14ac:dyDescent="0.2">
      <c r="A45" s="289">
        <v>39</v>
      </c>
      <c r="B45" s="289" t="s">
        <v>14182</v>
      </c>
      <c r="C45" s="285"/>
      <c r="D45" s="9" t="s">
        <v>14183</v>
      </c>
      <c r="E45" s="12" t="s">
        <v>10315</v>
      </c>
      <c r="F45" s="9" t="s">
        <v>14184</v>
      </c>
      <c r="G45" s="285" t="s">
        <v>14181</v>
      </c>
      <c r="H45" s="285" t="s">
        <v>4946</v>
      </c>
      <c r="I45" s="285" t="s">
        <v>5127</v>
      </c>
      <c r="J45" s="285"/>
      <c r="K45" s="285" t="s">
        <v>3132</v>
      </c>
      <c r="L45" s="14">
        <v>40403</v>
      </c>
      <c r="M45" s="285" t="s">
        <v>2320</v>
      </c>
      <c r="N45" s="14"/>
      <c r="O45" s="24">
        <v>1</v>
      </c>
      <c r="P45" s="15">
        <v>41183</v>
      </c>
      <c r="Q45" s="40">
        <v>20010</v>
      </c>
      <c r="R45" s="40">
        <v>8236.75</v>
      </c>
      <c r="S45" s="40">
        <f>Q45-R45</f>
        <v>11773.25</v>
      </c>
      <c r="T45" s="18"/>
      <c r="U45" s="285" t="s">
        <v>2779</v>
      </c>
      <c r="V45" s="14">
        <v>38586</v>
      </c>
      <c r="W45" s="289">
        <v>31</v>
      </c>
    </row>
    <row r="46" spans="1:35" s="19" customFormat="1" ht="50.25" customHeight="1" x14ac:dyDescent="0.2">
      <c r="A46" s="289">
        <v>40</v>
      </c>
      <c r="B46" s="289" t="s">
        <v>14185</v>
      </c>
      <c r="C46" s="285"/>
      <c r="D46" s="9" t="s">
        <v>14186</v>
      </c>
      <c r="E46" s="12" t="s">
        <v>14187</v>
      </c>
      <c r="F46" s="9" t="s">
        <v>14188</v>
      </c>
      <c r="G46" s="285" t="s">
        <v>14189</v>
      </c>
      <c r="H46" s="285" t="s">
        <v>7982</v>
      </c>
      <c r="I46" s="285" t="s">
        <v>5127</v>
      </c>
      <c r="J46" s="285"/>
      <c r="K46" s="285" t="s">
        <v>3136</v>
      </c>
      <c r="L46" s="14">
        <v>39412</v>
      </c>
      <c r="M46" s="22" t="s">
        <v>6310</v>
      </c>
      <c r="N46" s="285"/>
      <c r="O46" s="24">
        <v>1</v>
      </c>
      <c r="P46" s="15">
        <v>41000</v>
      </c>
      <c r="Q46" s="40">
        <v>1396541.16</v>
      </c>
      <c r="R46" s="40">
        <f>Q46-S46</f>
        <v>1396541.16</v>
      </c>
      <c r="S46" s="40">
        <v>0</v>
      </c>
      <c r="T46" s="18"/>
      <c r="U46" s="289"/>
      <c r="V46" s="289"/>
      <c r="W46" s="289"/>
    </row>
    <row r="47" spans="1:35" s="19" customFormat="1" ht="36.75" customHeight="1" x14ac:dyDescent="0.2">
      <c r="A47" s="289">
        <v>41</v>
      </c>
      <c r="B47" s="289" t="s">
        <v>14190</v>
      </c>
      <c r="C47" s="285"/>
      <c r="D47" s="9" t="s">
        <v>14091</v>
      </c>
      <c r="E47" s="12" t="s">
        <v>14191</v>
      </c>
      <c r="F47" s="9" t="s">
        <v>14192</v>
      </c>
      <c r="G47" s="285" t="s">
        <v>14034</v>
      </c>
      <c r="H47" s="56" t="s">
        <v>101</v>
      </c>
      <c r="I47" s="285" t="s">
        <v>5127</v>
      </c>
      <c r="J47" s="285"/>
      <c r="K47" s="285" t="s">
        <v>691</v>
      </c>
      <c r="L47" s="285"/>
      <c r="M47" s="39"/>
      <c r="N47" s="285"/>
      <c r="O47" s="24">
        <v>1</v>
      </c>
      <c r="P47" s="15">
        <v>39814</v>
      </c>
      <c r="Q47" s="40">
        <v>40012.559999999998</v>
      </c>
      <c r="R47" s="40">
        <f>Q47-S47</f>
        <v>40012.559999999998</v>
      </c>
      <c r="S47" s="40">
        <v>0</v>
      </c>
      <c r="T47" s="18"/>
      <c r="U47" s="289"/>
      <c r="V47" s="289"/>
      <c r="W47" s="289"/>
    </row>
    <row r="48" spans="1:35" s="19" customFormat="1" ht="43.5" customHeight="1" x14ac:dyDescent="0.2">
      <c r="A48" s="289">
        <v>42</v>
      </c>
      <c r="B48" s="289" t="s">
        <v>14193</v>
      </c>
      <c r="C48" s="285"/>
      <c r="D48" s="9" t="s">
        <v>14194</v>
      </c>
      <c r="E48" s="12" t="s">
        <v>6620</v>
      </c>
      <c r="F48" s="9" t="s">
        <v>14195</v>
      </c>
      <c r="G48" s="285" t="s">
        <v>14196</v>
      </c>
      <c r="H48" s="285"/>
      <c r="I48" s="285" t="s">
        <v>2042</v>
      </c>
      <c r="J48" s="285" t="s">
        <v>2207</v>
      </c>
      <c r="K48" s="558" t="s">
        <v>3136</v>
      </c>
      <c r="L48" s="14">
        <v>42607</v>
      </c>
      <c r="M48" s="285">
        <v>897</v>
      </c>
      <c r="N48" s="285">
        <v>126</v>
      </c>
      <c r="O48" s="24">
        <v>1</v>
      </c>
      <c r="P48" s="15">
        <v>40179</v>
      </c>
      <c r="Q48" s="40">
        <v>36713</v>
      </c>
      <c r="R48" s="40">
        <f>Q48-S48</f>
        <v>0</v>
      </c>
      <c r="S48" s="40">
        <v>36713</v>
      </c>
      <c r="T48" s="18"/>
      <c r="U48" s="22" t="s">
        <v>14197</v>
      </c>
      <c r="V48" s="15">
        <v>39807</v>
      </c>
      <c r="W48" s="289" t="s">
        <v>14198</v>
      </c>
    </row>
    <row r="49" spans="1:23" s="19" customFormat="1" ht="50.25" customHeight="1" x14ac:dyDescent="0.2">
      <c r="A49" s="289">
        <v>43</v>
      </c>
      <c r="B49" s="289" t="s">
        <v>14199</v>
      </c>
      <c r="C49" s="285"/>
      <c r="D49" s="517" t="s">
        <v>14200</v>
      </c>
      <c r="E49" s="22" t="s">
        <v>3412</v>
      </c>
      <c r="F49" s="254" t="s">
        <v>14201</v>
      </c>
      <c r="G49" s="285" t="s">
        <v>14202</v>
      </c>
      <c r="H49" s="9"/>
      <c r="I49" s="285" t="s">
        <v>2042</v>
      </c>
      <c r="J49" s="285" t="s">
        <v>2207</v>
      </c>
      <c r="K49" s="558" t="s">
        <v>3136</v>
      </c>
      <c r="L49" s="559">
        <v>40763</v>
      </c>
      <c r="M49" s="285">
        <v>860</v>
      </c>
      <c r="N49" s="558">
        <v>222</v>
      </c>
      <c r="O49" s="24">
        <v>1</v>
      </c>
      <c r="P49" s="15">
        <v>40787</v>
      </c>
      <c r="Q49" s="40">
        <v>107284.06</v>
      </c>
      <c r="R49" s="40">
        <f>Q49-S49</f>
        <v>0</v>
      </c>
      <c r="S49" s="40">
        <v>107284.06</v>
      </c>
      <c r="T49" s="18"/>
      <c r="U49" s="285" t="s">
        <v>464</v>
      </c>
      <c r="V49" s="14">
        <v>40763</v>
      </c>
      <c r="W49" s="22">
        <v>860</v>
      </c>
    </row>
    <row r="50" spans="1:23" s="19" customFormat="1" ht="48.75" customHeight="1" x14ac:dyDescent="0.2">
      <c r="A50" s="289">
        <v>44</v>
      </c>
      <c r="B50" s="289" t="s">
        <v>14203</v>
      </c>
      <c r="C50" s="285"/>
      <c r="D50" s="517" t="s">
        <v>14200</v>
      </c>
      <c r="E50" s="22" t="s">
        <v>3412</v>
      </c>
      <c r="F50" s="254" t="s">
        <v>14204</v>
      </c>
      <c r="G50" s="285" t="s">
        <v>14205</v>
      </c>
      <c r="H50" s="9"/>
      <c r="I50" s="285" t="s">
        <v>2042</v>
      </c>
      <c r="J50" s="285" t="s">
        <v>2207</v>
      </c>
      <c r="K50" s="558" t="s">
        <v>3136</v>
      </c>
      <c r="L50" s="559">
        <v>40763</v>
      </c>
      <c r="M50" s="285">
        <v>860</v>
      </c>
      <c r="N50" s="558">
        <v>428</v>
      </c>
      <c r="O50" s="24">
        <v>1</v>
      </c>
      <c r="P50" s="15">
        <v>40787</v>
      </c>
      <c r="Q50" s="40">
        <v>206835.94</v>
      </c>
      <c r="R50" s="40">
        <f>Q50-S50</f>
        <v>0</v>
      </c>
      <c r="S50" s="40">
        <v>206835.94</v>
      </c>
      <c r="T50" s="18"/>
      <c r="U50" s="285" t="s">
        <v>464</v>
      </c>
      <c r="V50" s="14">
        <v>40763</v>
      </c>
      <c r="W50" s="22">
        <v>860</v>
      </c>
    </row>
    <row r="51" spans="1:23" s="19" customFormat="1" ht="53.25" customHeight="1" x14ac:dyDescent="0.2">
      <c r="A51" s="289">
        <v>45</v>
      </c>
      <c r="B51" s="285" t="s">
        <v>14206</v>
      </c>
      <c r="C51" s="285"/>
      <c r="D51" s="254" t="s">
        <v>14161</v>
      </c>
      <c r="E51" s="560">
        <v>2012</v>
      </c>
      <c r="F51" s="254" t="s">
        <v>14207</v>
      </c>
      <c r="G51" s="361" t="s">
        <v>14126</v>
      </c>
      <c r="H51" s="285" t="s">
        <v>4877</v>
      </c>
      <c r="I51" s="285" t="s">
        <v>3793</v>
      </c>
      <c r="J51" s="558"/>
      <c r="K51" s="558" t="s">
        <v>3136</v>
      </c>
      <c r="L51" s="559">
        <v>42755</v>
      </c>
      <c r="M51" s="285">
        <v>27</v>
      </c>
      <c r="N51" s="558">
        <v>317.10000000000002</v>
      </c>
      <c r="O51" s="24">
        <v>1</v>
      </c>
      <c r="P51" s="15">
        <v>41730</v>
      </c>
      <c r="Q51" s="40">
        <v>231900</v>
      </c>
      <c r="R51" s="40">
        <v>155835.51999999999</v>
      </c>
      <c r="S51" s="40">
        <f>Q51-R51</f>
        <v>76064.48000000001</v>
      </c>
      <c r="T51" s="18"/>
      <c r="U51" s="49" t="s">
        <v>3136</v>
      </c>
      <c r="V51" s="53">
        <v>41137</v>
      </c>
      <c r="W51" s="289">
        <v>751</v>
      </c>
    </row>
    <row r="52" spans="1:23" s="19" customFormat="1" ht="59.25" customHeight="1" x14ac:dyDescent="0.2">
      <c r="A52" s="289">
        <v>46</v>
      </c>
      <c r="B52" s="285" t="s">
        <v>14208</v>
      </c>
      <c r="C52" s="285"/>
      <c r="D52" s="254" t="s">
        <v>14209</v>
      </c>
      <c r="E52" s="560">
        <v>2012</v>
      </c>
      <c r="F52" s="254" t="s">
        <v>14210</v>
      </c>
      <c r="G52" s="361" t="s">
        <v>14126</v>
      </c>
      <c r="H52" s="285" t="s">
        <v>4877</v>
      </c>
      <c r="I52" s="285" t="s">
        <v>3793</v>
      </c>
      <c r="J52" s="558"/>
      <c r="K52" s="558" t="s">
        <v>3136</v>
      </c>
      <c r="L52" s="559">
        <v>42755</v>
      </c>
      <c r="M52" s="285">
        <v>27</v>
      </c>
      <c r="N52" s="558">
        <v>360</v>
      </c>
      <c r="O52" s="24">
        <v>1</v>
      </c>
      <c r="P52" s="15">
        <v>41730</v>
      </c>
      <c r="Q52" s="40">
        <v>72800</v>
      </c>
      <c r="R52" s="40">
        <v>52332.66</v>
      </c>
      <c r="S52" s="40">
        <f>Q52-R52</f>
        <v>20467.339999999997</v>
      </c>
      <c r="T52" s="18"/>
      <c r="U52" s="285" t="s">
        <v>3136</v>
      </c>
      <c r="V52" s="14">
        <v>41137</v>
      </c>
      <c r="W52" s="289">
        <v>751</v>
      </c>
    </row>
    <row r="53" spans="1:23" s="19" customFormat="1" ht="77.25" customHeight="1" x14ac:dyDescent="0.2">
      <c r="A53" s="289">
        <v>47</v>
      </c>
      <c r="B53" s="285" t="s">
        <v>14211</v>
      </c>
      <c r="C53" s="285" t="s">
        <v>14212</v>
      </c>
      <c r="D53" s="517" t="s">
        <v>14213</v>
      </c>
      <c r="E53" s="560">
        <v>1995</v>
      </c>
      <c r="F53" s="254" t="s">
        <v>14214</v>
      </c>
      <c r="G53" s="558" t="s">
        <v>14215</v>
      </c>
      <c r="H53" s="558" t="s">
        <v>4296</v>
      </c>
      <c r="I53" s="285" t="s">
        <v>3793</v>
      </c>
      <c r="J53" s="285"/>
      <c r="K53" s="65" t="s">
        <v>3136</v>
      </c>
      <c r="L53" s="561" t="s">
        <v>13539</v>
      </c>
      <c r="M53" s="68" t="s">
        <v>13540</v>
      </c>
      <c r="N53" s="558">
        <v>4333</v>
      </c>
      <c r="O53" s="24">
        <v>1</v>
      </c>
      <c r="P53" s="15">
        <v>42166</v>
      </c>
      <c r="Q53" s="40">
        <v>1</v>
      </c>
      <c r="R53" s="40">
        <v>1</v>
      </c>
      <c r="S53" s="40">
        <v>0</v>
      </c>
      <c r="T53" s="40">
        <v>330585</v>
      </c>
      <c r="U53" s="285" t="s">
        <v>14216</v>
      </c>
      <c r="V53" s="285" t="s">
        <v>14217</v>
      </c>
      <c r="W53" s="285" t="s">
        <v>14218</v>
      </c>
    </row>
    <row r="54" spans="1:23" s="19" customFormat="1" ht="77.25" customHeight="1" x14ac:dyDescent="0.2">
      <c r="A54" s="289">
        <v>48</v>
      </c>
      <c r="B54" s="285" t="s">
        <v>14219</v>
      </c>
      <c r="C54" s="285" t="s">
        <v>14220</v>
      </c>
      <c r="D54" s="254" t="s">
        <v>14221</v>
      </c>
      <c r="E54" s="361">
        <v>1996</v>
      </c>
      <c r="F54" s="254" t="s">
        <v>14222</v>
      </c>
      <c r="G54" s="361" t="s">
        <v>14223</v>
      </c>
      <c r="H54" s="558" t="s">
        <v>4296</v>
      </c>
      <c r="I54" s="285" t="s">
        <v>3793</v>
      </c>
      <c r="J54" s="285"/>
      <c r="K54" s="65" t="s">
        <v>3136</v>
      </c>
      <c r="L54" s="561" t="s">
        <v>13539</v>
      </c>
      <c r="M54" s="68" t="s">
        <v>13540</v>
      </c>
      <c r="N54" s="562">
        <v>25.2</v>
      </c>
      <c r="O54" s="24">
        <v>1</v>
      </c>
      <c r="P54" s="15">
        <v>42166</v>
      </c>
      <c r="Q54" s="40">
        <v>1</v>
      </c>
      <c r="R54" s="40">
        <v>1</v>
      </c>
      <c r="S54" s="40">
        <v>0</v>
      </c>
      <c r="T54" s="40">
        <v>5088</v>
      </c>
      <c r="U54" s="285" t="s">
        <v>14216</v>
      </c>
      <c r="V54" s="285" t="s">
        <v>14217</v>
      </c>
      <c r="W54" s="285" t="s">
        <v>14224</v>
      </c>
    </row>
    <row r="55" spans="1:23" s="19" customFormat="1" ht="74.25" customHeight="1" x14ac:dyDescent="0.2">
      <c r="A55" s="289">
        <v>49</v>
      </c>
      <c r="B55" s="285" t="s">
        <v>14225</v>
      </c>
      <c r="C55" s="285" t="s">
        <v>14226</v>
      </c>
      <c r="D55" s="254" t="s">
        <v>14227</v>
      </c>
      <c r="E55" s="361">
        <v>1996</v>
      </c>
      <c r="F55" s="254" t="s">
        <v>14228</v>
      </c>
      <c r="G55" s="361" t="s">
        <v>14229</v>
      </c>
      <c r="H55" s="558" t="s">
        <v>4296</v>
      </c>
      <c r="I55" s="285" t="s">
        <v>3793</v>
      </c>
      <c r="J55" s="285"/>
      <c r="K55" s="65" t="s">
        <v>3136</v>
      </c>
      <c r="L55" s="561" t="s">
        <v>13539</v>
      </c>
      <c r="M55" s="68" t="s">
        <v>13540</v>
      </c>
      <c r="N55" s="563">
        <v>2035</v>
      </c>
      <c r="O55" s="33">
        <v>1</v>
      </c>
      <c r="P55" s="15">
        <v>42166</v>
      </c>
      <c r="Q55" s="62">
        <v>1</v>
      </c>
      <c r="R55" s="62">
        <v>1</v>
      </c>
      <c r="S55" s="40">
        <v>0</v>
      </c>
      <c r="T55" s="40">
        <v>51431</v>
      </c>
      <c r="U55" s="285" t="s">
        <v>14216</v>
      </c>
      <c r="V55" s="285" t="s">
        <v>14217</v>
      </c>
      <c r="W55" s="285" t="s">
        <v>14230</v>
      </c>
    </row>
    <row r="56" spans="1:23" s="19" customFormat="1" ht="73.5" customHeight="1" x14ac:dyDescent="0.2">
      <c r="A56" s="289">
        <v>50</v>
      </c>
      <c r="B56" s="285" t="s">
        <v>14231</v>
      </c>
      <c r="C56" s="285" t="s">
        <v>14232</v>
      </c>
      <c r="D56" s="254" t="s">
        <v>14233</v>
      </c>
      <c r="E56" s="361">
        <v>1996</v>
      </c>
      <c r="F56" s="254" t="s">
        <v>14234</v>
      </c>
      <c r="G56" s="361" t="s">
        <v>14229</v>
      </c>
      <c r="H56" s="558" t="s">
        <v>4296</v>
      </c>
      <c r="I56" s="285" t="s">
        <v>3793</v>
      </c>
      <c r="J56" s="285"/>
      <c r="K56" s="65" t="s">
        <v>3136</v>
      </c>
      <c r="L56" s="561" t="s">
        <v>13539</v>
      </c>
      <c r="M56" s="68" t="s">
        <v>13540</v>
      </c>
      <c r="N56" s="563">
        <v>1728</v>
      </c>
      <c r="O56" s="33">
        <v>1</v>
      </c>
      <c r="P56" s="15">
        <v>42166</v>
      </c>
      <c r="Q56" s="62">
        <v>1</v>
      </c>
      <c r="R56" s="62">
        <v>1</v>
      </c>
      <c r="S56" s="40">
        <v>0</v>
      </c>
      <c r="T56" s="40">
        <v>4678578</v>
      </c>
      <c r="U56" s="285" t="s">
        <v>14216</v>
      </c>
      <c r="V56" s="285" t="s">
        <v>14217</v>
      </c>
      <c r="W56" s="285" t="s">
        <v>14235</v>
      </c>
    </row>
    <row r="57" spans="1:23" s="19" customFormat="1" ht="73.5" customHeight="1" x14ac:dyDescent="0.2">
      <c r="A57" s="289">
        <v>51</v>
      </c>
      <c r="B57" s="285" t="s">
        <v>14236</v>
      </c>
      <c r="C57" s="285" t="s">
        <v>14237</v>
      </c>
      <c r="D57" s="254" t="s">
        <v>14238</v>
      </c>
      <c r="E57" s="361">
        <v>1996</v>
      </c>
      <c r="F57" s="254" t="s">
        <v>14239</v>
      </c>
      <c r="G57" s="361" t="s">
        <v>14229</v>
      </c>
      <c r="H57" s="558" t="s">
        <v>4296</v>
      </c>
      <c r="I57" s="285" t="s">
        <v>3793</v>
      </c>
      <c r="J57" s="285"/>
      <c r="K57" s="65" t="s">
        <v>3136</v>
      </c>
      <c r="L57" s="561" t="s">
        <v>13539</v>
      </c>
      <c r="M57" s="68" t="s">
        <v>13540</v>
      </c>
      <c r="N57" s="563">
        <v>280.10000000000002</v>
      </c>
      <c r="O57" s="33">
        <v>1</v>
      </c>
      <c r="P57" s="15">
        <v>42166</v>
      </c>
      <c r="Q57" s="62">
        <v>1</v>
      </c>
      <c r="R57" s="62">
        <v>1</v>
      </c>
      <c r="S57" s="40">
        <v>0</v>
      </c>
      <c r="T57" s="40">
        <v>56632</v>
      </c>
      <c r="U57" s="285" t="s">
        <v>14216</v>
      </c>
      <c r="V57" s="285" t="s">
        <v>14217</v>
      </c>
      <c r="W57" s="285" t="s">
        <v>14240</v>
      </c>
    </row>
    <row r="58" spans="1:23" s="19" customFormat="1" ht="73.5" customHeight="1" x14ac:dyDescent="0.2">
      <c r="A58" s="289">
        <v>52</v>
      </c>
      <c r="B58" s="285" t="s">
        <v>14241</v>
      </c>
      <c r="C58" s="285" t="s">
        <v>14242</v>
      </c>
      <c r="D58" s="254" t="s">
        <v>14238</v>
      </c>
      <c r="E58" s="361">
        <v>1996</v>
      </c>
      <c r="F58" s="254" t="s">
        <v>14243</v>
      </c>
      <c r="G58" s="361" t="s">
        <v>14229</v>
      </c>
      <c r="H58" s="558" t="s">
        <v>4296</v>
      </c>
      <c r="I58" s="285" t="s">
        <v>3793</v>
      </c>
      <c r="J58" s="285"/>
      <c r="K58" s="65" t="s">
        <v>3136</v>
      </c>
      <c r="L58" s="561" t="s">
        <v>13539</v>
      </c>
      <c r="M58" s="68" t="s">
        <v>13540</v>
      </c>
      <c r="N58" s="563">
        <v>280.10000000000002</v>
      </c>
      <c r="O58" s="24">
        <v>1</v>
      </c>
      <c r="P58" s="15">
        <v>42166</v>
      </c>
      <c r="Q58" s="62">
        <v>1</v>
      </c>
      <c r="R58" s="62">
        <v>1</v>
      </c>
      <c r="S58" s="40">
        <v>0</v>
      </c>
      <c r="T58" s="40">
        <v>56632</v>
      </c>
      <c r="U58" s="285" t="s">
        <v>14216</v>
      </c>
      <c r="V58" s="285" t="s">
        <v>14217</v>
      </c>
      <c r="W58" s="285" t="s">
        <v>14244</v>
      </c>
    </row>
    <row r="59" spans="1:23" s="19" customFormat="1" ht="78.75" customHeight="1" x14ac:dyDescent="0.2">
      <c r="A59" s="289">
        <v>53</v>
      </c>
      <c r="B59" s="285" t="s">
        <v>14245</v>
      </c>
      <c r="C59" s="285" t="s">
        <v>14246</v>
      </c>
      <c r="D59" s="254" t="s">
        <v>14238</v>
      </c>
      <c r="E59" s="361">
        <v>1996</v>
      </c>
      <c r="F59" s="254" t="s">
        <v>14247</v>
      </c>
      <c r="G59" s="361" t="s">
        <v>14229</v>
      </c>
      <c r="H59" s="558" t="s">
        <v>4296</v>
      </c>
      <c r="I59" s="285" t="s">
        <v>3793</v>
      </c>
      <c r="J59" s="285"/>
      <c r="K59" s="65" t="s">
        <v>3136</v>
      </c>
      <c r="L59" s="561" t="s">
        <v>13539</v>
      </c>
      <c r="M59" s="68" t="s">
        <v>13540</v>
      </c>
      <c r="N59" s="562">
        <v>280.10000000000002</v>
      </c>
      <c r="O59" s="24">
        <v>1</v>
      </c>
      <c r="P59" s="15">
        <v>42166</v>
      </c>
      <c r="Q59" s="62">
        <v>1</v>
      </c>
      <c r="R59" s="62">
        <v>1</v>
      </c>
      <c r="S59" s="40">
        <v>0</v>
      </c>
      <c r="T59" s="40">
        <v>56632</v>
      </c>
      <c r="U59" s="285" t="s">
        <v>14216</v>
      </c>
      <c r="V59" s="285" t="s">
        <v>14248</v>
      </c>
      <c r="W59" s="285" t="s">
        <v>14249</v>
      </c>
    </row>
    <row r="60" spans="1:23" s="19" customFormat="1" ht="78.75" customHeight="1" x14ac:dyDescent="0.2">
      <c r="A60" s="289">
        <v>54</v>
      </c>
      <c r="B60" s="285" t="s">
        <v>14250</v>
      </c>
      <c r="C60" s="285" t="s">
        <v>14251</v>
      </c>
      <c r="D60" s="254" t="s">
        <v>14252</v>
      </c>
      <c r="E60" s="361">
        <v>1995</v>
      </c>
      <c r="F60" s="254" t="s">
        <v>14253</v>
      </c>
      <c r="G60" s="361" t="s">
        <v>14229</v>
      </c>
      <c r="H60" s="558" t="s">
        <v>4296</v>
      </c>
      <c r="I60" s="285" t="s">
        <v>3793</v>
      </c>
      <c r="J60" s="285"/>
      <c r="K60" s="65" t="s">
        <v>3136</v>
      </c>
      <c r="L60" s="561" t="s">
        <v>13539</v>
      </c>
      <c r="M60" s="68" t="s">
        <v>13540</v>
      </c>
      <c r="N60" s="562">
        <v>6400.4</v>
      </c>
      <c r="O60" s="24">
        <v>1</v>
      </c>
      <c r="P60" s="15">
        <v>42166</v>
      </c>
      <c r="Q60" s="62">
        <v>1</v>
      </c>
      <c r="R60" s="62">
        <v>1</v>
      </c>
      <c r="S60" s="40">
        <v>0</v>
      </c>
      <c r="T60" s="40">
        <v>615</v>
      </c>
      <c r="U60" s="285" t="s">
        <v>14216</v>
      </c>
      <c r="V60" s="285" t="s">
        <v>14248</v>
      </c>
      <c r="W60" s="285" t="s">
        <v>14254</v>
      </c>
    </row>
    <row r="61" spans="1:23" s="19" customFormat="1" ht="78.75" customHeight="1" x14ac:dyDescent="0.2">
      <c r="A61" s="289">
        <v>55</v>
      </c>
      <c r="B61" s="285" t="s">
        <v>14255</v>
      </c>
      <c r="C61" s="285" t="s">
        <v>14256</v>
      </c>
      <c r="D61" s="254" t="s">
        <v>14257</v>
      </c>
      <c r="E61" s="361">
        <v>1983</v>
      </c>
      <c r="F61" s="254" t="s">
        <v>14258</v>
      </c>
      <c r="G61" s="361" t="s">
        <v>14259</v>
      </c>
      <c r="H61" s="558" t="s">
        <v>4296</v>
      </c>
      <c r="I61" s="285" t="s">
        <v>3793</v>
      </c>
      <c r="J61" s="285"/>
      <c r="K61" s="65" t="s">
        <v>3136</v>
      </c>
      <c r="L61" s="561" t="s">
        <v>13539</v>
      </c>
      <c r="M61" s="68" t="s">
        <v>13540</v>
      </c>
      <c r="N61" s="562">
        <v>461518</v>
      </c>
      <c r="O61" s="24">
        <v>1</v>
      </c>
      <c r="P61" s="15">
        <v>42166</v>
      </c>
      <c r="Q61" s="62">
        <v>1</v>
      </c>
      <c r="R61" s="62">
        <v>1</v>
      </c>
      <c r="S61" s="40">
        <v>0</v>
      </c>
      <c r="T61" s="40">
        <v>2955</v>
      </c>
      <c r="U61" s="285" t="s">
        <v>14216</v>
      </c>
      <c r="V61" s="285" t="s">
        <v>14248</v>
      </c>
      <c r="W61" s="285" t="s">
        <v>14260</v>
      </c>
    </row>
    <row r="62" spans="1:23" s="19" customFormat="1" ht="78.75" customHeight="1" x14ac:dyDescent="0.2">
      <c r="A62" s="289">
        <v>56</v>
      </c>
      <c r="B62" s="285" t="s">
        <v>14261</v>
      </c>
      <c r="C62" s="285" t="s">
        <v>14262</v>
      </c>
      <c r="D62" s="254" t="s">
        <v>14257</v>
      </c>
      <c r="E62" s="361">
        <v>1983</v>
      </c>
      <c r="F62" s="254" t="s">
        <v>14263</v>
      </c>
      <c r="G62" s="361" t="s">
        <v>14259</v>
      </c>
      <c r="H62" s="558" t="s">
        <v>4296</v>
      </c>
      <c r="I62" s="285" t="s">
        <v>3793</v>
      </c>
      <c r="J62" s="285"/>
      <c r="K62" s="65" t="s">
        <v>3136</v>
      </c>
      <c r="L62" s="561" t="s">
        <v>13539</v>
      </c>
      <c r="M62" s="68" t="s">
        <v>13540</v>
      </c>
      <c r="N62" s="562">
        <v>163451</v>
      </c>
      <c r="O62" s="24">
        <v>1</v>
      </c>
      <c r="P62" s="15">
        <v>42166</v>
      </c>
      <c r="Q62" s="62">
        <v>1</v>
      </c>
      <c r="R62" s="62">
        <v>1</v>
      </c>
      <c r="S62" s="40">
        <v>0</v>
      </c>
      <c r="T62" s="40">
        <v>1046</v>
      </c>
      <c r="U62" s="285" t="s">
        <v>14216</v>
      </c>
      <c r="V62" s="285" t="s">
        <v>14248</v>
      </c>
      <c r="W62" s="285" t="s">
        <v>14264</v>
      </c>
    </row>
    <row r="63" spans="1:23" s="19" customFormat="1" ht="78.75" customHeight="1" x14ac:dyDescent="0.2">
      <c r="A63" s="289">
        <v>57</v>
      </c>
      <c r="B63" s="285" t="s">
        <v>14265</v>
      </c>
      <c r="C63" s="285" t="s">
        <v>14266</v>
      </c>
      <c r="D63" s="254" t="s">
        <v>14257</v>
      </c>
      <c r="E63" s="361">
        <v>1983</v>
      </c>
      <c r="F63" s="254" t="s">
        <v>14267</v>
      </c>
      <c r="G63" s="361" t="s">
        <v>14259</v>
      </c>
      <c r="H63" s="558" t="s">
        <v>4296</v>
      </c>
      <c r="I63" s="285" t="s">
        <v>3793</v>
      </c>
      <c r="J63" s="285"/>
      <c r="K63" s="65" t="s">
        <v>3136</v>
      </c>
      <c r="L63" s="561" t="s">
        <v>13539</v>
      </c>
      <c r="M63" s="68" t="s">
        <v>13540</v>
      </c>
      <c r="N63" s="562">
        <v>61421</v>
      </c>
      <c r="O63" s="24">
        <v>1</v>
      </c>
      <c r="P63" s="15">
        <v>42166</v>
      </c>
      <c r="Q63" s="62">
        <v>1</v>
      </c>
      <c r="R63" s="62">
        <v>1</v>
      </c>
      <c r="S63" s="40">
        <v>0</v>
      </c>
      <c r="T63" s="40">
        <v>463</v>
      </c>
      <c r="U63" s="285" t="s">
        <v>14216</v>
      </c>
      <c r="V63" s="285" t="s">
        <v>14248</v>
      </c>
      <c r="W63" s="285" t="s">
        <v>14268</v>
      </c>
    </row>
    <row r="64" spans="1:23" s="19" customFormat="1" ht="78.75" customHeight="1" x14ac:dyDescent="0.2">
      <c r="A64" s="289">
        <v>58</v>
      </c>
      <c r="B64" s="285" t="s">
        <v>14269</v>
      </c>
      <c r="C64" s="285" t="s">
        <v>14270</v>
      </c>
      <c r="D64" s="254" t="s">
        <v>14271</v>
      </c>
      <c r="E64" s="361">
        <v>1994</v>
      </c>
      <c r="F64" s="254" t="s">
        <v>14272</v>
      </c>
      <c r="G64" s="361" t="s">
        <v>14273</v>
      </c>
      <c r="H64" s="558"/>
      <c r="I64" s="558" t="s">
        <v>2042</v>
      </c>
      <c r="J64" s="558" t="s">
        <v>2207</v>
      </c>
      <c r="K64" s="65" t="s">
        <v>3136</v>
      </c>
      <c r="L64" s="561" t="s">
        <v>13549</v>
      </c>
      <c r="M64" s="68" t="s">
        <v>13550</v>
      </c>
      <c r="N64" s="562">
        <v>1.3</v>
      </c>
      <c r="O64" s="24">
        <v>1</v>
      </c>
      <c r="P64" s="15">
        <v>42166</v>
      </c>
      <c r="Q64" s="62">
        <v>1</v>
      </c>
      <c r="R64" s="62">
        <v>0</v>
      </c>
      <c r="S64" s="62">
        <v>1</v>
      </c>
      <c r="T64" s="40">
        <v>316862</v>
      </c>
      <c r="U64" s="285" t="s">
        <v>14216</v>
      </c>
      <c r="V64" s="285" t="s">
        <v>14217</v>
      </c>
      <c r="W64" s="285" t="s">
        <v>14274</v>
      </c>
    </row>
    <row r="65" spans="1:23" s="19" customFormat="1" ht="78.75" customHeight="1" x14ac:dyDescent="0.2">
      <c r="A65" s="289">
        <v>59</v>
      </c>
      <c r="B65" s="285" t="s">
        <v>14275</v>
      </c>
      <c r="C65" s="285" t="s">
        <v>14276</v>
      </c>
      <c r="D65" s="254" t="s">
        <v>14277</v>
      </c>
      <c r="E65" s="361">
        <v>1972</v>
      </c>
      <c r="F65" s="254" t="s">
        <v>14278</v>
      </c>
      <c r="G65" s="361" t="s">
        <v>14273</v>
      </c>
      <c r="H65" s="558"/>
      <c r="I65" s="558" t="s">
        <v>2042</v>
      </c>
      <c r="J65" s="558" t="s">
        <v>2207</v>
      </c>
      <c r="K65" s="65" t="s">
        <v>3136</v>
      </c>
      <c r="L65" s="561" t="s">
        <v>13549</v>
      </c>
      <c r="M65" s="68" t="s">
        <v>13550</v>
      </c>
      <c r="N65" s="562">
        <v>29</v>
      </c>
      <c r="O65" s="24">
        <v>1</v>
      </c>
      <c r="P65" s="15">
        <v>42166</v>
      </c>
      <c r="Q65" s="62">
        <v>1</v>
      </c>
      <c r="R65" s="62">
        <v>0</v>
      </c>
      <c r="S65" s="62">
        <v>1</v>
      </c>
      <c r="T65" s="40">
        <v>183665</v>
      </c>
      <c r="U65" s="285" t="s">
        <v>14216</v>
      </c>
      <c r="V65" s="285" t="s">
        <v>14217</v>
      </c>
      <c r="W65" s="285" t="s">
        <v>14279</v>
      </c>
    </row>
    <row r="66" spans="1:23" s="19" customFormat="1" ht="78.75" customHeight="1" x14ac:dyDescent="0.2">
      <c r="A66" s="289">
        <v>60</v>
      </c>
      <c r="B66" s="285" t="s">
        <v>14280</v>
      </c>
      <c r="C66" s="285" t="s">
        <v>14281</v>
      </c>
      <c r="D66" s="254" t="s">
        <v>14282</v>
      </c>
      <c r="E66" s="361">
        <v>1983</v>
      </c>
      <c r="F66" s="254" t="s">
        <v>14283</v>
      </c>
      <c r="G66" s="361" t="s">
        <v>14229</v>
      </c>
      <c r="H66" s="558" t="s">
        <v>4296</v>
      </c>
      <c r="I66" s="285" t="s">
        <v>3793</v>
      </c>
      <c r="J66" s="285"/>
      <c r="K66" s="65" t="s">
        <v>3136</v>
      </c>
      <c r="L66" s="561" t="s">
        <v>13539</v>
      </c>
      <c r="M66" s="68" t="s">
        <v>13540</v>
      </c>
      <c r="N66" s="562">
        <v>26.4</v>
      </c>
      <c r="O66" s="24">
        <v>1</v>
      </c>
      <c r="P66" s="15">
        <v>42166</v>
      </c>
      <c r="Q66" s="62">
        <v>1</v>
      </c>
      <c r="R66" s="62">
        <v>1</v>
      </c>
      <c r="S66" s="40">
        <v>0</v>
      </c>
      <c r="T66" s="40">
        <v>3</v>
      </c>
      <c r="U66" s="285" t="s">
        <v>14216</v>
      </c>
      <c r="V66" s="285" t="s">
        <v>14217</v>
      </c>
      <c r="W66" s="285" t="s">
        <v>14284</v>
      </c>
    </row>
    <row r="67" spans="1:23" s="19" customFormat="1" ht="95.45" customHeight="1" x14ac:dyDescent="0.2">
      <c r="A67" s="289">
        <v>61</v>
      </c>
      <c r="B67" s="285" t="s">
        <v>14285</v>
      </c>
      <c r="C67" s="285" t="s">
        <v>14286</v>
      </c>
      <c r="D67" s="254" t="s">
        <v>14287</v>
      </c>
      <c r="E67" s="361">
        <v>1965</v>
      </c>
      <c r="F67" s="254" t="s">
        <v>14288</v>
      </c>
      <c r="G67" s="361" t="s">
        <v>14273</v>
      </c>
      <c r="H67" s="558" t="s">
        <v>4296</v>
      </c>
      <c r="I67" s="285" t="s">
        <v>3793</v>
      </c>
      <c r="J67" s="285"/>
      <c r="K67" s="65" t="s">
        <v>3136</v>
      </c>
      <c r="L67" s="561" t="s">
        <v>13539</v>
      </c>
      <c r="M67" s="68" t="s">
        <v>13540</v>
      </c>
      <c r="N67" s="562">
        <v>3929.9</v>
      </c>
      <c r="O67" s="24">
        <v>1</v>
      </c>
      <c r="P67" s="15">
        <v>42166</v>
      </c>
      <c r="Q67" s="62">
        <v>1</v>
      </c>
      <c r="R67" s="62">
        <v>1</v>
      </c>
      <c r="S67" s="40">
        <v>0</v>
      </c>
      <c r="T67" s="40">
        <v>2534961</v>
      </c>
      <c r="U67" s="285" t="s">
        <v>14216</v>
      </c>
      <c r="V67" s="285" t="s">
        <v>14217</v>
      </c>
      <c r="W67" s="285" t="s">
        <v>14289</v>
      </c>
    </row>
    <row r="68" spans="1:23" s="19" customFormat="1" ht="78.75" customHeight="1" x14ac:dyDescent="0.2">
      <c r="A68" s="289">
        <v>62</v>
      </c>
      <c r="B68" s="285" t="s">
        <v>14290</v>
      </c>
      <c r="C68" s="285" t="s">
        <v>14291</v>
      </c>
      <c r="D68" s="254" t="s">
        <v>14292</v>
      </c>
      <c r="E68" s="361">
        <v>1965</v>
      </c>
      <c r="F68" s="254" t="s">
        <v>14293</v>
      </c>
      <c r="G68" s="361" t="s">
        <v>14273</v>
      </c>
      <c r="H68" s="558"/>
      <c r="I68" s="558" t="s">
        <v>2042</v>
      </c>
      <c r="J68" s="558" t="s">
        <v>2207</v>
      </c>
      <c r="K68" s="65" t="s">
        <v>3136</v>
      </c>
      <c r="L68" s="561" t="s">
        <v>13549</v>
      </c>
      <c r="M68" s="68" t="s">
        <v>13550</v>
      </c>
      <c r="N68" s="562">
        <v>92.55</v>
      </c>
      <c r="O68" s="24">
        <v>1</v>
      </c>
      <c r="P68" s="15">
        <v>42166</v>
      </c>
      <c r="Q68" s="62">
        <v>1</v>
      </c>
      <c r="R68" s="62">
        <v>0</v>
      </c>
      <c r="S68" s="62">
        <v>1</v>
      </c>
      <c r="T68" s="40">
        <v>59164</v>
      </c>
      <c r="U68" s="285" t="s">
        <v>14216</v>
      </c>
      <c r="V68" s="285" t="s">
        <v>14217</v>
      </c>
      <c r="W68" s="285" t="s">
        <v>14294</v>
      </c>
    </row>
    <row r="69" spans="1:23" s="19" customFormat="1" ht="78.75" customHeight="1" x14ac:dyDescent="0.2">
      <c r="A69" s="289">
        <v>63</v>
      </c>
      <c r="B69" s="285" t="s">
        <v>14295</v>
      </c>
      <c r="C69" s="285" t="s">
        <v>14296</v>
      </c>
      <c r="D69" s="254" t="s">
        <v>14297</v>
      </c>
      <c r="E69" s="361">
        <v>1970</v>
      </c>
      <c r="F69" s="254" t="s">
        <v>14298</v>
      </c>
      <c r="G69" s="361" t="s">
        <v>14273</v>
      </c>
      <c r="H69" s="558" t="s">
        <v>4296</v>
      </c>
      <c r="I69" s="285" t="s">
        <v>3793</v>
      </c>
      <c r="J69" s="285"/>
      <c r="K69" s="65" t="s">
        <v>3136</v>
      </c>
      <c r="L69" s="561" t="s">
        <v>13539</v>
      </c>
      <c r="M69" s="68" t="s">
        <v>13540</v>
      </c>
      <c r="N69" s="562">
        <v>6084</v>
      </c>
      <c r="O69" s="24">
        <v>1</v>
      </c>
      <c r="P69" s="15">
        <v>42166</v>
      </c>
      <c r="Q69" s="62">
        <v>1</v>
      </c>
      <c r="R69" s="62">
        <v>1</v>
      </c>
      <c r="S69" s="40">
        <v>0</v>
      </c>
      <c r="T69" s="40">
        <v>830364</v>
      </c>
      <c r="U69" s="285" t="s">
        <v>14216</v>
      </c>
      <c r="V69" s="285" t="s">
        <v>14248</v>
      </c>
      <c r="W69" s="285" t="s">
        <v>14299</v>
      </c>
    </row>
    <row r="70" spans="1:23" s="19" customFormat="1" ht="78.75" customHeight="1" x14ac:dyDescent="0.2">
      <c r="A70" s="289">
        <v>64</v>
      </c>
      <c r="B70" s="285" t="s">
        <v>14300</v>
      </c>
      <c r="C70" s="285" t="s">
        <v>14301</v>
      </c>
      <c r="D70" s="254" t="s">
        <v>14302</v>
      </c>
      <c r="E70" s="361">
        <v>1965</v>
      </c>
      <c r="F70" s="36" t="s">
        <v>14303</v>
      </c>
      <c r="G70" s="361" t="s">
        <v>14273</v>
      </c>
      <c r="H70" s="558" t="s">
        <v>4296</v>
      </c>
      <c r="I70" s="285" t="s">
        <v>3793</v>
      </c>
      <c r="J70" s="285"/>
      <c r="K70" s="65" t="s">
        <v>3136</v>
      </c>
      <c r="L70" s="561" t="s">
        <v>13539</v>
      </c>
      <c r="M70" s="68" t="s">
        <v>13540</v>
      </c>
      <c r="N70" s="562">
        <v>367.8</v>
      </c>
      <c r="O70" s="24">
        <v>1</v>
      </c>
      <c r="P70" s="15">
        <v>42166</v>
      </c>
      <c r="Q70" s="62">
        <v>1</v>
      </c>
      <c r="R70" s="62">
        <v>1</v>
      </c>
      <c r="S70" s="40">
        <v>0</v>
      </c>
      <c r="T70" s="40">
        <v>420818</v>
      </c>
      <c r="U70" s="285" t="s">
        <v>14216</v>
      </c>
      <c r="V70" s="285" t="s">
        <v>14248</v>
      </c>
      <c r="W70" s="285" t="s">
        <v>14304</v>
      </c>
    </row>
    <row r="71" spans="1:23" s="19" customFormat="1" ht="78.75" customHeight="1" x14ac:dyDescent="0.2">
      <c r="A71" s="289">
        <v>65</v>
      </c>
      <c r="B71" s="285" t="s">
        <v>14305</v>
      </c>
      <c r="C71" s="285" t="s">
        <v>14306</v>
      </c>
      <c r="D71" s="254" t="s">
        <v>14307</v>
      </c>
      <c r="E71" s="361">
        <v>1965</v>
      </c>
      <c r="F71" s="9" t="s">
        <v>14308</v>
      </c>
      <c r="G71" s="361" t="s">
        <v>14273</v>
      </c>
      <c r="H71" s="558"/>
      <c r="I71" s="558" t="s">
        <v>2042</v>
      </c>
      <c r="J71" s="558" t="s">
        <v>2207</v>
      </c>
      <c r="K71" s="65" t="s">
        <v>3136</v>
      </c>
      <c r="L71" s="561" t="s">
        <v>13549</v>
      </c>
      <c r="M71" s="68" t="s">
        <v>13550</v>
      </c>
      <c r="N71" s="562">
        <v>9253</v>
      </c>
      <c r="O71" s="24">
        <v>1</v>
      </c>
      <c r="P71" s="15">
        <v>42166</v>
      </c>
      <c r="Q71" s="62">
        <v>1</v>
      </c>
      <c r="R71" s="62">
        <v>0</v>
      </c>
      <c r="S71" s="62">
        <v>1</v>
      </c>
      <c r="T71" s="40">
        <v>11702426</v>
      </c>
      <c r="U71" s="285" t="s">
        <v>14216</v>
      </c>
      <c r="V71" s="285" t="s">
        <v>14248</v>
      </c>
      <c r="W71" s="285" t="s">
        <v>14309</v>
      </c>
    </row>
    <row r="72" spans="1:23" s="19" customFormat="1" ht="76.5" customHeight="1" x14ac:dyDescent="0.2">
      <c r="A72" s="289">
        <v>66</v>
      </c>
      <c r="B72" s="285" t="s">
        <v>14310</v>
      </c>
      <c r="C72" s="285" t="s">
        <v>14311</v>
      </c>
      <c r="D72" s="254" t="s">
        <v>14312</v>
      </c>
      <c r="E72" s="361">
        <v>1965</v>
      </c>
      <c r="F72" s="9" t="s">
        <v>14313</v>
      </c>
      <c r="G72" s="361" t="s">
        <v>14273</v>
      </c>
      <c r="H72" s="558"/>
      <c r="I72" s="558" t="s">
        <v>2042</v>
      </c>
      <c r="J72" s="558" t="s">
        <v>2207</v>
      </c>
      <c r="K72" s="65" t="s">
        <v>3136</v>
      </c>
      <c r="L72" s="561" t="s">
        <v>13549</v>
      </c>
      <c r="M72" s="68" t="s">
        <v>13550</v>
      </c>
      <c r="N72" s="562">
        <v>382</v>
      </c>
      <c r="O72" s="24">
        <v>1</v>
      </c>
      <c r="P72" s="15">
        <v>42166</v>
      </c>
      <c r="Q72" s="62">
        <v>1</v>
      </c>
      <c r="R72" s="62">
        <v>0</v>
      </c>
      <c r="S72" s="62">
        <v>1</v>
      </c>
      <c r="T72" s="40">
        <v>15265</v>
      </c>
      <c r="U72" s="285" t="s">
        <v>14216</v>
      </c>
      <c r="V72" s="285" t="s">
        <v>14248</v>
      </c>
      <c r="W72" s="285" t="s">
        <v>14314</v>
      </c>
    </row>
    <row r="73" spans="1:23" s="19" customFormat="1" ht="76.5" customHeight="1" x14ac:dyDescent="0.2">
      <c r="A73" s="289">
        <v>67</v>
      </c>
      <c r="B73" s="285" t="s">
        <v>14315</v>
      </c>
      <c r="C73" s="285" t="s">
        <v>14316</v>
      </c>
      <c r="D73" s="254" t="s">
        <v>14317</v>
      </c>
      <c r="E73" s="361">
        <v>1965</v>
      </c>
      <c r="F73" s="9" t="s">
        <v>14318</v>
      </c>
      <c r="G73" s="361" t="s">
        <v>14273</v>
      </c>
      <c r="H73" s="558"/>
      <c r="I73" s="558" t="s">
        <v>2042</v>
      </c>
      <c r="J73" s="558" t="s">
        <v>2207</v>
      </c>
      <c r="K73" s="65" t="s">
        <v>3136</v>
      </c>
      <c r="L73" s="561" t="s">
        <v>13549</v>
      </c>
      <c r="M73" s="68" t="s">
        <v>13550</v>
      </c>
      <c r="N73" s="562">
        <v>382</v>
      </c>
      <c r="O73" s="24">
        <v>1</v>
      </c>
      <c r="P73" s="15">
        <v>42166</v>
      </c>
      <c r="Q73" s="62">
        <v>1</v>
      </c>
      <c r="R73" s="62">
        <v>0</v>
      </c>
      <c r="S73" s="62">
        <v>1</v>
      </c>
      <c r="T73" s="40">
        <v>15265</v>
      </c>
      <c r="U73" s="285" t="s">
        <v>14216</v>
      </c>
      <c r="V73" s="285" t="s">
        <v>14248</v>
      </c>
      <c r="W73" s="285" t="s">
        <v>14319</v>
      </c>
    </row>
    <row r="74" spans="1:23" s="19" customFormat="1" ht="76.5" customHeight="1" x14ac:dyDescent="0.2">
      <c r="A74" s="289">
        <v>68</v>
      </c>
      <c r="B74" s="285" t="s">
        <v>14320</v>
      </c>
      <c r="C74" s="285" t="s">
        <v>14321</v>
      </c>
      <c r="D74" s="254" t="s">
        <v>14322</v>
      </c>
      <c r="E74" s="361">
        <v>1965</v>
      </c>
      <c r="F74" s="9" t="s">
        <v>14323</v>
      </c>
      <c r="G74" s="361" t="s">
        <v>14273</v>
      </c>
      <c r="H74" s="558" t="s">
        <v>4296</v>
      </c>
      <c r="I74" s="285" t="s">
        <v>3793</v>
      </c>
      <c r="J74" s="285"/>
      <c r="K74" s="65" t="s">
        <v>3136</v>
      </c>
      <c r="L74" s="561" t="s">
        <v>13539</v>
      </c>
      <c r="M74" s="68" t="s">
        <v>13540</v>
      </c>
      <c r="N74" s="562">
        <v>296.25</v>
      </c>
      <c r="O74" s="24">
        <v>1</v>
      </c>
      <c r="P74" s="15">
        <v>42166</v>
      </c>
      <c r="Q74" s="62">
        <v>1</v>
      </c>
      <c r="R74" s="62">
        <v>1</v>
      </c>
      <c r="S74" s="40">
        <v>0</v>
      </c>
      <c r="T74" s="40">
        <v>189691</v>
      </c>
      <c r="U74" s="285" t="s">
        <v>14216</v>
      </c>
      <c r="V74" s="285" t="s">
        <v>14217</v>
      </c>
      <c r="W74" s="285" t="s">
        <v>14324</v>
      </c>
    </row>
    <row r="75" spans="1:23" s="19" customFormat="1" ht="76.5" customHeight="1" x14ac:dyDescent="0.2">
      <c r="A75" s="289">
        <v>69</v>
      </c>
      <c r="B75" s="285" t="s">
        <v>14325</v>
      </c>
      <c r="C75" s="285" t="s">
        <v>14326</v>
      </c>
      <c r="D75" s="254" t="s">
        <v>14327</v>
      </c>
      <c r="E75" s="361">
        <v>1965</v>
      </c>
      <c r="F75" s="9" t="s">
        <v>14328</v>
      </c>
      <c r="G75" s="361" t="s">
        <v>14273</v>
      </c>
      <c r="H75" s="558" t="s">
        <v>4296</v>
      </c>
      <c r="I75" s="285" t="s">
        <v>3793</v>
      </c>
      <c r="J75" s="285"/>
      <c r="K75" s="65" t="s">
        <v>3136</v>
      </c>
      <c r="L75" s="561" t="s">
        <v>13539</v>
      </c>
      <c r="M75" s="68" t="s">
        <v>13540</v>
      </c>
      <c r="N75" s="563">
        <v>65</v>
      </c>
      <c r="O75" s="24">
        <v>1</v>
      </c>
      <c r="P75" s="15">
        <v>42166</v>
      </c>
      <c r="Q75" s="62">
        <v>1</v>
      </c>
      <c r="R75" s="62">
        <v>1</v>
      </c>
      <c r="S75" s="40">
        <v>0</v>
      </c>
      <c r="T75" s="40">
        <v>156980</v>
      </c>
      <c r="U75" s="285" t="s">
        <v>14216</v>
      </c>
      <c r="V75" s="285" t="s">
        <v>14217</v>
      </c>
      <c r="W75" s="24" t="s">
        <v>14329</v>
      </c>
    </row>
    <row r="76" spans="1:23" s="19" customFormat="1" ht="76.5" customHeight="1" x14ac:dyDescent="0.2">
      <c r="A76" s="289">
        <v>70</v>
      </c>
      <c r="B76" s="285" t="s">
        <v>14330</v>
      </c>
      <c r="C76" s="285" t="s">
        <v>14331</v>
      </c>
      <c r="D76" s="254" t="s">
        <v>14332</v>
      </c>
      <c r="E76" s="361">
        <v>1965</v>
      </c>
      <c r="F76" s="9" t="s">
        <v>14333</v>
      </c>
      <c r="G76" s="361" t="s">
        <v>14273</v>
      </c>
      <c r="H76" s="558" t="s">
        <v>4296</v>
      </c>
      <c r="I76" s="285" t="s">
        <v>3793</v>
      </c>
      <c r="J76" s="285"/>
      <c r="K76" s="65" t="s">
        <v>3136</v>
      </c>
      <c r="L76" s="561" t="s">
        <v>13539</v>
      </c>
      <c r="M76" s="68" t="s">
        <v>13540</v>
      </c>
      <c r="N76" s="563">
        <v>382.05</v>
      </c>
      <c r="O76" s="24">
        <v>1</v>
      </c>
      <c r="P76" s="15">
        <v>42166</v>
      </c>
      <c r="Q76" s="62">
        <v>1</v>
      </c>
      <c r="R76" s="62">
        <v>1</v>
      </c>
      <c r="S76" s="40">
        <v>0</v>
      </c>
      <c r="T76" s="40">
        <v>652205</v>
      </c>
      <c r="U76" s="285" t="s">
        <v>14216</v>
      </c>
      <c r="V76" s="285" t="s">
        <v>14248</v>
      </c>
      <c r="W76" s="285" t="s">
        <v>14334</v>
      </c>
    </row>
    <row r="77" spans="1:23" s="19" customFormat="1" ht="76.5" customHeight="1" x14ac:dyDescent="0.2">
      <c r="A77" s="289">
        <v>71</v>
      </c>
      <c r="B77" s="285" t="s">
        <v>14335</v>
      </c>
      <c r="C77" s="285" t="s">
        <v>14336</v>
      </c>
      <c r="D77" s="254" t="s">
        <v>14337</v>
      </c>
      <c r="E77" s="361">
        <v>1965</v>
      </c>
      <c r="F77" s="9" t="s">
        <v>14338</v>
      </c>
      <c r="G77" s="361" t="s">
        <v>14273</v>
      </c>
      <c r="H77" s="558"/>
      <c r="I77" s="558" t="s">
        <v>2042</v>
      </c>
      <c r="J77" s="558" t="s">
        <v>2207</v>
      </c>
      <c r="K77" s="65" t="s">
        <v>3136</v>
      </c>
      <c r="L77" s="561" t="s">
        <v>13549</v>
      </c>
      <c r="M77" s="68" t="s">
        <v>13550</v>
      </c>
      <c r="N77" s="563">
        <v>382</v>
      </c>
      <c r="O77" s="24">
        <v>1</v>
      </c>
      <c r="P77" s="15">
        <v>42166</v>
      </c>
      <c r="Q77" s="62">
        <v>1</v>
      </c>
      <c r="R77" s="62">
        <v>0</v>
      </c>
      <c r="S77" s="62">
        <v>1</v>
      </c>
      <c r="T77" s="40">
        <v>15265</v>
      </c>
      <c r="U77" s="285" t="s">
        <v>14216</v>
      </c>
      <c r="V77" s="285" t="s">
        <v>14339</v>
      </c>
      <c r="W77" s="285" t="s">
        <v>14340</v>
      </c>
    </row>
    <row r="78" spans="1:23" s="19" customFormat="1" ht="74.25" customHeight="1" x14ac:dyDescent="0.2">
      <c r="A78" s="289">
        <v>72</v>
      </c>
      <c r="B78" s="285" t="s">
        <v>14341</v>
      </c>
      <c r="C78" s="285" t="s">
        <v>14342</v>
      </c>
      <c r="D78" s="254" t="s">
        <v>14343</v>
      </c>
      <c r="E78" s="361">
        <v>1965</v>
      </c>
      <c r="F78" s="9" t="s">
        <v>14344</v>
      </c>
      <c r="G78" s="361" t="s">
        <v>14273</v>
      </c>
      <c r="H78" s="558"/>
      <c r="I78" s="558" t="s">
        <v>2042</v>
      </c>
      <c r="J78" s="558" t="s">
        <v>2207</v>
      </c>
      <c r="K78" s="65" t="s">
        <v>3136</v>
      </c>
      <c r="L78" s="561" t="s">
        <v>13549</v>
      </c>
      <c r="M78" s="68" t="s">
        <v>13550</v>
      </c>
      <c r="N78" s="563">
        <v>382</v>
      </c>
      <c r="O78" s="24">
        <v>1</v>
      </c>
      <c r="P78" s="15">
        <v>42166</v>
      </c>
      <c r="Q78" s="62">
        <v>1</v>
      </c>
      <c r="R78" s="62">
        <v>0</v>
      </c>
      <c r="S78" s="62">
        <v>1</v>
      </c>
      <c r="T78" s="40">
        <v>15265</v>
      </c>
      <c r="U78" s="285" t="s">
        <v>14216</v>
      </c>
      <c r="V78" s="285" t="s">
        <v>14339</v>
      </c>
      <c r="W78" s="285" t="s">
        <v>14345</v>
      </c>
    </row>
    <row r="79" spans="1:23" s="19" customFormat="1" ht="74.25" customHeight="1" x14ac:dyDescent="0.2">
      <c r="A79" s="289">
        <v>73</v>
      </c>
      <c r="B79" s="285" t="s">
        <v>14346</v>
      </c>
      <c r="C79" s="285" t="s">
        <v>14347</v>
      </c>
      <c r="D79" s="255" t="s">
        <v>14348</v>
      </c>
      <c r="E79" s="12" t="s">
        <v>13546</v>
      </c>
      <c r="F79" s="254" t="s">
        <v>14349</v>
      </c>
      <c r="G79" s="361" t="s">
        <v>14273</v>
      </c>
      <c r="H79" s="558"/>
      <c r="I79" s="558" t="s">
        <v>2042</v>
      </c>
      <c r="J79" s="558" t="s">
        <v>2207</v>
      </c>
      <c r="K79" s="65" t="s">
        <v>3136</v>
      </c>
      <c r="L79" s="561" t="s">
        <v>13549</v>
      </c>
      <c r="M79" s="68" t="s">
        <v>13550</v>
      </c>
      <c r="N79" s="44">
        <v>382</v>
      </c>
      <c r="O79" s="24">
        <v>1</v>
      </c>
      <c r="P79" s="14">
        <v>42166</v>
      </c>
      <c r="Q79" s="62">
        <v>1</v>
      </c>
      <c r="R79" s="62">
        <v>0</v>
      </c>
      <c r="S79" s="62">
        <v>1</v>
      </c>
      <c r="T79" s="40">
        <v>15265</v>
      </c>
      <c r="U79" s="285" t="s">
        <v>14216</v>
      </c>
      <c r="V79" s="285" t="s">
        <v>14350</v>
      </c>
      <c r="W79" s="285" t="s">
        <v>14351</v>
      </c>
    </row>
    <row r="80" spans="1:23" s="19" customFormat="1" ht="74.25" customHeight="1" x14ac:dyDescent="0.2">
      <c r="A80" s="289">
        <v>74</v>
      </c>
      <c r="B80" s="285" t="s">
        <v>14352</v>
      </c>
      <c r="C80" s="285" t="s">
        <v>14353</v>
      </c>
      <c r="D80" s="255" t="s">
        <v>14354</v>
      </c>
      <c r="E80" s="12" t="s">
        <v>13546</v>
      </c>
      <c r="F80" s="254" t="s">
        <v>14355</v>
      </c>
      <c r="G80" s="361" t="s">
        <v>14273</v>
      </c>
      <c r="H80" s="558"/>
      <c r="I80" s="558" t="s">
        <v>2042</v>
      </c>
      <c r="J80" s="558" t="s">
        <v>2207</v>
      </c>
      <c r="K80" s="65" t="s">
        <v>3136</v>
      </c>
      <c r="L80" s="561" t="s">
        <v>13549</v>
      </c>
      <c r="M80" s="68" t="s">
        <v>13550</v>
      </c>
      <c r="N80" s="44">
        <v>382</v>
      </c>
      <c r="O80" s="24">
        <v>1</v>
      </c>
      <c r="P80" s="14">
        <v>42166</v>
      </c>
      <c r="Q80" s="62">
        <v>1</v>
      </c>
      <c r="R80" s="62">
        <v>0</v>
      </c>
      <c r="S80" s="62">
        <v>1</v>
      </c>
      <c r="T80" s="40">
        <v>15265</v>
      </c>
      <c r="U80" s="285" t="s">
        <v>14216</v>
      </c>
      <c r="V80" s="285" t="s">
        <v>14350</v>
      </c>
      <c r="W80" s="285" t="s">
        <v>14356</v>
      </c>
    </row>
    <row r="81" spans="1:23" s="19" customFormat="1" ht="74.25" customHeight="1" x14ac:dyDescent="0.2">
      <c r="A81" s="289">
        <v>75</v>
      </c>
      <c r="B81" s="285" t="s">
        <v>14357</v>
      </c>
      <c r="C81" s="285" t="s">
        <v>14358</v>
      </c>
      <c r="D81" s="255" t="s">
        <v>14359</v>
      </c>
      <c r="E81" s="12" t="s">
        <v>13546</v>
      </c>
      <c r="F81" s="254" t="s">
        <v>14360</v>
      </c>
      <c r="G81" s="361" t="s">
        <v>14273</v>
      </c>
      <c r="H81" s="558"/>
      <c r="I81" s="558" t="s">
        <v>2042</v>
      </c>
      <c r="J81" s="558" t="s">
        <v>2207</v>
      </c>
      <c r="K81" s="65" t="s">
        <v>3136</v>
      </c>
      <c r="L81" s="561" t="s">
        <v>13549</v>
      </c>
      <c r="M81" s="68" t="s">
        <v>13550</v>
      </c>
      <c r="N81" s="44">
        <v>2826</v>
      </c>
      <c r="O81" s="24">
        <v>1</v>
      </c>
      <c r="P81" s="14">
        <v>42166</v>
      </c>
      <c r="Q81" s="62">
        <v>1</v>
      </c>
      <c r="R81" s="62">
        <v>0</v>
      </c>
      <c r="S81" s="62">
        <v>1</v>
      </c>
      <c r="T81" s="40">
        <v>113110</v>
      </c>
      <c r="U81" s="285" t="s">
        <v>14216</v>
      </c>
      <c r="V81" s="285" t="s">
        <v>14350</v>
      </c>
      <c r="W81" s="285" t="s">
        <v>14361</v>
      </c>
    </row>
    <row r="82" spans="1:23" s="19" customFormat="1" ht="74.25" customHeight="1" x14ac:dyDescent="0.2">
      <c r="A82" s="289">
        <v>76</v>
      </c>
      <c r="B82" s="285" t="s">
        <v>14362</v>
      </c>
      <c r="C82" s="285" t="s">
        <v>14363</v>
      </c>
      <c r="D82" s="254" t="s">
        <v>14364</v>
      </c>
      <c r="E82" s="361">
        <v>1965</v>
      </c>
      <c r="F82" s="9" t="s">
        <v>14365</v>
      </c>
      <c r="G82" s="361" t="s">
        <v>14273</v>
      </c>
      <c r="H82" s="558"/>
      <c r="I82" s="558" t="s">
        <v>2042</v>
      </c>
      <c r="J82" s="558" t="s">
        <v>2207</v>
      </c>
      <c r="K82" s="65" t="s">
        <v>3136</v>
      </c>
      <c r="L82" s="561" t="s">
        <v>13549</v>
      </c>
      <c r="M82" s="68" t="s">
        <v>13550</v>
      </c>
      <c r="N82" s="44">
        <v>170</v>
      </c>
      <c r="O82" s="24">
        <v>1</v>
      </c>
      <c r="P82" s="14">
        <v>42166</v>
      </c>
      <c r="Q82" s="62">
        <v>1</v>
      </c>
      <c r="R82" s="62">
        <v>0</v>
      </c>
      <c r="S82" s="62">
        <v>1</v>
      </c>
      <c r="T82" s="40">
        <v>182375</v>
      </c>
      <c r="U82" s="285" t="s">
        <v>14216</v>
      </c>
      <c r="V82" s="285" t="s">
        <v>14350</v>
      </c>
      <c r="W82" s="285" t="s">
        <v>14366</v>
      </c>
    </row>
    <row r="83" spans="1:23" s="19" customFormat="1" ht="74.25" customHeight="1" x14ac:dyDescent="0.2">
      <c r="A83" s="289">
        <v>77</v>
      </c>
      <c r="B83" s="285" t="s">
        <v>14367</v>
      </c>
      <c r="C83" s="285" t="s">
        <v>14368</v>
      </c>
      <c r="D83" s="254" t="s">
        <v>14369</v>
      </c>
      <c r="E83" s="361">
        <v>1965</v>
      </c>
      <c r="F83" s="9" t="s">
        <v>14370</v>
      </c>
      <c r="G83" s="361" t="s">
        <v>14273</v>
      </c>
      <c r="H83" s="558"/>
      <c r="I83" s="558" t="s">
        <v>2042</v>
      </c>
      <c r="J83" s="558" t="s">
        <v>2207</v>
      </c>
      <c r="K83" s="65" t="s">
        <v>3136</v>
      </c>
      <c r="L83" s="561" t="s">
        <v>13549</v>
      </c>
      <c r="M83" s="68" t="s">
        <v>13550</v>
      </c>
      <c r="N83" s="44">
        <v>170</v>
      </c>
      <c r="O83" s="24">
        <v>1</v>
      </c>
      <c r="P83" s="14">
        <v>42166</v>
      </c>
      <c r="Q83" s="62">
        <v>1</v>
      </c>
      <c r="R83" s="62">
        <v>0</v>
      </c>
      <c r="S83" s="62">
        <v>1</v>
      </c>
      <c r="T83" s="40">
        <v>182375</v>
      </c>
      <c r="U83" s="285" t="s">
        <v>14216</v>
      </c>
      <c r="V83" s="285" t="s">
        <v>14350</v>
      </c>
      <c r="W83" s="285" t="s">
        <v>14371</v>
      </c>
    </row>
    <row r="84" spans="1:23" s="19" customFormat="1" ht="76.5" customHeight="1" x14ac:dyDescent="0.2">
      <c r="A84" s="289">
        <v>78</v>
      </c>
      <c r="B84" s="285" t="s">
        <v>14372</v>
      </c>
      <c r="C84" s="285" t="s">
        <v>14373</v>
      </c>
      <c r="D84" s="254" t="s">
        <v>14374</v>
      </c>
      <c r="E84" s="361">
        <v>1965</v>
      </c>
      <c r="F84" s="9" t="s">
        <v>14375</v>
      </c>
      <c r="G84" s="361" t="s">
        <v>14273</v>
      </c>
      <c r="H84" s="558"/>
      <c r="I84" s="558" t="s">
        <v>2042</v>
      </c>
      <c r="J84" s="558" t="s">
        <v>2207</v>
      </c>
      <c r="K84" s="65" t="s">
        <v>3136</v>
      </c>
      <c r="L84" s="561" t="s">
        <v>13549</v>
      </c>
      <c r="M84" s="68" t="s">
        <v>13550</v>
      </c>
      <c r="N84" s="44">
        <v>53</v>
      </c>
      <c r="O84" s="24">
        <v>1</v>
      </c>
      <c r="P84" s="14">
        <v>42166</v>
      </c>
      <c r="Q84" s="62">
        <v>1</v>
      </c>
      <c r="R84" s="62">
        <v>0</v>
      </c>
      <c r="S84" s="62">
        <v>1</v>
      </c>
      <c r="T84" s="40">
        <v>56691</v>
      </c>
      <c r="U84" s="285" t="s">
        <v>14216</v>
      </c>
      <c r="V84" s="285" t="s">
        <v>14350</v>
      </c>
      <c r="W84" s="285" t="s">
        <v>14376</v>
      </c>
    </row>
    <row r="85" spans="1:23" s="19" customFormat="1" ht="76.5" customHeight="1" x14ac:dyDescent="0.2">
      <c r="A85" s="289">
        <v>79</v>
      </c>
      <c r="B85" s="285" t="s">
        <v>14377</v>
      </c>
      <c r="C85" s="285" t="s">
        <v>14378</v>
      </c>
      <c r="D85" s="254" t="s">
        <v>14379</v>
      </c>
      <c r="E85" s="361">
        <v>1975</v>
      </c>
      <c r="F85" s="9" t="s">
        <v>14380</v>
      </c>
      <c r="G85" s="285" t="s">
        <v>14381</v>
      </c>
      <c r="H85" s="558" t="s">
        <v>4296</v>
      </c>
      <c r="I85" s="285" t="s">
        <v>3793</v>
      </c>
      <c r="J85" s="285"/>
      <c r="K85" s="65" t="s">
        <v>3136</v>
      </c>
      <c r="L85" s="561" t="s">
        <v>13539</v>
      </c>
      <c r="M85" s="68" t="s">
        <v>13540</v>
      </c>
      <c r="N85" s="44">
        <v>750</v>
      </c>
      <c r="O85" s="24">
        <v>1</v>
      </c>
      <c r="P85" s="14">
        <v>42166</v>
      </c>
      <c r="Q85" s="62">
        <v>1</v>
      </c>
      <c r="R85" s="62">
        <v>1</v>
      </c>
      <c r="S85" s="40">
        <v>0</v>
      </c>
      <c r="T85" s="40">
        <v>4500944</v>
      </c>
      <c r="U85" s="285" t="s">
        <v>14216</v>
      </c>
      <c r="V85" s="285" t="s">
        <v>14248</v>
      </c>
      <c r="W85" s="285" t="s">
        <v>14382</v>
      </c>
    </row>
    <row r="86" spans="1:23" s="19" customFormat="1" ht="76.5" customHeight="1" x14ac:dyDescent="0.2">
      <c r="A86" s="289">
        <v>80</v>
      </c>
      <c r="B86" s="285" t="s">
        <v>14383</v>
      </c>
      <c r="C86" s="285" t="s">
        <v>14384</v>
      </c>
      <c r="D86" s="254" t="s">
        <v>14385</v>
      </c>
      <c r="E86" s="361">
        <v>1975</v>
      </c>
      <c r="F86" s="9" t="s">
        <v>14386</v>
      </c>
      <c r="G86" s="285" t="s">
        <v>14387</v>
      </c>
      <c r="H86" s="558" t="s">
        <v>4296</v>
      </c>
      <c r="I86" s="285" t="s">
        <v>3793</v>
      </c>
      <c r="J86" s="285"/>
      <c r="K86" s="65" t="s">
        <v>3136</v>
      </c>
      <c r="L86" s="561" t="s">
        <v>13539</v>
      </c>
      <c r="M86" s="68" t="s">
        <v>13540</v>
      </c>
      <c r="N86" s="44">
        <v>750</v>
      </c>
      <c r="O86" s="24">
        <v>1</v>
      </c>
      <c r="P86" s="14">
        <v>42166</v>
      </c>
      <c r="Q86" s="62">
        <v>1</v>
      </c>
      <c r="R86" s="62">
        <v>1</v>
      </c>
      <c r="S86" s="40">
        <v>0</v>
      </c>
      <c r="T86" s="40">
        <v>6001258</v>
      </c>
      <c r="U86" s="285" t="s">
        <v>14216</v>
      </c>
      <c r="V86" s="285" t="s">
        <v>14248</v>
      </c>
      <c r="W86" s="285" t="s">
        <v>14388</v>
      </c>
    </row>
    <row r="87" spans="1:23" s="19" customFormat="1" ht="76.5" customHeight="1" x14ac:dyDescent="0.2">
      <c r="A87" s="289">
        <v>81</v>
      </c>
      <c r="B87" s="285" t="s">
        <v>14389</v>
      </c>
      <c r="C87" s="285" t="s">
        <v>14390</v>
      </c>
      <c r="D87" s="254" t="s">
        <v>14391</v>
      </c>
      <c r="E87" s="361">
        <v>1975</v>
      </c>
      <c r="F87" s="9" t="s">
        <v>14392</v>
      </c>
      <c r="G87" s="285" t="s">
        <v>14393</v>
      </c>
      <c r="H87" s="558" t="s">
        <v>4296</v>
      </c>
      <c r="I87" s="285" t="s">
        <v>3793</v>
      </c>
      <c r="J87" s="285"/>
      <c r="K87" s="65" t="s">
        <v>3136</v>
      </c>
      <c r="L87" s="561" t="s">
        <v>13539</v>
      </c>
      <c r="M87" s="68" t="s">
        <v>13540</v>
      </c>
      <c r="N87" s="44">
        <v>300</v>
      </c>
      <c r="O87" s="24">
        <v>1</v>
      </c>
      <c r="P87" s="14">
        <v>42166</v>
      </c>
      <c r="Q87" s="62">
        <v>1</v>
      </c>
      <c r="R87" s="62">
        <v>1</v>
      </c>
      <c r="S87" s="40">
        <v>0</v>
      </c>
      <c r="T87" s="40">
        <v>2280278</v>
      </c>
      <c r="U87" s="285" t="s">
        <v>14216</v>
      </c>
      <c r="V87" s="285" t="s">
        <v>14248</v>
      </c>
      <c r="W87" s="285" t="s">
        <v>14394</v>
      </c>
    </row>
    <row r="88" spans="1:23" s="19" customFormat="1" ht="66.75" customHeight="1" x14ac:dyDescent="0.2">
      <c r="A88" s="289">
        <v>82</v>
      </c>
      <c r="B88" s="285" t="s">
        <v>14395</v>
      </c>
      <c r="C88" s="285" t="s">
        <v>14396</v>
      </c>
      <c r="D88" s="254" t="s">
        <v>14397</v>
      </c>
      <c r="E88" s="361">
        <v>1965</v>
      </c>
      <c r="F88" s="9" t="s">
        <v>14398</v>
      </c>
      <c r="G88" s="285" t="s">
        <v>14273</v>
      </c>
      <c r="H88" s="558" t="s">
        <v>4296</v>
      </c>
      <c r="I88" s="285" t="s">
        <v>3793</v>
      </c>
      <c r="J88" s="285"/>
      <c r="K88" s="65" t="s">
        <v>3136</v>
      </c>
      <c r="L88" s="561" t="s">
        <v>13539</v>
      </c>
      <c r="M88" s="68" t="s">
        <v>13540</v>
      </c>
      <c r="N88" s="16">
        <v>292.8</v>
      </c>
      <c r="O88" s="24">
        <v>1</v>
      </c>
      <c r="P88" s="14">
        <v>42166</v>
      </c>
      <c r="Q88" s="62">
        <v>1</v>
      </c>
      <c r="R88" s="62">
        <v>1</v>
      </c>
      <c r="S88" s="40">
        <v>0</v>
      </c>
      <c r="T88" s="40">
        <v>945121</v>
      </c>
      <c r="U88" s="285" t="s">
        <v>1595</v>
      </c>
      <c r="V88" s="285" t="s">
        <v>14248</v>
      </c>
      <c r="W88" s="285" t="s">
        <v>14399</v>
      </c>
    </row>
    <row r="89" spans="1:23" s="19" customFormat="1" ht="64.5" customHeight="1" x14ac:dyDescent="0.2">
      <c r="A89" s="289">
        <v>83</v>
      </c>
      <c r="B89" s="285" t="s">
        <v>14400</v>
      </c>
      <c r="C89" s="285" t="s">
        <v>14401</v>
      </c>
      <c r="D89" s="254" t="s">
        <v>14402</v>
      </c>
      <c r="E89" s="361">
        <v>1971</v>
      </c>
      <c r="F89" s="9" t="s">
        <v>14403</v>
      </c>
      <c r="G89" s="285" t="s">
        <v>14273</v>
      </c>
      <c r="H89" s="558" t="s">
        <v>4296</v>
      </c>
      <c r="I89" s="285" t="s">
        <v>3793</v>
      </c>
      <c r="J89" s="285"/>
      <c r="K89" s="65" t="s">
        <v>3136</v>
      </c>
      <c r="L89" s="561" t="s">
        <v>13539</v>
      </c>
      <c r="M89" s="68" t="s">
        <v>13540</v>
      </c>
      <c r="N89" s="16">
        <v>5086</v>
      </c>
      <c r="O89" s="24">
        <v>1</v>
      </c>
      <c r="P89" s="14">
        <v>42166</v>
      </c>
      <c r="Q89" s="62">
        <v>1</v>
      </c>
      <c r="R89" s="62">
        <v>1</v>
      </c>
      <c r="S89" s="40">
        <v>0</v>
      </c>
      <c r="T89" s="40">
        <v>84203452</v>
      </c>
      <c r="U89" s="285" t="s">
        <v>1595</v>
      </c>
      <c r="V89" s="285" t="s">
        <v>1596</v>
      </c>
      <c r="W89" s="289" t="s">
        <v>1597</v>
      </c>
    </row>
    <row r="90" spans="1:23" s="19" customFormat="1" ht="78.75" customHeight="1" x14ac:dyDescent="0.2">
      <c r="A90" s="289">
        <v>84</v>
      </c>
      <c r="B90" s="285" t="s">
        <v>14404</v>
      </c>
      <c r="C90" s="285" t="s">
        <v>14405</v>
      </c>
      <c r="D90" s="254" t="s">
        <v>14406</v>
      </c>
      <c r="E90" s="361">
        <v>1966</v>
      </c>
      <c r="F90" s="9" t="s">
        <v>14407</v>
      </c>
      <c r="G90" s="285" t="s">
        <v>14273</v>
      </c>
      <c r="H90" s="558" t="s">
        <v>4296</v>
      </c>
      <c r="I90" s="285" t="s">
        <v>3793</v>
      </c>
      <c r="J90" s="285"/>
      <c r="K90" s="65" t="s">
        <v>3136</v>
      </c>
      <c r="L90" s="561" t="s">
        <v>13539</v>
      </c>
      <c r="M90" s="68" t="s">
        <v>13540</v>
      </c>
      <c r="N90" s="16">
        <v>1000</v>
      </c>
      <c r="O90" s="24">
        <v>1</v>
      </c>
      <c r="P90" s="14">
        <v>42166</v>
      </c>
      <c r="Q90" s="62">
        <v>1</v>
      </c>
      <c r="R90" s="62">
        <v>1</v>
      </c>
      <c r="S90" s="40">
        <v>0</v>
      </c>
      <c r="T90" s="40">
        <v>723257</v>
      </c>
      <c r="U90" s="285" t="s">
        <v>14216</v>
      </c>
      <c r="V90" s="285" t="s">
        <v>14248</v>
      </c>
      <c r="W90" s="285" t="s">
        <v>14408</v>
      </c>
    </row>
    <row r="91" spans="1:23" s="19" customFormat="1" ht="78.75" customHeight="1" x14ac:dyDescent="0.2">
      <c r="A91" s="289">
        <v>85</v>
      </c>
      <c r="B91" s="285" t="s">
        <v>14409</v>
      </c>
      <c r="C91" s="285" t="s">
        <v>14410</v>
      </c>
      <c r="D91" s="254" t="s">
        <v>14411</v>
      </c>
      <c r="E91" s="361">
        <v>1975</v>
      </c>
      <c r="F91" s="9" t="s">
        <v>14412</v>
      </c>
      <c r="G91" s="285" t="s">
        <v>14413</v>
      </c>
      <c r="H91" s="558" t="s">
        <v>4296</v>
      </c>
      <c r="I91" s="285" t="s">
        <v>3793</v>
      </c>
      <c r="J91" s="285"/>
      <c r="K91" s="65" t="s">
        <v>3136</v>
      </c>
      <c r="L91" s="561" t="s">
        <v>13539</v>
      </c>
      <c r="M91" s="68" t="s">
        <v>13540</v>
      </c>
      <c r="N91" s="16">
        <v>300</v>
      </c>
      <c r="O91" s="24">
        <v>1</v>
      </c>
      <c r="P91" s="14">
        <v>42166</v>
      </c>
      <c r="Q91" s="62">
        <v>1</v>
      </c>
      <c r="R91" s="62">
        <v>1</v>
      </c>
      <c r="S91" s="40">
        <v>0</v>
      </c>
      <c r="T91" s="40">
        <v>1710209</v>
      </c>
      <c r="U91" s="285" t="s">
        <v>14216</v>
      </c>
      <c r="V91" s="285" t="s">
        <v>14248</v>
      </c>
      <c r="W91" s="285" t="s">
        <v>14414</v>
      </c>
    </row>
    <row r="92" spans="1:23" s="19" customFormat="1" ht="78.75" customHeight="1" x14ac:dyDescent="0.2">
      <c r="A92" s="289">
        <v>86</v>
      </c>
      <c r="B92" s="285" t="s">
        <v>14415</v>
      </c>
      <c r="C92" s="285" t="s">
        <v>14416</v>
      </c>
      <c r="D92" s="254" t="s">
        <v>14417</v>
      </c>
      <c r="E92" s="361">
        <v>1975</v>
      </c>
      <c r="F92" s="9" t="s">
        <v>14418</v>
      </c>
      <c r="G92" s="285" t="s">
        <v>14419</v>
      </c>
      <c r="H92" s="558" t="s">
        <v>4296</v>
      </c>
      <c r="I92" s="285" t="s">
        <v>3793</v>
      </c>
      <c r="J92" s="285"/>
      <c r="K92" s="65" t="s">
        <v>3136</v>
      </c>
      <c r="L92" s="561" t="s">
        <v>13539</v>
      </c>
      <c r="M92" s="68" t="s">
        <v>13540</v>
      </c>
      <c r="N92" s="16">
        <v>700</v>
      </c>
      <c r="O92" s="24">
        <v>1</v>
      </c>
      <c r="P92" s="14">
        <v>42166</v>
      </c>
      <c r="Q92" s="62">
        <v>1</v>
      </c>
      <c r="R92" s="62">
        <v>1</v>
      </c>
      <c r="S92" s="40">
        <v>0</v>
      </c>
      <c r="T92" s="40">
        <v>5598585</v>
      </c>
      <c r="U92" s="285" t="s">
        <v>14216</v>
      </c>
      <c r="V92" s="285" t="s">
        <v>14248</v>
      </c>
      <c r="W92" s="285" t="s">
        <v>14420</v>
      </c>
    </row>
    <row r="93" spans="1:23" s="19" customFormat="1" ht="75" customHeight="1" x14ac:dyDescent="0.2">
      <c r="A93" s="289">
        <v>87</v>
      </c>
      <c r="B93" s="285" t="s">
        <v>14421</v>
      </c>
      <c r="C93" s="285" t="s">
        <v>14422</v>
      </c>
      <c r="D93" s="254" t="s">
        <v>14423</v>
      </c>
      <c r="E93" s="361">
        <v>1975</v>
      </c>
      <c r="F93" s="9" t="s">
        <v>14424</v>
      </c>
      <c r="G93" s="285" t="s">
        <v>14425</v>
      </c>
      <c r="H93" s="558" t="s">
        <v>4296</v>
      </c>
      <c r="I93" s="285" t="s">
        <v>3793</v>
      </c>
      <c r="J93" s="285"/>
      <c r="K93" s="65" t="s">
        <v>3136</v>
      </c>
      <c r="L93" s="561" t="s">
        <v>13539</v>
      </c>
      <c r="M93" s="68" t="s">
        <v>13540</v>
      </c>
      <c r="N93" s="16">
        <v>700</v>
      </c>
      <c r="O93" s="24">
        <v>1</v>
      </c>
      <c r="P93" s="14">
        <v>42166</v>
      </c>
      <c r="Q93" s="62">
        <v>1</v>
      </c>
      <c r="R93" s="62">
        <v>1</v>
      </c>
      <c r="S93" s="40">
        <v>0</v>
      </c>
      <c r="T93" s="40">
        <v>4198939</v>
      </c>
      <c r="U93" s="285" t="s">
        <v>14216</v>
      </c>
      <c r="V93" s="285" t="s">
        <v>14248</v>
      </c>
      <c r="W93" s="285" t="s">
        <v>14426</v>
      </c>
    </row>
    <row r="94" spans="1:23" s="19" customFormat="1" ht="75" customHeight="1" x14ac:dyDescent="0.2">
      <c r="A94" s="289">
        <v>88</v>
      </c>
      <c r="B94" s="285" t="s">
        <v>14427</v>
      </c>
      <c r="C94" s="285" t="s">
        <v>14428</v>
      </c>
      <c r="D94" s="254" t="s">
        <v>14429</v>
      </c>
      <c r="E94" s="361">
        <v>1975</v>
      </c>
      <c r="F94" s="9" t="s">
        <v>14430</v>
      </c>
      <c r="G94" s="285" t="s">
        <v>14431</v>
      </c>
      <c r="H94" s="558" t="s">
        <v>4296</v>
      </c>
      <c r="I94" s="285" t="s">
        <v>3793</v>
      </c>
      <c r="J94" s="285"/>
      <c r="K94" s="65" t="s">
        <v>3136</v>
      </c>
      <c r="L94" s="561" t="s">
        <v>13539</v>
      </c>
      <c r="M94" s="68" t="s">
        <v>13540</v>
      </c>
      <c r="N94" s="16">
        <v>300</v>
      </c>
      <c r="O94" s="24">
        <v>1</v>
      </c>
      <c r="P94" s="14">
        <v>42166</v>
      </c>
      <c r="Q94" s="62">
        <v>1</v>
      </c>
      <c r="R94" s="62">
        <v>1</v>
      </c>
      <c r="S94" s="40">
        <v>0</v>
      </c>
      <c r="T94" s="40">
        <v>2280278</v>
      </c>
      <c r="U94" s="285" t="s">
        <v>14216</v>
      </c>
      <c r="V94" s="285" t="s">
        <v>14248</v>
      </c>
      <c r="W94" s="285" t="s">
        <v>14432</v>
      </c>
    </row>
    <row r="95" spans="1:23" s="19" customFormat="1" ht="75" customHeight="1" x14ac:dyDescent="0.2">
      <c r="A95" s="289">
        <v>89</v>
      </c>
      <c r="B95" s="285" t="s">
        <v>14433</v>
      </c>
      <c r="C95" s="285" t="s">
        <v>14434</v>
      </c>
      <c r="D95" s="254" t="s">
        <v>14435</v>
      </c>
      <c r="E95" s="361">
        <v>1975</v>
      </c>
      <c r="F95" s="9" t="s">
        <v>14436</v>
      </c>
      <c r="G95" s="285" t="s">
        <v>14437</v>
      </c>
      <c r="H95" s="558" t="s">
        <v>4296</v>
      </c>
      <c r="I95" s="285" t="s">
        <v>3793</v>
      </c>
      <c r="J95" s="285"/>
      <c r="K95" s="65" t="s">
        <v>3136</v>
      </c>
      <c r="L95" s="561" t="s">
        <v>13539</v>
      </c>
      <c r="M95" s="68" t="s">
        <v>13540</v>
      </c>
      <c r="N95" s="16">
        <v>300</v>
      </c>
      <c r="O95" s="24">
        <v>1</v>
      </c>
      <c r="P95" s="14">
        <v>42166</v>
      </c>
      <c r="Q95" s="62">
        <v>1</v>
      </c>
      <c r="R95" s="62">
        <v>1</v>
      </c>
      <c r="S95" s="40">
        <v>0</v>
      </c>
      <c r="T95" s="40">
        <v>1710209</v>
      </c>
      <c r="U95" s="285" t="s">
        <v>14216</v>
      </c>
      <c r="V95" s="285" t="s">
        <v>14248</v>
      </c>
      <c r="W95" s="285" t="s">
        <v>14438</v>
      </c>
    </row>
    <row r="96" spans="1:23" s="19" customFormat="1" ht="75" customHeight="1" x14ac:dyDescent="0.2">
      <c r="A96" s="289">
        <v>90</v>
      </c>
      <c r="B96" s="285" t="s">
        <v>14439</v>
      </c>
      <c r="C96" s="285" t="s">
        <v>14440</v>
      </c>
      <c r="D96" s="254" t="s">
        <v>14441</v>
      </c>
      <c r="E96" s="361">
        <v>1965</v>
      </c>
      <c r="F96" s="9" t="s">
        <v>14442</v>
      </c>
      <c r="G96" s="285" t="s">
        <v>14273</v>
      </c>
      <c r="H96" s="558" t="s">
        <v>4296</v>
      </c>
      <c r="I96" s="285" t="s">
        <v>3793</v>
      </c>
      <c r="J96" s="285"/>
      <c r="K96" s="65" t="s">
        <v>3136</v>
      </c>
      <c r="L96" s="561" t="s">
        <v>13539</v>
      </c>
      <c r="M96" s="68" t="s">
        <v>13540</v>
      </c>
      <c r="N96" s="16">
        <v>800</v>
      </c>
      <c r="O96" s="24">
        <v>1</v>
      </c>
      <c r="P96" s="14">
        <v>42166</v>
      </c>
      <c r="Q96" s="62">
        <v>1</v>
      </c>
      <c r="R96" s="62">
        <v>1</v>
      </c>
      <c r="S96" s="40">
        <v>0</v>
      </c>
      <c r="T96" s="40">
        <v>3853791</v>
      </c>
      <c r="U96" s="285" t="s">
        <v>14216</v>
      </c>
      <c r="V96" s="285" t="s">
        <v>14248</v>
      </c>
      <c r="W96" s="285" t="s">
        <v>14443</v>
      </c>
    </row>
    <row r="97" spans="1:23" s="19" customFormat="1" ht="75" customHeight="1" x14ac:dyDescent="0.2">
      <c r="A97" s="289">
        <v>91</v>
      </c>
      <c r="B97" s="285" t="s">
        <v>14444</v>
      </c>
      <c r="C97" s="285" t="s">
        <v>14445</v>
      </c>
      <c r="D97" s="254" t="s">
        <v>14446</v>
      </c>
      <c r="E97" s="361">
        <v>1965</v>
      </c>
      <c r="F97" s="9" t="s">
        <v>14447</v>
      </c>
      <c r="G97" s="285" t="s">
        <v>14273</v>
      </c>
      <c r="H97" s="558" t="s">
        <v>4296</v>
      </c>
      <c r="I97" s="285" t="s">
        <v>3793</v>
      </c>
      <c r="J97" s="285"/>
      <c r="K97" s="65" t="s">
        <v>3136</v>
      </c>
      <c r="L97" s="561" t="s">
        <v>13539</v>
      </c>
      <c r="M97" s="68" t="s">
        <v>13540</v>
      </c>
      <c r="N97" s="16">
        <v>55</v>
      </c>
      <c r="O97" s="24">
        <v>1</v>
      </c>
      <c r="P97" s="14">
        <v>42166</v>
      </c>
      <c r="Q97" s="62">
        <v>1</v>
      </c>
      <c r="R97" s="62">
        <v>1</v>
      </c>
      <c r="S97" s="40">
        <v>0</v>
      </c>
      <c r="T97" s="40">
        <v>262791</v>
      </c>
      <c r="U97" s="285" t="s">
        <v>14216</v>
      </c>
      <c r="V97" s="285" t="s">
        <v>14248</v>
      </c>
      <c r="W97" s="285" t="s">
        <v>14448</v>
      </c>
    </row>
    <row r="98" spans="1:23" s="19" customFormat="1" ht="75" customHeight="1" x14ac:dyDescent="0.2">
      <c r="A98" s="289">
        <v>92</v>
      </c>
      <c r="B98" s="285" t="s">
        <v>14449</v>
      </c>
      <c r="C98" s="285" t="s">
        <v>14450</v>
      </c>
      <c r="D98" s="254" t="s">
        <v>14451</v>
      </c>
      <c r="E98" s="361">
        <v>1975</v>
      </c>
      <c r="F98" s="9" t="s">
        <v>14452</v>
      </c>
      <c r="G98" s="285" t="s">
        <v>14453</v>
      </c>
      <c r="H98" s="558" t="s">
        <v>4296</v>
      </c>
      <c r="I98" s="285" t="s">
        <v>3793</v>
      </c>
      <c r="J98" s="285"/>
      <c r="K98" s="65" t="s">
        <v>3136</v>
      </c>
      <c r="L98" s="561" t="s">
        <v>13539</v>
      </c>
      <c r="M98" s="68" t="s">
        <v>13540</v>
      </c>
      <c r="N98" s="16">
        <v>700</v>
      </c>
      <c r="O98" s="24">
        <v>1</v>
      </c>
      <c r="P98" s="14">
        <v>42166</v>
      </c>
      <c r="Q98" s="62">
        <v>1</v>
      </c>
      <c r="R98" s="62">
        <v>1</v>
      </c>
      <c r="S98" s="40">
        <v>0</v>
      </c>
      <c r="T98" s="40">
        <v>4198939</v>
      </c>
      <c r="U98" s="285" t="s">
        <v>14216</v>
      </c>
      <c r="V98" s="285" t="s">
        <v>14248</v>
      </c>
      <c r="W98" s="285" t="s">
        <v>14454</v>
      </c>
    </row>
    <row r="99" spans="1:23" s="19" customFormat="1" ht="81.75" customHeight="1" x14ac:dyDescent="0.2">
      <c r="A99" s="289">
        <v>93</v>
      </c>
      <c r="B99" s="285" t="s">
        <v>14455</v>
      </c>
      <c r="C99" s="285" t="s">
        <v>14456</v>
      </c>
      <c r="D99" s="255" t="s">
        <v>14457</v>
      </c>
      <c r="E99" s="12" t="s">
        <v>13546</v>
      </c>
      <c r="F99" s="254" t="s">
        <v>14458</v>
      </c>
      <c r="G99" s="361" t="s">
        <v>14273</v>
      </c>
      <c r="H99" s="558"/>
      <c r="I99" s="558" t="s">
        <v>2042</v>
      </c>
      <c r="J99" s="285" t="s">
        <v>2207</v>
      </c>
      <c r="K99" s="65" t="s">
        <v>3136</v>
      </c>
      <c r="L99" s="561" t="s">
        <v>13593</v>
      </c>
      <c r="M99" s="68" t="s">
        <v>13594</v>
      </c>
      <c r="N99" s="16">
        <v>251</v>
      </c>
      <c r="O99" s="24">
        <v>1</v>
      </c>
      <c r="P99" s="14">
        <v>42166</v>
      </c>
      <c r="Q99" s="62">
        <v>1</v>
      </c>
      <c r="R99" s="62">
        <v>0</v>
      </c>
      <c r="S99" s="62">
        <v>1</v>
      </c>
      <c r="T99" s="40">
        <v>431825</v>
      </c>
      <c r="U99" s="285" t="s">
        <v>14216</v>
      </c>
      <c r="V99" s="285" t="s">
        <v>14339</v>
      </c>
      <c r="W99" s="285" t="s">
        <v>14459</v>
      </c>
    </row>
    <row r="100" spans="1:23" s="19" customFormat="1" ht="28.5" customHeight="1" x14ac:dyDescent="0.2">
      <c r="A100" s="289">
        <v>94</v>
      </c>
      <c r="B100" s="289" t="s">
        <v>14460</v>
      </c>
      <c r="C100" s="285"/>
      <c r="D100" s="9" t="s">
        <v>14461</v>
      </c>
      <c r="E100" s="14"/>
      <c r="F100" s="285" t="s">
        <v>14462</v>
      </c>
      <c r="G100" s="285" t="s">
        <v>14463</v>
      </c>
      <c r="H100" s="285" t="s">
        <v>4946</v>
      </c>
      <c r="I100" s="285" t="s">
        <v>5127</v>
      </c>
      <c r="J100" s="285"/>
      <c r="K100" s="289" t="s">
        <v>3136</v>
      </c>
      <c r="L100" s="15">
        <v>42243</v>
      </c>
      <c r="M100" s="289">
        <v>725</v>
      </c>
      <c r="N100" s="15"/>
      <c r="O100" s="24">
        <v>1</v>
      </c>
      <c r="P100" s="15">
        <v>41214</v>
      </c>
      <c r="Q100" s="17">
        <v>29758.87</v>
      </c>
      <c r="R100" s="17">
        <v>29758.87</v>
      </c>
      <c r="S100" s="17">
        <f>Q100-R100</f>
        <v>0</v>
      </c>
      <c r="T100" s="18"/>
      <c r="U100" s="285" t="s">
        <v>5071</v>
      </c>
      <c r="V100" s="15">
        <v>40477</v>
      </c>
      <c r="W100" s="289">
        <v>109</v>
      </c>
    </row>
    <row r="101" spans="1:23" s="19" customFormat="1" ht="36" customHeight="1" x14ac:dyDescent="0.2">
      <c r="A101" s="289">
        <v>95</v>
      </c>
      <c r="B101" s="289" t="s">
        <v>14464</v>
      </c>
      <c r="C101" s="285"/>
      <c r="D101" s="9" t="s">
        <v>14062</v>
      </c>
      <c r="E101" s="14">
        <v>1983</v>
      </c>
      <c r="F101" s="13"/>
      <c r="G101" s="285" t="s">
        <v>14465</v>
      </c>
      <c r="H101" s="285" t="s">
        <v>7977</v>
      </c>
      <c r="I101" s="285" t="s">
        <v>5127</v>
      </c>
      <c r="J101" s="285"/>
      <c r="K101" s="289" t="s">
        <v>3136</v>
      </c>
      <c r="L101" s="15">
        <v>42424</v>
      </c>
      <c r="M101" s="289">
        <v>186</v>
      </c>
      <c r="N101" s="289"/>
      <c r="O101" s="24">
        <v>8</v>
      </c>
      <c r="P101" s="15">
        <v>42313</v>
      </c>
      <c r="Q101" s="17">
        <v>8</v>
      </c>
      <c r="R101" s="17">
        <v>8</v>
      </c>
      <c r="S101" s="17">
        <f>Q101-R101</f>
        <v>0</v>
      </c>
      <c r="T101" s="18"/>
      <c r="U101" s="285" t="s">
        <v>2278</v>
      </c>
      <c r="V101" s="15">
        <v>42313</v>
      </c>
      <c r="W101" s="289" t="s">
        <v>1029</v>
      </c>
    </row>
    <row r="102" spans="1:23" s="19" customFormat="1" ht="150" customHeight="1" x14ac:dyDescent="0.2">
      <c r="A102" s="289">
        <v>96</v>
      </c>
      <c r="B102" s="289" t="s">
        <v>14466</v>
      </c>
      <c r="C102" s="285" t="s">
        <v>14467</v>
      </c>
      <c r="D102" s="9" t="s">
        <v>14468</v>
      </c>
      <c r="E102" s="14">
        <v>34040</v>
      </c>
      <c r="F102" s="13" t="s">
        <v>14469</v>
      </c>
      <c r="G102" s="285" t="s">
        <v>14470</v>
      </c>
      <c r="H102" s="285" t="s">
        <v>4877</v>
      </c>
      <c r="I102" s="285" t="s">
        <v>3793</v>
      </c>
      <c r="J102" s="285"/>
      <c r="K102" s="289" t="s">
        <v>3136</v>
      </c>
      <c r="L102" s="14" t="s">
        <v>14471</v>
      </c>
      <c r="M102" s="289" t="s">
        <v>14472</v>
      </c>
      <c r="N102" s="289">
        <v>150000</v>
      </c>
      <c r="O102" s="24">
        <v>1</v>
      </c>
      <c r="P102" s="289">
        <v>1993</v>
      </c>
      <c r="Q102" s="17">
        <v>214340</v>
      </c>
      <c r="R102" s="17">
        <v>126817.95</v>
      </c>
      <c r="S102" s="17">
        <f t="shared" ref="S102:S108" si="1">Q102-R102</f>
        <v>87522.05</v>
      </c>
      <c r="T102" s="40">
        <v>119115</v>
      </c>
      <c r="U102" s="285" t="s">
        <v>14473</v>
      </c>
      <c r="V102" s="14" t="s">
        <v>14474</v>
      </c>
      <c r="W102" s="289" t="s">
        <v>1029</v>
      </c>
    </row>
    <row r="103" spans="1:23" s="19" customFormat="1" ht="88.5" customHeight="1" x14ac:dyDescent="0.2">
      <c r="A103" s="289">
        <v>97</v>
      </c>
      <c r="B103" s="289" t="s">
        <v>14475</v>
      </c>
      <c r="C103" s="285"/>
      <c r="D103" s="9" t="s">
        <v>14476</v>
      </c>
      <c r="E103" s="285">
        <v>2016</v>
      </c>
      <c r="F103" s="13" t="s">
        <v>14477</v>
      </c>
      <c r="G103" s="285" t="s">
        <v>14478</v>
      </c>
      <c r="H103" s="285" t="s">
        <v>4877</v>
      </c>
      <c r="I103" s="285" t="s">
        <v>3793</v>
      </c>
      <c r="J103" s="285"/>
      <c r="K103" s="289" t="s">
        <v>3136</v>
      </c>
      <c r="L103" s="15">
        <v>42674</v>
      </c>
      <c r="M103" s="289">
        <v>1152</v>
      </c>
      <c r="N103" s="289">
        <v>9</v>
      </c>
      <c r="O103" s="24">
        <v>1</v>
      </c>
      <c r="P103" s="15">
        <v>42650</v>
      </c>
      <c r="Q103" s="17">
        <v>22020</v>
      </c>
      <c r="R103" s="17">
        <v>22020</v>
      </c>
      <c r="S103" s="17">
        <f t="shared" si="1"/>
        <v>0</v>
      </c>
      <c r="T103" s="18"/>
      <c r="U103" s="285" t="s">
        <v>14479</v>
      </c>
      <c r="V103" s="14" t="s">
        <v>14480</v>
      </c>
      <c r="W103" s="285" t="s">
        <v>14481</v>
      </c>
    </row>
    <row r="104" spans="1:23" s="19" customFormat="1" ht="148.5" customHeight="1" x14ac:dyDescent="0.2">
      <c r="A104" s="289">
        <v>98</v>
      </c>
      <c r="B104" s="289" t="s">
        <v>14482</v>
      </c>
      <c r="C104" s="285"/>
      <c r="D104" s="9" t="s">
        <v>14476</v>
      </c>
      <c r="E104" s="285">
        <v>2016</v>
      </c>
      <c r="F104" s="13" t="s">
        <v>14483</v>
      </c>
      <c r="G104" s="285" t="s">
        <v>14484</v>
      </c>
      <c r="H104" s="285" t="s">
        <v>4877</v>
      </c>
      <c r="I104" s="285" t="s">
        <v>3793</v>
      </c>
      <c r="J104" s="285"/>
      <c r="K104" s="289" t="s">
        <v>3136</v>
      </c>
      <c r="L104" s="15">
        <v>42674</v>
      </c>
      <c r="M104" s="289">
        <v>1152</v>
      </c>
      <c r="N104" s="289">
        <v>9</v>
      </c>
      <c r="O104" s="24">
        <v>1</v>
      </c>
      <c r="P104" s="15">
        <v>42650</v>
      </c>
      <c r="Q104" s="17">
        <v>22020</v>
      </c>
      <c r="R104" s="17">
        <v>22020</v>
      </c>
      <c r="S104" s="17">
        <f t="shared" si="1"/>
        <v>0</v>
      </c>
      <c r="T104" s="18"/>
      <c r="U104" s="285" t="s">
        <v>14479</v>
      </c>
      <c r="V104" s="14" t="s">
        <v>14480</v>
      </c>
      <c r="W104" s="285" t="s">
        <v>14481</v>
      </c>
    </row>
    <row r="105" spans="1:23" s="19" customFormat="1" ht="92.25" customHeight="1" x14ac:dyDescent="0.2">
      <c r="A105" s="289">
        <v>99</v>
      </c>
      <c r="B105" s="289" t="s">
        <v>14485</v>
      </c>
      <c r="C105" s="285"/>
      <c r="D105" s="9" t="s">
        <v>14476</v>
      </c>
      <c r="E105" s="285">
        <v>2016</v>
      </c>
      <c r="F105" s="13" t="s">
        <v>14486</v>
      </c>
      <c r="G105" s="285" t="s">
        <v>14487</v>
      </c>
      <c r="H105" s="285" t="s">
        <v>4877</v>
      </c>
      <c r="I105" s="285" t="s">
        <v>3793</v>
      </c>
      <c r="J105" s="285"/>
      <c r="K105" s="289" t="s">
        <v>3136</v>
      </c>
      <c r="L105" s="15">
        <v>42674</v>
      </c>
      <c r="M105" s="289">
        <v>1152</v>
      </c>
      <c r="N105" s="289">
        <v>9</v>
      </c>
      <c r="O105" s="24">
        <v>1</v>
      </c>
      <c r="P105" s="15">
        <v>42650</v>
      </c>
      <c r="Q105" s="17">
        <v>22020</v>
      </c>
      <c r="R105" s="17">
        <v>22020</v>
      </c>
      <c r="S105" s="17">
        <f t="shared" si="1"/>
        <v>0</v>
      </c>
      <c r="T105" s="18"/>
      <c r="U105" s="285" t="s">
        <v>14479</v>
      </c>
      <c r="V105" s="14" t="s">
        <v>14480</v>
      </c>
      <c r="W105" s="285" t="s">
        <v>14481</v>
      </c>
    </row>
    <row r="106" spans="1:23" s="19" customFormat="1" ht="147.75" customHeight="1" x14ac:dyDescent="0.2">
      <c r="A106" s="289">
        <v>100</v>
      </c>
      <c r="B106" s="289" t="s">
        <v>14488</v>
      </c>
      <c r="C106" s="285"/>
      <c r="D106" s="9" t="s">
        <v>14476</v>
      </c>
      <c r="E106" s="285">
        <v>2016</v>
      </c>
      <c r="F106" s="13" t="s">
        <v>14477</v>
      </c>
      <c r="G106" s="285" t="s">
        <v>14489</v>
      </c>
      <c r="H106" s="285" t="s">
        <v>4877</v>
      </c>
      <c r="I106" s="285" t="s">
        <v>3793</v>
      </c>
      <c r="J106" s="285"/>
      <c r="K106" s="289" t="s">
        <v>3136</v>
      </c>
      <c r="L106" s="15">
        <v>42674</v>
      </c>
      <c r="M106" s="289">
        <v>1152</v>
      </c>
      <c r="N106" s="289">
        <v>9</v>
      </c>
      <c r="O106" s="24">
        <v>1</v>
      </c>
      <c r="P106" s="15">
        <v>42650</v>
      </c>
      <c r="Q106" s="17">
        <v>22020</v>
      </c>
      <c r="R106" s="17">
        <v>22020</v>
      </c>
      <c r="S106" s="17">
        <f t="shared" si="1"/>
        <v>0</v>
      </c>
      <c r="T106" s="18"/>
      <c r="U106" s="285" t="s">
        <v>14479</v>
      </c>
      <c r="V106" s="14" t="s">
        <v>14480</v>
      </c>
      <c r="W106" s="285" t="s">
        <v>14481</v>
      </c>
    </row>
    <row r="107" spans="1:23" s="19" customFormat="1" ht="93" customHeight="1" x14ac:dyDescent="0.2">
      <c r="A107" s="289">
        <v>101</v>
      </c>
      <c r="B107" s="289" t="s">
        <v>14490</v>
      </c>
      <c r="C107" s="285"/>
      <c r="D107" s="9" t="s">
        <v>14476</v>
      </c>
      <c r="E107" s="285">
        <v>2016</v>
      </c>
      <c r="F107" s="13" t="s">
        <v>14491</v>
      </c>
      <c r="G107" s="285" t="s">
        <v>14492</v>
      </c>
      <c r="H107" s="285" t="s">
        <v>4877</v>
      </c>
      <c r="I107" s="285" t="s">
        <v>3793</v>
      </c>
      <c r="J107" s="285"/>
      <c r="K107" s="289" t="s">
        <v>3136</v>
      </c>
      <c r="L107" s="15">
        <v>42674</v>
      </c>
      <c r="M107" s="289">
        <v>1152</v>
      </c>
      <c r="N107" s="289">
        <v>9</v>
      </c>
      <c r="O107" s="24">
        <v>1</v>
      </c>
      <c r="P107" s="15">
        <v>42650</v>
      </c>
      <c r="Q107" s="17">
        <v>22020</v>
      </c>
      <c r="R107" s="17">
        <v>22020</v>
      </c>
      <c r="S107" s="17">
        <f t="shared" si="1"/>
        <v>0</v>
      </c>
      <c r="T107" s="18"/>
      <c r="U107" s="285" t="s">
        <v>14479</v>
      </c>
      <c r="V107" s="14" t="s">
        <v>14480</v>
      </c>
      <c r="W107" s="285" t="s">
        <v>14481</v>
      </c>
    </row>
    <row r="108" spans="1:23" s="19" customFormat="1" ht="54" customHeight="1" x14ac:dyDescent="0.2">
      <c r="A108" s="289">
        <v>102</v>
      </c>
      <c r="B108" s="289" t="s">
        <v>14493</v>
      </c>
      <c r="C108" s="285" t="s">
        <v>14494</v>
      </c>
      <c r="D108" s="13" t="s">
        <v>14495</v>
      </c>
      <c r="E108" s="285">
        <v>1986</v>
      </c>
      <c r="F108" s="13" t="s">
        <v>14496</v>
      </c>
      <c r="G108" s="285" t="s">
        <v>14497</v>
      </c>
      <c r="H108" s="285" t="s">
        <v>4296</v>
      </c>
      <c r="I108" s="285" t="s">
        <v>3793</v>
      </c>
      <c r="J108" s="285"/>
      <c r="K108" s="289" t="s">
        <v>3136</v>
      </c>
      <c r="L108" s="24" t="s">
        <v>14498</v>
      </c>
      <c r="M108" s="289" t="s">
        <v>14499</v>
      </c>
      <c r="N108" s="289">
        <v>460</v>
      </c>
      <c r="O108" s="24">
        <v>1</v>
      </c>
      <c r="P108" s="15">
        <v>43139</v>
      </c>
      <c r="Q108" s="17">
        <v>1</v>
      </c>
      <c r="R108" s="17">
        <v>1</v>
      </c>
      <c r="S108" s="17">
        <f t="shared" si="1"/>
        <v>0</v>
      </c>
      <c r="T108" s="40">
        <v>34993</v>
      </c>
      <c r="U108" s="285" t="s">
        <v>14500</v>
      </c>
      <c r="V108" s="14" t="s">
        <v>14501</v>
      </c>
      <c r="W108" s="285" t="s">
        <v>14502</v>
      </c>
    </row>
    <row r="109" spans="1:23" s="19" customFormat="1" ht="27.75" customHeight="1" x14ac:dyDescent="0.2">
      <c r="A109" s="289">
        <v>103</v>
      </c>
      <c r="B109" s="289" t="s">
        <v>14503</v>
      </c>
      <c r="C109" s="9"/>
      <c r="D109" s="13" t="s">
        <v>14504</v>
      </c>
      <c r="E109" s="285">
        <v>2016</v>
      </c>
      <c r="F109" s="13" t="s">
        <v>14505</v>
      </c>
      <c r="G109" s="285" t="s">
        <v>14506</v>
      </c>
      <c r="H109" s="285"/>
      <c r="I109" s="285" t="s">
        <v>2042</v>
      </c>
      <c r="J109" s="285" t="s">
        <v>2207</v>
      </c>
      <c r="K109" s="289" t="s">
        <v>3136</v>
      </c>
      <c r="L109" s="15">
        <v>43218</v>
      </c>
      <c r="M109" s="289">
        <v>372</v>
      </c>
      <c r="N109" s="289">
        <v>356</v>
      </c>
      <c r="O109" s="24">
        <v>1</v>
      </c>
      <c r="P109" s="15">
        <v>43216</v>
      </c>
      <c r="Q109" s="17">
        <v>1</v>
      </c>
      <c r="R109" s="17">
        <v>0</v>
      </c>
      <c r="S109" s="17">
        <v>1</v>
      </c>
      <c r="T109" s="289"/>
      <c r="U109" s="285" t="s">
        <v>14507</v>
      </c>
      <c r="V109" s="14">
        <v>43216</v>
      </c>
      <c r="W109" s="285" t="s">
        <v>1029</v>
      </c>
    </row>
    <row r="110" spans="1:23" s="19" customFormat="1" ht="109.5" customHeight="1" x14ac:dyDescent="0.2">
      <c r="A110" s="289">
        <v>104</v>
      </c>
      <c r="B110" s="289" t="s">
        <v>14508</v>
      </c>
      <c r="C110" s="285" t="s">
        <v>14509</v>
      </c>
      <c r="D110" s="13" t="s">
        <v>14510</v>
      </c>
      <c r="E110" s="285"/>
      <c r="F110" s="13"/>
      <c r="G110" s="285" t="s">
        <v>14511</v>
      </c>
      <c r="H110" s="558"/>
      <c r="I110" s="285" t="s">
        <v>2042</v>
      </c>
      <c r="J110" s="285" t="s">
        <v>2207</v>
      </c>
      <c r="K110" s="289" t="s">
        <v>3136</v>
      </c>
      <c r="L110" s="14" t="s">
        <v>14512</v>
      </c>
      <c r="M110" s="68" t="s">
        <v>14513</v>
      </c>
      <c r="N110" s="289">
        <v>9</v>
      </c>
      <c r="O110" s="24">
        <v>1</v>
      </c>
      <c r="P110" s="15">
        <v>43228</v>
      </c>
      <c r="Q110" s="17">
        <v>1</v>
      </c>
      <c r="R110" s="17">
        <v>0</v>
      </c>
      <c r="S110" s="17">
        <f t="shared" ref="S110:S134" si="2">Q110-R110</f>
        <v>1</v>
      </c>
      <c r="T110" s="40">
        <v>126771</v>
      </c>
      <c r="U110" s="22" t="s">
        <v>14514</v>
      </c>
      <c r="V110" s="14" t="s">
        <v>14515</v>
      </c>
      <c r="W110" s="285" t="s">
        <v>14516</v>
      </c>
    </row>
    <row r="111" spans="1:23" s="19" customFormat="1" ht="76.5" customHeight="1" x14ac:dyDescent="0.2">
      <c r="A111" s="289">
        <v>105</v>
      </c>
      <c r="B111" s="289" t="s">
        <v>14517</v>
      </c>
      <c r="C111" s="9"/>
      <c r="D111" s="13" t="s">
        <v>14518</v>
      </c>
      <c r="E111" s="285">
        <v>2019</v>
      </c>
      <c r="F111" s="13"/>
      <c r="G111" s="285" t="s">
        <v>14519</v>
      </c>
      <c r="H111" s="361"/>
      <c r="I111" s="285" t="s">
        <v>2042</v>
      </c>
      <c r="J111" s="285" t="s">
        <v>2207</v>
      </c>
      <c r="K111" s="289" t="s">
        <v>3136</v>
      </c>
      <c r="L111" s="15">
        <v>43664</v>
      </c>
      <c r="M111" s="289">
        <v>578</v>
      </c>
      <c r="N111" s="289">
        <v>336</v>
      </c>
      <c r="O111" s="24"/>
      <c r="P111" s="15">
        <v>43619</v>
      </c>
      <c r="Q111" s="17">
        <v>538138.81000000006</v>
      </c>
      <c r="R111" s="17">
        <v>0</v>
      </c>
      <c r="S111" s="17">
        <f t="shared" si="2"/>
        <v>538138.81000000006</v>
      </c>
      <c r="T111" s="289"/>
      <c r="U111" s="22" t="s">
        <v>14520</v>
      </c>
      <c r="V111" s="14" t="s">
        <v>14521</v>
      </c>
      <c r="W111" s="285" t="s">
        <v>14522</v>
      </c>
    </row>
    <row r="112" spans="1:23" s="19" customFormat="1" ht="76.5" customHeight="1" x14ac:dyDescent="0.2">
      <c r="A112" s="289">
        <v>106</v>
      </c>
      <c r="B112" s="289" t="s">
        <v>14523</v>
      </c>
      <c r="C112" s="9"/>
      <c r="D112" s="13" t="s">
        <v>14524</v>
      </c>
      <c r="E112" s="14">
        <v>43718</v>
      </c>
      <c r="F112" s="13"/>
      <c r="G112" s="285" t="s">
        <v>14525</v>
      </c>
      <c r="H112" s="361"/>
      <c r="I112" s="285" t="s">
        <v>2042</v>
      </c>
      <c r="J112" s="285" t="s">
        <v>2207</v>
      </c>
      <c r="K112" s="289" t="s">
        <v>3136</v>
      </c>
      <c r="L112" s="15">
        <v>43752</v>
      </c>
      <c r="M112" s="289">
        <v>842</v>
      </c>
      <c r="N112" s="289">
        <v>1188.5</v>
      </c>
      <c r="O112" s="24">
        <v>1</v>
      </c>
      <c r="P112" s="15">
        <v>43718</v>
      </c>
      <c r="Q112" s="17">
        <v>1280186.52</v>
      </c>
      <c r="R112" s="17">
        <v>0</v>
      </c>
      <c r="S112" s="17">
        <f t="shared" si="2"/>
        <v>1280186.52</v>
      </c>
      <c r="T112" s="289"/>
      <c r="U112" s="22" t="s">
        <v>14520</v>
      </c>
      <c r="V112" s="14" t="s">
        <v>14526</v>
      </c>
      <c r="W112" s="285" t="s">
        <v>14527</v>
      </c>
    </row>
    <row r="113" spans="1:23" s="19" customFormat="1" ht="76.5" customHeight="1" x14ac:dyDescent="0.2">
      <c r="A113" s="289">
        <v>107</v>
      </c>
      <c r="B113" s="289" t="s">
        <v>14528</v>
      </c>
      <c r="C113" s="9"/>
      <c r="D113" s="13" t="s">
        <v>14529</v>
      </c>
      <c r="E113" s="14">
        <v>43707</v>
      </c>
      <c r="F113" s="13" t="s">
        <v>14530</v>
      </c>
      <c r="G113" s="285" t="s">
        <v>14531</v>
      </c>
      <c r="H113" s="361"/>
      <c r="I113" s="285" t="s">
        <v>2042</v>
      </c>
      <c r="J113" s="285" t="s">
        <v>2207</v>
      </c>
      <c r="K113" s="289" t="s">
        <v>3136</v>
      </c>
      <c r="L113" s="15">
        <v>43774</v>
      </c>
      <c r="M113" s="289">
        <v>915</v>
      </c>
      <c r="N113" s="289"/>
      <c r="O113" s="24">
        <v>1</v>
      </c>
      <c r="P113" s="15">
        <v>43707</v>
      </c>
      <c r="Q113" s="17">
        <v>141587</v>
      </c>
      <c r="R113" s="17">
        <v>0</v>
      </c>
      <c r="S113" s="17">
        <f t="shared" si="2"/>
        <v>141587</v>
      </c>
      <c r="T113" s="289"/>
      <c r="U113" s="22" t="s">
        <v>14520</v>
      </c>
      <c r="V113" s="14">
        <v>43626</v>
      </c>
      <c r="W113" s="228" t="s">
        <v>9305</v>
      </c>
    </row>
    <row r="114" spans="1:23" s="19" customFormat="1" ht="76.5" customHeight="1" x14ac:dyDescent="0.2">
      <c r="A114" s="289">
        <v>108</v>
      </c>
      <c r="B114" s="289" t="s">
        <v>14532</v>
      </c>
      <c r="C114" s="9"/>
      <c r="D114" s="13" t="s">
        <v>14533</v>
      </c>
      <c r="E114" s="285">
        <v>2019</v>
      </c>
      <c r="F114" s="13" t="s">
        <v>14534</v>
      </c>
      <c r="G114" s="285" t="s">
        <v>14535</v>
      </c>
      <c r="H114" s="361"/>
      <c r="I114" s="285" t="s">
        <v>2042</v>
      </c>
      <c r="J114" s="285" t="s">
        <v>2207</v>
      </c>
      <c r="K114" s="289" t="s">
        <v>3136</v>
      </c>
      <c r="L114" s="15">
        <v>43830</v>
      </c>
      <c r="M114" s="289">
        <v>1086</v>
      </c>
      <c r="N114" s="289">
        <v>395.7</v>
      </c>
      <c r="O114" s="24"/>
      <c r="P114" s="15">
        <v>43769</v>
      </c>
      <c r="Q114" s="17">
        <v>2770019</v>
      </c>
      <c r="R114" s="17">
        <v>0</v>
      </c>
      <c r="S114" s="17">
        <f t="shared" si="2"/>
        <v>2770019</v>
      </c>
      <c r="T114" s="289"/>
      <c r="U114" s="22" t="s">
        <v>14520</v>
      </c>
      <c r="V114" s="14">
        <v>43626</v>
      </c>
      <c r="W114" s="228" t="s">
        <v>9305</v>
      </c>
    </row>
    <row r="115" spans="1:23" s="19" customFormat="1" ht="87" customHeight="1" x14ac:dyDescent="0.2">
      <c r="A115" s="289">
        <v>109</v>
      </c>
      <c r="B115" s="289" t="s">
        <v>14536</v>
      </c>
      <c r="C115" s="9"/>
      <c r="D115" s="13" t="s">
        <v>14537</v>
      </c>
      <c r="E115" s="285">
        <v>2019</v>
      </c>
      <c r="F115" s="13" t="s">
        <v>14538</v>
      </c>
      <c r="G115" s="285" t="s">
        <v>14535</v>
      </c>
      <c r="H115" s="361"/>
      <c r="I115" s="285" t="s">
        <v>2042</v>
      </c>
      <c r="J115" s="285" t="s">
        <v>2207</v>
      </c>
      <c r="K115" s="289" t="s">
        <v>3136</v>
      </c>
      <c r="L115" s="15">
        <v>43830</v>
      </c>
      <c r="M115" s="289">
        <v>1086</v>
      </c>
      <c r="N115" s="289">
        <v>349.2</v>
      </c>
      <c r="O115" s="24"/>
      <c r="P115" s="15">
        <v>43769</v>
      </c>
      <c r="Q115" s="17">
        <v>1373505</v>
      </c>
      <c r="R115" s="17">
        <v>0</v>
      </c>
      <c r="S115" s="17">
        <f t="shared" si="2"/>
        <v>1373505</v>
      </c>
      <c r="T115" s="289"/>
      <c r="U115" s="22" t="s">
        <v>14520</v>
      </c>
      <c r="V115" s="14">
        <v>43626</v>
      </c>
      <c r="W115" s="228" t="s">
        <v>9305</v>
      </c>
    </row>
    <row r="116" spans="1:23" s="19" customFormat="1" ht="370.5" customHeight="1" x14ac:dyDescent="0.2">
      <c r="A116" s="289">
        <v>110</v>
      </c>
      <c r="B116" s="289" t="s">
        <v>14539</v>
      </c>
      <c r="C116" s="9"/>
      <c r="D116" s="13" t="s">
        <v>14540</v>
      </c>
      <c r="E116" s="285"/>
      <c r="F116" s="416" t="s">
        <v>14541</v>
      </c>
      <c r="G116" s="285" t="s">
        <v>14542</v>
      </c>
      <c r="H116" s="285"/>
      <c r="I116" s="285" t="s">
        <v>2042</v>
      </c>
      <c r="J116" s="285" t="s">
        <v>2207</v>
      </c>
      <c r="K116" s="289" t="s">
        <v>3136</v>
      </c>
      <c r="L116" s="14" t="s">
        <v>14543</v>
      </c>
      <c r="M116" s="285" t="s">
        <v>14544</v>
      </c>
      <c r="N116" s="289"/>
      <c r="O116" s="24">
        <v>1</v>
      </c>
      <c r="P116" s="15">
        <v>44043</v>
      </c>
      <c r="Q116" s="17">
        <f>2038398+420123</f>
        <v>2458521</v>
      </c>
      <c r="R116" s="17">
        <v>0</v>
      </c>
      <c r="S116" s="17">
        <f t="shared" si="2"/>
        <v>2458521</v>
      </c>
      <c r="T116" s="289"/>
      <c r="U116" s="22" t="s">
        <v>14545</v>
      </c>
      <c r="V116" s="14" t="s">
        <v>14546</v>
      </c>
      <c r="W116" s="228" t="s">
        <v>14547</v>
      </c>
    </row>
    <row r="117" spans="1:23" s="19" customFormat="1" ht="333.75" customHeight="1" x14ac:dyDescent="0.2">
      <c r="A117" s="289">
        <v>111</v>
      </c>
      <c r="B117" s="289" t="s">
        <v>14548</v>
      </c>
      <c r="C117" s="9"/>
      <c r="D117" s="13" t="s">
        <v>14549</v>
      </c>
      <c r="E117" s="285">
        <v>2019</v>
      </c>
      <c r="F117" s="13" t="s">
        <v>14550</v>
      </c>
      <c r="G117" s="285" t="s">
        <v>14551</v>
      </c>
      <c r="H117" s="285"/>
      <c r="I117" s="285" t="s">
        <v>2042</v>
      </c>
      <c r="J117" s="285" t="s">
        <v>2207</v>
      </c>
      <c r="K117" s="289" t="s">
        <v>3136</v>
      </c>
      <c r="L117" s="14" t="s">
        <v>14543</v>
      </c>
      <c r="M117" s="285" t="s">
        <v>14544</v>
      </c>
      <c r="N117" s="289"/>
      <c r="O117" s="24">
        <v>1</v>
      </c>
      <c r="P117" s="15">
        <v>44043</v>
      </c>
      <c r="Q117" s="17">
        <f>1351369+1317706</f>
        <v>2669075</v>
      </c>
      <c r="R117" s="17">
        <v>0</v>
      </c>
      <c r="S117" s="17">
        <f t="shared" si="2"/>
        <v>2669075</v>
      </c>
      <c r="T117" s="289"/>
      <c r="U117" s="22" t="s">
        <v>14545</v>
      </c>
      <c r="V117" s="14" t="s">
        <v>14546</v>
      </c>
      <c r="W117" s="228" t="s">
        <v>14552</v>
      </c>
    </row>
    <row r="118" spans="1:23" s="19" customFormat="1" ht="43.5" customHeight="1" x14ac:dyDescent="0.2">
      <c r="A118" s="289">
        <v>112</v>
      </c>
      <c r="B118" s="289" t="s">
        <v>14553</v>
      </c>
      <c r="C118" s="9"/>
      <c r="D118" s="13" t="s">
        <v>14554</v>
      </c>
      <c r="E118" s="285">
        <v>2020</v>
      </c>
      <c r="F118" s="13" t="s">
        <v>14555</v>
      </c>
      <c r="G118" s="285" t="s">
        <v>14556</v>
      </c>
      <c r="H118" s="285" t="s">
        <v>7978</v>
      </c>
      <c r="I118" s="285" t="s">
        <v>5127</v>
      </c>
      <c r="J118" s="285"/>
      <c r="K118" s="285" t="s">
        <v>3136</v>
      </c>
      <c r="L118" s="15">
        <v>44083</v>
      </c>
      <c r="M118" s="289">
        <v>755</v>
      </c>
      <c r="N118" s="289"/>
      <c r="O118" s="24">
        <v>1</v>
      </c>
      <c r="P118" s="15">
        <v>44060</v>
      </c>
      <c r="Q118" s="17">
        <v>14649.97</v>
      </c>
      <c r="R118" s="17">
        <v>14649.97</v>
      </c>
      <c r="S118" s="17">
        <f t="shared" si="2"/>
        <v>0</v>
      </c>
      <c r="T118" s="289"/>
      <c r="U118" s="22" t="s">
        <v>14557</v>
      </c>
      <c r="V118" s="14">
        <v>44069</v>
      </c>
      <c r="W118" s="228" t="s">
        <v>1029</v>
      </c>
    </row>
    <row r="119" spans="1:23" s="19" customFormat="1" ht="36" customHeight="1" x14ac:dyDescent="0.2">
      <c r="A119" s="289">
        <v>113</v>
      </c>
      <c r="B119" s="289" t="s">
        <v>14558</v>
      </c>
      <c r="C119" s="9"/>
      <c r="D119" s="13" t="s">
        <v>14554</v>
      </c>
      <c r="E119" s="285">
        <v>2020</v>
      </c>
      <c r="F119" s="13" t="s">
        <v>14559</v>
      </c>
      <c r="G119" s="285" t="s">
        <v>14560</v>
      </c>
      <c r="H119" s="285" t="s">
        <v>7981</v>
      </c>
      <c r="I119" s="285" t="s">
        <v>5127</v>
      </c>
      <c r="J119" s="285"/>
      <c r="K119" s="285" t="s">
        <v>3136</v>
      </c>
      <c r="L119" s="15">
        <v>44083</v>
      </c>
      <c r="M119" s="289">
        <v>754</v>
      </c>
      <c r="N119" s="289"/>
      <c r="O119" s="24">
        <v>1</v>
      </c>
      <c r="P119" s="15">
        <v>44049</v>
      </c>
      <c r="Q119" s="17">
        <v>16253.97</v>
      </c>
      <c r="R119" s="17">
        <v>16253.97</v>
      </c>
      <c r="S119" s="17">
        <f t="shared" si="2"/>
        <v>0</v>
      </c>
      <c r="T119" s="289"/>
      <c r="U119" s="22" t="s">
        <v>14557</v>
      </c>
      <c r="V119" s="14">
        <v>44069</v>
      </c>
      <c r="W119" s="228" t="s">
        <v>1029</v>
      </c>
    </row>
    <row r="120" spans="1:23" s="19" customFormat="1" ht="42" customHeight="1" x14ac:dyDescent="0.2">
      <c r="A120" s="289">
        <v>114</v>
      </c>
      <c r="B120" s="289" t="s">
        <v>14561</v>
      </c>
      <c r="C120" s="9"/>
      <c r="D120" s="13" t="s">
        <v>14554</v>
      </c>
      <c r="E120" s="285">
        <v>2020</v>
      </c>
      <c r="F120" s="13" t="s">
        <v>14562</v>
      </c>
      <c r="G120" s="285" t="s">
        <v>14563</v>
      </c>
      <c r="H120" s="285" t="s">
        <v>7977</v>
      </c>
      <c r="I120" s="285" t="s">
        <v>5127</v>
      </c>
      <c r="J120" s="285"/>
      <c r="K120" s="285" t="s">
        <v>3136</v>
      </c>
      <c r="L120" s="15">
        <v>44083</v>
      </c>
      <c r="M120" s="289">
        <v>753</v>
      </c>
      <c r="N120" s="289"/>
      <c r="O120" s="24">
        <v>1</v>
      </c>
      <c r="P120" s="15">
        <v>44043</v>
      </c>
      <c r="Q120" s="17">
        <v>16231.97</v>
      </c>
      <c r="R120" s="17">
        <v>16231.97</v>
      </c>
      <c r="S120" s="17">
        <f t="shared" si="2"/>
        <v>0</v>
      </c>
      <c r="T120" s="289"/>
      <c r="U120" s="22" t="s">
        <v>14557</v>
      </c>
      <c r="V120" s="14">
        <v>44043</v>
      </c>
      <c r="W120" s="228" t="s">
        <v>1029</v>
      </c>
    </row>
    <row r="121" spans="1:23" s="19" customFormat="1" ht="40.5" customHeight="1" x14ac:dyDescent="0.2">
      <c r="A121" s="289">
        <v>115</v>
      </c>
      <c r="B121" s="289" t="s">
        <v>14564</v>
      </c>
      <c r="C121" s="9"/>
      <c r="D121" s="13" t="s">
        <v>14554</v>
      </c>
      <c r="E121" s="285">
        <v>2020</v>
      </c>
      <c r="F121" s="13" t="s">
        <v>14565</v>
      </c>
      <c r="G121" s="285" t="s">
        <v>14566</v>
      </c>
      <c r="H121" s="285" t="s">
        <v>7982</v>
      </c>
      <c r="I121" s="285" t="s">
        <v>5127</v>
      </c>
      <c r="J121" s="285"/>
      <c r="K121" s="285" t="s">
        <v>3136</v>
      </c>
      <c r="L121" s="15">
        <v>44083</v>
      </c>
      <c r="M121" s="289">
        <v>752</v>
      </c>
      <c r="N121" s="289"/>
      <c r="O121" s="24">
        <v>1</v>
      </c>
      <c r="P121" s="15">
        <v>44023</v>
      </c>
      <c r="Q121" s="17">
        <v>15697.49</v>
      </c>
      <c r="R121" s="17">
        <v>15697.49</v>
      </c>
      <c r="S121" s="17">
        <f t="shared" si="2"/>
        <v>0</v>
      </c>
      <c r="T121" s="289"/>
      <c r="U121" s="22" t="s">
        <v>14557</v>
      </c>
      <c r="V121" s="14">
        <v>44069</v>
      </c>
      <c r="W121" s="228" t="s">
        <v>1029</v>
      </c>
    </row>
    <row r="122" spans="1:23" s="19" customFormat="1" ht="40.5" customHeight="1" x14ac:dyDescent="0.2">
      <c r="A122" s="289">
        <v>116</v>
      </c>
      <c r="B122" s="289" t="s">
        <v>14567</v>
      </c>
      <c r="C122" s="9"/>
      <c r="D122" s="13" t="s">
        <v>14554</v>
      </c>
      <c r="E122" s="285">
        <v>2020</v>
      </c>
      <c r="F122" s="13" t="s">
        <v>14568</v>
      </c>
      <c r="G122" s="285" t="s">
        <v>14569</v>
      </c>
      <c r="H122" s="285" t="s">
        <v>12435</v>
      </c>
      <c r="I122" s="285" t="s">
        <v>5127</v>
      </c>
      <c r="J122" s="285"/>
      <c r="K122" s="285" t="s">
        <v>3136</v>
      </c>
      <c r="L122" s="15">
        <v>44083</v>
      </c>
      <c r="M122" s="289">
        <v>751</v>
      </c>
      <c r="N122" s="289"/>
      <c r="O122" s="24">
        <v>1</v>
      </c>
      <c r="P122" s="15">
        <v>44069</v>
      </c>
      <c r="Q122" s="17">
        <v>16590.97</v>
      </c>
      <c r="R122" s="17">
        <v>16590.97</v>
      </c>
      <c r="S122" s="17">
        <f t="shared" si="2"/>
        <v>0</v>
      </c>
      <c r="T122" s="289"/>
      <c r="U122" s="22" t="s">
        <v>14557</v>
      </c>
      <c r="V122" s="14">
        <v>44069</v>
      </c>
      <c r="W122" s="228" t="s">
        <v>1029</v>
      </c>
    </row>
    <row r="123" spans="1:23" s="19" customFormat="1" ht="41.25" customHeight="1" x14ac:dyDescent="0.2">
      <c r="A123" s="289">
        <v>117</v>
      </c>
      <c r="B123" s="289" t="s">
        <v>14570</v>
      </c>
      <c r="C123" s="9"/>
      <c r="D123" s="13" t="s">
        <v>14554</v>
      </c>
      <c r="E123" s="285">
        <v>2020</v>
      </c>
      <c r="F123" s="13" t="s">
        <v>14571</v>
      </c>
      <c r="G123" s="285" t="s">
        <v>14572</v>
      </c>
      <c r="H123" s="285" t="s">
        <v>792</v>
      </c>
      <c r="I123" s="285" t="s">
        <v>5127</v>
      </c>
      <c r="J123" s="285"/>
      <c r="K123" s="285" t="s">
        <v>3136</v>
      </c>
      <c r="L123" s="15">
        <v>44083</v>
      </c>
      <c r="M123" s="289">
        <v>762</v>
      </c>
      <c r="N123" s="289"/>
      <c r="O123" s="24">
        <v>1</v>
      </c>
      <c r="P123" s="15">
        <v>44069</v>
      </c>
      <c r="Q123" s="17">
        <v>16002.47</v>
      </c>
      <c r="R123" s="17">
        <v>16002.47</v>
      </c>
      <c r="S123" s="17">
        <f t="shared" si="2"/>
        <v>0</v>
      </c>
      <c r="T123" s="289"/>
      <c r="U123" s="22" t="s">
        <v>14557</v>
      </c>
      <c r="V123" s="14">
        <v>44069</v>
      </c>
      <c r="W123" s="228" t="s">
        <v>1029</v>
      </c>
    </row>
    <row r="124" spans="1:23" s="19" customFormat="1" ht="41.25" customHeight="1" x14ac:dyDescent="0.2">
      <c r="A124" s="289">
        <v>118</v>
      </c>
      <c r="B124" s="289" t="s">
        <v>14573</v>
      </c>
      <c r="C124" s="9"/>
      <c r="D124" s="13" t="s">
        <v>14554</v>
      </c>
      <c r="E124" s="285">
        <v>2020</v>
      </c>
      <c r="F124" s="13" t="s">
        <v>14574</v>
      </c>
      <c r="G124" s="285" t="s">
        <v>14575</v>
      </c>
      <c r="H124" s="285" t="s">
        <v>7967</v>
      </c>
      <c r="I124" s="285" t="s">
        <v>5127</v>
      </c>
      <c r="J124" s="285"/>
      <c r="K124" s="285" t="s">
        <v>3136</v>
      </c>
      <c r="L124" s="15">
        <v>44092</v>
      </c>
      <c r="M124" s="289">
        <v>789</v>
      </c>
      <c r="N124" s="289"/>
      <c r="O124" s="24">
        <v>1</v>
      </c>
      <c r="P124" s="15">
        <v>44008</v>
      </c>
      <c r="Q124" s="17">
        <v>15792.63</v>
      </c>
      <c r="R124" s="17">
        <v>15792.63</v>
      </c>
      <c r="S124" s="17">
        <f t="shared" si="2"/>
        <v>0</v>
      </c>
      <c r="T124" s="289"/>
      <c r="U124" s="22" t="s">
        <v>14557</v>
      </c>
      <c r="V124" s="14">
        <v>44083</v>
      </c>
      <c r="W124" s="228" t="s">
        <v>1029</v>
      </c>
    </row>
    <row r="125" spans="1:23" s="19" customFormat="1" ht="42" customHeight="1" x14ac:dyDescent="0.2">
      <c r="A125" s="289">
        <v>119</v>
      </c>
      <c r="B125" s="289" t="s">
        <v>14576</v>
      </c>
      <c r="C125" s="9"/>
      <c r="D125" s="13" t="s">
        <v>14554</v>
      </c>
      <c r="E125" s="285">
        <v>2020</v>
      </c>
      <c r="F125" s="13" t="s">
        <v>14577</v>
      </c>
      <c r="G125" s="285" t="s">
        <v>14578</v>
      </c>
      <c r="H125" s="285" t="s">
        <v>7917</v>
      </c>
      <c r="I125" s="285" t="s">
        <v>5127</v>
      </c>
      <c r="J125" s="285"/>
      <c r="K125" s="285" t="s">
        <v>3136</v>
      </c>
      <c r="L125" s="15">
        <v>44092</v>
      </c>
      <c r="M125" s="289">
        <v>788</v>
      </c>
      <c r="N125" s="289"/>
      <c r="O125" s="24">
        <v>1</v>
      </c>
      <c r="P125" s="15">
        <v>43983</v>
      </c>
      <c r="Q125" s="17">
        <v>16261.97</v>
      </c>
      <c r="R125" s="17">
        <v>16261.97</v>
      </c>
      <c r="S125" s="17">
        <f t="shared" si="2"/>
        <v>0</v>
      </c>
      <c r="T125" s="289"/>
      <c r="U125" s="22" t="s">
        <v>14557</v>
      </c>
      <c r="V125" s="14"/>
      <c r="W125" s="228"/>
    </row>
    <row r="126" spans="1:23" s="19" customFormat="1" ht="53.25" customHeight="1" x14ac:dyDescent="0.2">
      <c r="A126" s="289">
        <v>120</v>
      </c>
      <c r="B126" s="289" t="s">
        <v>14579</v>
      </c>
      <c r="C126" s="9"/>
      <c r="D126" s="47" t="s">
        <v>14580</v>
      </c>
      <c r="E126" s="285">
        <v>2020</v>
      </c>
      <c r="F126" s="13" t="s">
        <v>14581</v>
      </c>
      <c r="G126" s="285" t="s">
        <v>14582</v>
      </c>
      <c r="H126" s="285"/>
      <c r="I126" s="285" t="s">
        <v>2042</v>
      </c>
      <c r="J126" s="285" t="s">
        <v>2207</v>
      </c>
      <c r="K126" s="285" t="s">
        <v>3136</v>
      </c>
      <c r="L126" s="15">
        <v>44104</v>
      </c>
      <c r="M126" s="289">
        <v>825</v>
      </c>
      <c r="N126" s="289">
        <v>385</v>
      </c>
      <c r="O126" s="24">
        <v>1</v>
      </c>
      <c r="P126" s="15">
        <v>44043</v>
      </c>
      <c r="Q126" s="17">
        <v>307823</v>
      </c>
      <c r="R126" s="17">
        <v>0</v>
      </c>
      <c r="S126" s="17">
        <f t="shared" si="2"/>
        <v>307823</v>
      </c>
      <c r="T126" s="289"/>
      <c r="U126" s="22" t="s">
        <v>14545</v>
      </c>
      <c r="V126" s="14" t="s">
        <v>14583</v>
      </c>
      <c r="W126" s="228" t="s">
        <v>14584</v>
      </c>
    </row>
    <row r="127" spans="1:23" s="19" customFormat="1" ht="60.75" customHeight="1" x14ac:dyDescent="0.2">
      <c r="A127" s="289">
        <v>121</v>
      </c>
      <c r="B127" s="289" t="s">
        <v>14585</v>
      </c>
      <c r="C127" s="79"/>
      <c r="D127" s="9" t="s">
        <v>14586</v>
      </c>
      <c r="E127" s="29">
        <v>2014</v>
      </c>
      <c r="F127" s="13" t="s">
        <v>14587</v>
      </c>
      <c r="G127" s="285"/>
      <c r="H127" s="558" t="s">
        <v>4296</v>
      </c>
      <c r="I127" s="285" t="s">
        <v>3793</v>
      </c>
      <c r="J127" s="285"/>
      <c r="K127" s="65" t="s">
        <v>3136</v>
      </c>
      <c r="L127" s="15">
        <v>44132</v>
      </c>
      <c r="M127" s="289">
        <v>894</v>
      </c>
      <c r="N127" s="289"/>
      <c r="O127" s="24">
        <v>1</v>
      </c>
      <c r="P127" s="15">
        <v>44105</v>
      </c>
      <c r="Q127" s="17">
        <v>24180</v>
      </c>
      <c r="R127" s="17">
        <v>24180</v>
      </c>
      <c r="S127" s="17">
        <f t="shared" si="2"/>
        <v>0</v>
      </c>
      <c r="T127" s="289"/>
      <c r="U127" s="285" t="s">
        <v>13679</v>
      </c>
      <c r="V127" s="15"/>
      <c r="W127" s="22" t="s">
        <v>14588</v>
      </c>
    </row>
    <row r="128" spans="1:23" s="19" customFormat="1" ht="63" customHeight="1" x14ac:dyDescent="0.2">
      <c r="A128" s="289">
        <v>122</v>
      </c>
      <c r="B128" s="289" t="s">
        <v>14589</v>
      </c>
      <c r="C128" s="79"/>
      <c r="D128" s="9" t="s">
        <v>14590</v>
      </c>
      <c r="E128" s="29">
        <v>2014</v>
      </c>
      <c r="F128" s="13" t="s">
        <v>14591</v>
      </c>
      <c r="G128" s="285"/>
      <c r="H128" s="558" t="s">
        <v>4296</v>
      </c>
      <c r="I128" s="285" t="s">
        <v>3793</v>
      </c>
      <c r="J128" s="285"/>
      <c r="K128" s="65" t="s">
        <v>3136</v>
      </c>
      <c r="L128" s="15">
        <v>44132</v>
      </c>
      <c r="M128" s="289">
        <v>894</v>
      </c>
      <c r="N128" s="289"/>
      <c r="O128" s="24">
        <v>1</v>
      </c>
      <c r="P128" s="15">
        <v>44105</v>
      </c>
      <c r="Q128" s="17">
        <v>21600</v>
      </c>
      <c r="R128" s="17">
        <v>21600</v>
      </c>
      <c r="S128" s="17">
        <f t="shared" si="2"/>
        <v>0</v>
      </c>
      <c r="T128" s="289"/>
      <c r="U128" s="285" t="s">
        <v>13679</v>
      </c>
      <c r="V128" s="15"/>
      <c r="W128" s="22" t="s">
        <v>14588</v>
      </c>
    </row>
    <row r="129" spans="1:23" s="19" customFormat="1" ht="27.75" customHeight="1" x14ac:dyDescent="0.2">
      <c r="A129" s="289">
        <v>123</v>
      </c>
      <c r="B129" s="289" t="s">
        <v>14592</v>
      </c>
      <c r="C129" s="79"/>
      <c r="D129" s="9" t="s">
        <v>14593</v>
      </c>
      <c r="E129" s="29">
        <v>2014</v>
      </c>
      <c r="F129" s="13" t="s">
        <v>14594</v>
      </c>
      <c r="G129" s="285"/>
      <c r="H129" s="558" t="s">
        <v>4296</v>
      </c>
      <c r="I129" s="285" t="s">
        <v>3793</v>
      </c>
      <c r="J129" s="285"/>
      <c r="K129" s="65" t="s">
        <v>3136</v>
      </c>
      <c r="L129" s="15">
        <v>44132</v>
      </c>
      <c r="M129" s="289">
        <v>894</v>
      </c>
      <c r="N129" s="289"/>
      <c r="O129" s="24">
        <v>1</v>
      </c>
      <c r="P129" s="15">
        <v>44105</v>
      </c>
      <c r="Q129" s="17">
        <v>36310</v>
      </c>
      <c r="R129" s="17">
        <v>36310</v>
      </c>
      <c r="S129" s="17">
        <f t="shared" si="2"/>
        <v>0</v>
      </c>
      <c r="T129" s="289"/>
      <c r="U129" s="285" t="s">
        <v>13679</v>
      </c>
      <c r="V129" s="15"/>
      <c r="W129" s="22" t="s">
        <v>14588</v>
      </c>
    </row>
    <row r="130" spans="1:23" s="19" customFormat="1" ht="90.75" customHeight="1" x14ac:dyDescent="0.2">
      <c r="A130" s="289">
        <v>124</v>
      </c>
      <c r="B130" s="289" t="s">
        <v>14595</v>
      </c>
      <c r="C130" s="9"/>
      <c r="D130" s="9" t="s">
        <v>14596</v>
      </c>
      <c r="E130" s="22" t="s">
        <v>10311</v>
      </c>
      <c r="F130" s="13" t="s">
        <v>14597</v>
      </c>
      <c r="G130" s="285" t="s">
        <v>14598</v>
      </c>
      <c r="H130" s="361" t="s">
        <v>792</v>
      </c>
      <c r="I130" s="285" t="s">
        <v>10499</v>
      </c>
      <c r="J130" s="285"/>
      <c r="K130" s="65" t="s">
        <v>3136</v>
      </c>
      <c r="L130" s="14" t="s">
        <v>14599</v>
      </c>
      <c r="M130" s="285" t="s">
        <v>14600</v>
      </c>
      <c r="N130" s="289">
        <v>360</v>
      </c>
      <c r="O130" s="24"/>
      <c r="P130" s="15">
        <v>44134</v>
      </c>
      <c r="Q130" s="17">
        <v>971702</v>
      </c>
      <c r="R130" s="17">
        <v>45885.89</v>
      </c>
      <c r="S130" s="17">
        <f t="shared" si="2"/>
        <v>925816.11</v>
      </c>
      <c r="T130" s="289" t="s">
        <v>6147</v>
      </c>
      <c r="U130" s="285" t="s">
        <v>14520</v>
      </c>
      <c r="V130" s="15">
        <v>43942</v>
      </c>
      <c r="W130" s="22" t="s">
        <v>10313</v>
      </c>
    </row>
    <row r="131" spans="1:23" s="19" customFormat="1" ht="51.75" customHeight="1" x14ac:dyDescent="0.2">
      <c r="A131" s="289">
        <v>125</v>
      </c>
      <c r="B131" s="289" t="s">
        <v>14601</v>
      </c>
      <c r="C131" s="9"/>
      <c r="D131" s="9" t="s">
        <v>14602</v>
      </c>
      <c r="E131" s="22" t="s">
        <v>10311</v>
      </c>
      <c r="F131" s="13" t="s">
        <v>14603</v>
      </c>
      <c r="G131" s="285"/>
      <c r="H131" s="361"/>
      <c r="I131" s="285" t="s">
        <v>2042</v>
      </c>
      <c r="J131" s="285" t="s">
        <v>2207</v>
      </c>
      <c r="K131" s="65" t="s">
        <v>3136</v>
      </c>
      <c r="L131" s="15">
        <v>44134</v>
      </c>
      <c r="M131" s="289">
        <v>905</v>
      </c>
      <c r="N131" s="289">
        <v>1331.2</v>
      </c>
      <c r="O131" s="24"/>
      <c r="P131" s="15">
        <v>44134</v>
      </c>
      <c r="Q131" s="17">
        <v>2079704</v>
      </c>
      <c r="R131" s="17">
        <v>0</v>
      </c>
      <c r="S131" s="17">
        <f t="shared" si="2"/>
        <v>2079704</v>
      </c>
      <c r="T131" s="289"/>
      <c r="U131" s="285" t="s">
        <v>9304</v>
      </c>
      <c r="V131" s="15">
        <v>43942</v>
      </c>
      <c r="W131" s="22" t="s">
        <v>10313</v>
      </c>
    </row>
    <row r="132" spans="1:23" s="19" customFormat="1" ht="115.5" customHeight="1" x14ac:dyDescent="0.2">
      <c r="A132" s="289">
        <v>126</v>
      </c>
      <c r="B132" s="289" t="s">
        <v>14604</v>
      </c>
      <c r="C132" s="9"/>
      <c r="D132" s="9" t="s">
        <v>14605</v>
      </c>
      <c r="E132" s="22" t="s">
        <v>10311</v>
      </c>
      <c r="F132" s="13" t="s">
        <v>14606</v>
      </c>
      <c r="G132" s="285"/>
      <c r="H132" s="361"/>
      <c r="I132" s="285" t="s">
        <v>2042</v>
      </c>
      <c r="J132" s="285" t="s">
        <v>2207</v>
      </c>
      <c r="K132" s="65" t="s">
        <v>3136</v>
      </c>
      <c r="L132" s="15">
        <v>44134</v>
      </c>
      <c r="M132" s="289">
        <v>905</v>
      </c>
      <c r="N132" s="289">
        <v>1159.2</v>
      </c>
      <c r="O132" s="24"/>
      <c r="P132" s="15">
        <v>44134</v>
      </c>
      <c r="Q132" s="17">
        <v>2311902</v>
      </c>
      <c r="R132" s="17">
        <v>0</v>
      </c>
      <c r="S132" s="17">
        <f t="shared" si="2"/>
        <v>2311902</v>
      </c>
      <c r="T132" s="289"/>
      <c r="U132" s="285" t="s">
        <v>9304</v>
      </c>
      <c r="V132" s="15">
        <v>43942</v>
      </c>
      <c r="W132" s="22" t="s">
        <v>10313</v>
      </c>
    </row>
    <row r="133" spans="1:23" s="19" customFormat="1" ht="75.75" customHeight="1" x14ac:dyDescent="0.2">
      <c r="A133" s="289">
        <v>127</v>
      </c>
      <c r="B133" s="289" t="s">
        <v>14607</v>
      </c>
      <c r="C133" s="9"/>
      <c r="D133" s="9" t="s">
        <v>14608</v>
      </c>
      <c r="E133" s="22" t="s">
        <v>10311</v>
      </c>
      <c r="F133" s="13" t="s">
        <v>14609</v>
      </c>
      <c r="G133" s="285"/>
      <c r="H133" s="361"/>
      <c r="I133" s="285" t="s">
        <v>2042</v>
      </c>
      <c r="J133" s="285" t="s">
        <v>2207</v>
      </c>
      <c r="K133" s="65" t="s">
        <v>3136</v>
      </c>
      <c r="L133" s="15">
        <v>44134</v>
      </c>
      <c r="M133" s="289">
        <v>905</v>
      </c>
      <c r="N133" s="289"/>
      <c r="O133" s="24">
        <v>1</v>
      </c>
      <c r="P133" s="15">
        <v>44134</v>
      </c>
      <c r="Q133" s="17">
        <v>1554210</v>
      </c>
      <c r="R133" s="17">
        <v>0</v>
      </c>
      <c r="S133" s="17">
        <f t="shared" si="2"/>
        <v>1554210</v>
      </c>
      <c r="T133" s="289"/>
      <c r="U133" s="285" t="s">
        <v>9304</v>
      </c>
      <c r="V133" s="15">
        <v>43942</v>
      </c>
      <c r="W133" s="22" t="s">
        <v>10313</v>
      </c>
    </row>
    <row r="134" spans="1:23" s="19" customFormat="1" ht="135.75" customHeight="1" x14ac:dyDescent="0.2">
      <c r="A134" s="289">
        <v>128</v>
      </c>
      <c r="B134" s="289" t="s">
        <v>14610</v>
      </c>
      <c r="C134" s="9"/>
      <c r="D134" s="9" t="s">
        <v>14611</v>
      </c>
      <c r="E134" s="22" t="s">
        <v>10311</v>
      </c>
      <c r="F134" s="416" t="s">
        <v>14612</v>
      </c>
      <c r="G134" s="285"/>
      <c r="H134" s="361"/>
      <c r="I134" s="285" t="s">
        <v>2042</v>
      </c>
      <c r="J134" s="285" t="s">
        <v>2207</v>
      </c>
      <c r="K134" s="65" t="s">
        <v>3136</v>
      </c>
      <c r="L134" s="15">
        <v>44134</v>
      </c>
      <c r="M134" s="289">
        <v>905</v>
      </c>
      <c r="N134" s="289"/>
      <c r="O134" s="24">
        <v>5</v>
      </c>
      <c r="P134" s="15">
        <v>44134</v>
      </c>
      <c r="Q134" s="17">
        <v>1416285</v>
      </c>
      <c r="R134" s="17">
        <v>0</v>
      </c>
      <c r="S134" s="17">
        <f t="shared" si="2"/>
        <v>1416285</v>
      </c>
      <c r="T134" s="289"/>
      <c r="U134" s="285" t="s">
        <v>9304</v>
      </c>
      <c r="V134" s="15">
        <v>43942</v>
      </c>
      <c r="W134" s="22" t="s">
        <v>10313</v>
      </c>
    </row>
    <row r="135" spans="1:23" s="19" customFormat="1" ht="116.45" customHeight="1" x14ac:dyDescent="0.2">
      <c r="A135" s="289">
        <v>129</v>
      </c>
      <c r="B135" s="289" t="s">
        <v>14613</v>
      </c>
      <c r="C135" s="9"/>
      <c r="D135" s="9" t="s">
        <v>14614</v>
      </c>
      <c r="E135" s="22" t="s">
        <v>10757</v>
      </c>
      <c r="F135" s="416" t="s">
        <v>14615</v>
      </c>
      <c r="G135" s="285"/>
      <c r="H135" s="361"/>
      <c r="I135" s="285" t="s">
        <v>2042</v>
      </c>
      <c r="J135" s="285" t="s">
        <v>2207</v>
      </c>
      <c r="K135" s="22" t="s">
        <v>3136</v>
      </c>
      <c r="L135" s="15">
        <v>44391</v>
      </c>
      <c r="M135" s="289">
        <v>531</v>
      </c>
      <c r="N135" s="289">
        <v>678</v>
      </c>
      <c r="O135" s="24">
        <v>1</v>
      </c>
      <c r="P135" s="15">
        <v>44377</v>
      </c>
      <c r="Q135" s="17">
        <v>1039139</v>
      </c>
      <c r="R135" s="17">
        <v>0</v>
      </c>
      <c r="S135" s="17">
        <f>Q135-R135</f>
        <v>1039139</v>
      </c>
      <c r="T135" s="289"/>
      <c r="U135" s="285" t="s">
        <v>14616</v>
      </c>
      <c r="V135" s="14" t="s">
        <v>14617</v>
      </c>
      <c r="W135" s="22" t="s">
        <v>14618</v>
      </c>
    </row>
    <row r="136" spans="1:23" s="19" customFormat="1" ht="81" customHeight="1" x14ac:dyDescent="0.2">
      <c r="A136" s="289">
        <v>130</v>
      </c>
      <c r="B136" s="289" t="s">
        <v>14619</v>
      </c>
      <c r="C136" s="9"/>
      <c r="D136" s="9" t="s">
        <v>14620</v>
      </c>
      <c r="E136" s="22" t="s">
        <v>10757</v>
      </c>
      <c r="F136" s="416" t="s">
        <v>14621</v>
      </c>
      <c r="G136" s="285"/>
      <c r="H136" s="361"/>
      <c r="I136" s="285" t="s">
        <v>2042</v>
      </c>
      <c r="J136" s="285" t="s">
        <v>2207</v>
      </c>
      <c r="K136" s="22" t="s">
        <v>3136</v>
      </c>
      <c r="L136" s="14" t="s">
        <v>14622</v>
      </c>
      <c r="M136" s="285" t="s">
        <v>14623</v>
      </c>
      <c r="N136" s="289">
        <f>24+28.8</f>
        <v>52.8</v>
      </c>
      <c r="O136" s="24">
        <v>2</v>
      </c>
      <c r="P136" s="15">
        <v>44403</v>
      </c>
      <c r="Q136" s="17">
        <v>96446.84</v>
      </c>
      <c r="R136" s="17">
        <v>0</v>
      </c>
      <c r="S136" s="17">
        <f>Q136-R136</f>
        <v>96446.84</v>
      </c>
      <c r="T136" s="289"/>
      <c r="U136" s="285" t="s">
        <v>14616</v>
      </c>
      <c r="V136" s="14" t="s">
        <v>14624</v>
      </c>
      <c r="W136" s="22" t="s">
        <v>14625</v>
      </c>
    </row>
    <row r="137" spans="1:23" s="19" customFormat="1" ht="63" customHeight="1" x14ac:dyDescent="0.2">
      <c r="A137" s="289">
        <v>131</v>
      </c>
      <c r="B137" s="289" t="s">
        <v>14626</v>
      </c>
      <c r="C137" s="9"/>
      <c r="D137" s="9" t="s">
        <v>14627</v>
      </c>
      <c r="E137" s="22" t="s">
        <v>10757</v>
      </c>
      <c r="F137" s="416" t="s">
        <v>14628</v>
      </c>
      <c r="G137" s="285" t="s">
        <v>14629</v>
      </c>
      <c r="H137" s="361"/>
      <c r="I137" s="285" t="s">
        <v>2042</v>
      </c>
      <c r="J137" s="285" t="s">
        <v>2207</v>
      </c>
      <c r="K137" s="22" t="s">
        <v>3136</v>
      </c>
      <c r="L137" s="15">
        <v>44447</v>
      </c>
      <c r="M137" s="289">
        <v>654</v>
      </c>
      <c r="N137" s="289">
        <v>142</v>
      </c>
      <c r="O137" s="24"/>
      <c r="P137" s="15">
        <v>44439</v>
      </c>
      <c r="Q137" s="17">
        <v>341034.68</v>
      </c>
      <c r="R137" s="17">
        <v>0</v>
      </c>
      <c r="S137" s="17">
        <v>341034.68</v>
      </c>
      <c r="T137" s="289"/>
      <c r="U137" s="285" t="s">
        <v>14616</v>
      </c>
      <c r="V137" s="14" t="s">
        <v>14630</v>
      </c>
      <c r="W137" s="22" t="s">
        <v>14631</v>
      </c>
    </row>
    <row r="138" spans="1:23" s="19" customFormat="1" ht="113.25" customHeight="1" x14ac:dyDescent="0.2">
      <c r="A138" s="289">
        <v>132</v>
      </c>
      <c r="B138" s="289" t="s">
        <v>14632</v>
      </c>
      <c r="C138" s="9"/>
      <c r="D138" s="9" t="s">
        <v>14633</v>
      </c>
      <c r="E138" s="22" t="s">
        <v>10757</v>
      </c>
      <c r="F138" s="416" t="s">
        <v>14634</v>
      </c>
      <c r="G138" s="285" t="s">
        <v>14635</v>
      </c>
      <c r="H138" s="361"/>
      <c r="I138" s="285" t="s">
        <v>2042</v>
      </c>
      <c r="J138" s="285" t="s">
        <v>2207</v>
      </c>
      <c r="K138" s="22" t="s">
        <v>3136</v>
      </c>
      <c r="L138" s="14">
        <v>44481</v>
      </c>
      <c r="M138" s="285">
        <v>740</v>
      </c>
      <c r="N138" s="289">
        <v>1129.73</v>
      </c>
      <c r="O138" s="24">
        <v>1</v>
      </c>
      <c r="P138" s="15">
        <v>44469</v>
      </c>
      <c r="Q138" s="17">
        <v>1914415</v>
      </c>
      <c r="R138" s="17">
        <v>0</v>
      </c>
      <c r="S138" s="17">
        <f t="shared" ref="S138:S144" si="3">Q138-R138</f>
        <v>1914415</v>
      </c>
      <c r="T138" s="289"/>
      <c r="U138" s="285" t="s">
        <v>11113</v>
      </c>
      <c r="V138" s="14" t="s">
        <v>11111</v>
      </c>
      <c r="W138" s="22" t="s">
        <v>11112</v>
      </c>
    </row>
    <row r="139" spans="1:23" s="19" customFormat="1" ht="124.5" customHeight="1" x14ac:dyDescent="0.2">
      <c r="A139" s="289">
        <v>133</v>
      </c>
      <c r="B139" s="289" t="s">
        <v>14636</v>
      </c>
      <c r="C139" s="9"/>
      <c r="D139" s="9" t="s">
        <v>14637</v>
      </c>
      <c r="E139" s="22" t="s">
        <v>11444</v>
      </c>
      <c r="F139" s="416" t="s">
        <v>14638</v>
      </c>
      <c r="G139" s="285" t="s">
        <v>14639</v>
      </c>
      <c r="H139" s="361"/>
      <c r="I139" s="285" t="s">
        <v>2042</v>
      </c>
      <c r="J139" s="285" t="s">
        <v>2207</v>
      </c>
      <c r="K139" s="22" t="s">
        <v>3136</v>
      </c>
      <c r="L139" s="14">
        <v>44748</v>
      </c>
      <c r="M139" s="285">
        <v>515</v>
      </c>
      <c r="N139" s="289">
        <v>907</v>
      </c>
      <c r="O139" s="24">
        <v>1</v>
      </c>
      <c r="P139" s="15">
        <v>44728</v>
      </c>
      <c r="Q139" s="17">
        <v>1785666.8</v>
      </c>
      <c r="R139" s="17">
        <v>0</v>
      </c>
      <c r="S139" s="17">
        <f t="shared" si="3"/>
        <v>1785666.8</v>
      </c>
      <c r="T139" s="289"/>
      <c r="U139" s="285" t="s">
        <v>11113</v>
      </c>
      <c r="V139" s="14" t="s">
        <v>14640</v>
      </c>
      <c r="W139" s="22" t="s">
        <v>14641</v>
      </c>
    </row>
    <row r="140" spans="1:23" s="19" customFormat="1" ht="124.5" customHeight="1" x14ac:dyDescent="0.2">
      <c r="A140" s="289">
        <v>134</v>
      </c>
      <c r="B140" s="289" t="s">
        <v>14642</v>
      </c>
      <c r="C140" s="9"/>
      <c r="D140" s="9" t="s">
        <v>14637</v>
      </c>
      <c r="E140" s="22" t="s">
        <v>11444</v>
      </c>
      <c r="F140" s="416" t="s">
        <v>14643</v>
      </c>
      <c r="G140" s="285" t="s">
        <v>14639</v>
      </c>
      <c r="H140" s="361"/>
      <c r="I140" s="285" t="s">
        <v>2042</v>
      </c>
      <c r="J140" s="285" t="s">
        <v>2207</v>
      </c>
      <c r="K140" s="22" t="s">
        <v>3136</v>
      </c>
      <c r="L140" s="14">
        <v>44748</v>
      </c>
      <c r="M140" s="285">
        <v>515</v>
      </c>
      <c r="N140" s="289">
        <v>592</v>
      </c>
      <c r="O140" s="24">
        <v>1</v>
      </c>
      <c r="P140" s="15">
        <v>44736</v>
      </c>
      <c r="Q140" s="17">
        <v>1251023</v>
      </c>
      <c r="R140" s="17">
        <v>0</v>
      </c>
      <c r="S140" s="17">
        <f t="shared" si="3"/>
        <v>1251023</v>
      </c>
      <c r="T140" s="289"/>
      <c r="U140" s="285" t="s">
        <v>10477</v>
      </c>
      <c r="V140" s="14">
        <v>44649</v>
      </c>
      <c r="W140" s="22" t="s">
        <v>11747</v>
      </c>
    </row>
    <row r="141" spans="1:23" s="19" customFormat="1" ht="67.5" customHeight="1" x14ac:dyDescent="0.2">
      <c r="A141" s="289">
        <v>135</v>
      </c>
      <c r="B141" s="289" t="s">
        <v>14644</v>
      </c>
      <c r="C141" s="9"/>
      <c r="D141" s="9" t="s">
        <v>14645</v>
      </c>
      <c r="E141" s="22" t="s">
        <v>11444</v>
      </c>
      <c r="F141" s="416" t="s">
        <v>14646</v>
      </c>
      <c r="G141" s="285" t="s">
        <v>14647</v>
      </c>
      <c r="H141" s="361"/>
      <c r="I141" s="285" t="s">
        <v>2042</v>
      </c>
      <c r="J141" s="285" t="s">
        <v>2207</v>
      </c>
      <c r="K141" s="22" t="s">
        <v>3136</v>
      </c>
      <c r="L141" s="14">
        <v>44785</v>
      </c>
      <c r="M141" s="285">
        <v>636</v>
      </c>
      <c r="N141" s="289">
        <v>895.81</v>
      </c>
      <c r="O141" s="24">
        <v>1</v>
      </c>
      <c r="P141" s="15">
        <v>44784</v>
      </c>
      <c r="Q141" s="17">
        <v>1748205</v>
      </c>
      <c r="R141" s="17">
        <v>0</v>
      </c>
      <c r="S141" s="17">
        <f t="shared" si="3"/>
        <v>1748205</v>
      </c>
      <c r="T141" s="289"/>
      <c r="U141" s="285" t="s">
        <v>14648</v>
      </c>
      <c r="V141" s="14" t="s">
        <v>11900</v>
      </c>
      <c r="W141" s="22" t="s">
        <v>14649</v>
      </c>
    </row>
    <row r="142" spans="1:23" s="19" customFormat="1" ht="71.25" customHeight="1" x14ac:dyDescent="0.2">
      <c r="A142" s="289">
        <v>136</v>
      </c>
      <c r="B142" s="289" t="s">
        <v>14650</v>
      </c>
      <c r="C142" s="9"/>
      <c r="D142" s="9" t="s">
        <v>14651</v>
      </c>
      <c r="E142" s="22" t="s">
        <v>11444</v>
      </c>
      <c r="F142" s="9" t="s">
        <v>14652</v>
      </c>
      <c r="G142" s="285" t="s">
        <v>14653</v>
      </c>
      <c r="H142" s="361"/>
      <c r="I142" s="285" t="s">
        <v>2042</v>
      </c>
      <c r="J142" s="285" t="s">
        <v>2207</v>
      </c>
      <c r="K142" s="22" t="s">
        <v>3136</v>
      </c>
      <c r="L142" s="14">
        <v>44785</v>
      </c>
      <c r="M142" s="285">
        <v>636</v>
      </c>
      <c r="N142" s="289">
        <v>887.97</v>
      </c>
      <c r="O142" s="24">
        <v>1</v>
      </c>
      <c r="P142" s="15">
        <v>44784</v>
      </c>
      <c r="Q142" s="17">
        <v>1239930</v>
      </c>
      <c r="R142" s="17">
        <v>0</v>
      </c>
      <c r="S142" s="17">
        <f t="shared" si="3"/>
        <v>1239930</v>
      </c>
      <c r="T142" s="289"/>
      <c r="U142" s="285" t="s">
        <v>14648</v>
      </c>
      <c r="V142" s="14" t="s">
        <v>11900</v>
      </c>
      <c r="W142" s="22" t="s">
        <v>14649</v>
      </c>
    </row>
    <row r="143" spans="1:23" s="19" customFormat="1" ht="81" customHeight="1" x14ac:dyDescent="0.2">
      <c r="A143" s="289">
        <v>137</v>
      </c>
      <c r="B143" s="289" t="s">
        <v>14654</v>
      </c>
      <c r="C143" s="9"/>
      <c r="D143" s="9" t="s">
        <v>14655</v>
      </c>
      <c r="E143" s="22" t="s">
        <v>11444</v>
      </c>
      <c r="F143" s="416" t="s">
        <v>14656</v>
      </c>
      <c r="G143" s="285" t="s">
        <v>14657</v>
      </c>
      <c r="H143" s="361"/>
      <c r="I143" s="285" t="s">
        <v>2042</v>
      </c>
      <c r="J143" s="285" t="s">
        <v>2207</v>
      </c>
      <c r="K143" s="22" t="s">
        <v>3136</v>
      </c>
      <c r="L143" s="15">
        <v>44818</v>
      </c>
      <c r="M143" s="289">
        <v>743</v>
      </c>
      <c r="N143" s="289">
        <v>142</v>
      </c>
      <c r="O143" s="24">
        <v>1</v>
      </c>
      <c r="P143" s="15">
        <v>44792</v>
      </c>
      <c r="Q143" s="17">
        <v>448950.02</v>
      </c>
      <c r="R143" s="17">
        <v>0</v>
      </c>
      <c r="S143" s="17">
        <f t="shared" si="3"/>
        <v>448950.02</v>
      </c>
      <c r="T143" s="289"/>
      <c r="U143" s="285" t="s">
        <v>14616</v>
      </c>
      <c r="V143" s="14" t="s">
        <v>14658</v>
      </c>
      <c r="W143" s="22" t="s">
        <v>14659</v>
      </c>
    </row>
    <row r="144" spans="1:23" s="19" customFormat="1" ht="81" customHeight="1" x14ac:dyDescent="0.2">
      <c r="A144" s="289">
        <v>138</v>
      </c>
      <c r="B144" s="289" t="s">
        <v>14660</v>
      </c>
      <c r="C144" s="9"/>
      <c r="D144" s="9" t="s">
        <v>14661</v>
      </c>
      <c r="E144" s="22" t="s">
        <v>11444</v>
      </c>
      <c r="F144" s="416" t="s">
        <v>14662</v>
      </c>
      <c r="G144" s="285" t="s">
        <v>14663</v>
      </c>
      <c r="H144" s="285" t="s">
        <v>8293</v>
      </c>
      <c r="I144" s="285" t="s">
        <v>5127</v>
      </c>
      <c r="J144" s="285"/>
      <c r="K144" s="22" t="s">
        <v>3136</v>
      </c>
      <c r="L144" s="15">
        <v>44914</v>
      </c>
      <c r="M144" s="289">
        <v>1188</v>
      </c>
      <c r="N144" s="289">
        <v>1456</v>
      </c>
      <c r="O144" s="24">
        <v>1</v>
      </c>
      <c r="P144" s="15">
        <v>44890</v>
      </c>
      <c r="Q144" s="17">
        <v>2354979.2000000002</v>
      </c>
      <c r="R144" s="17">
        <v>65416.09</v>
      </c>
      <c r="S144" s="17">
        <f t="shared" si="3"/>
        <v>2289563.1100000003</v>
      </c>
      <c r="T144" s="289"/>
      <c r="U144" s="285" t="s">
        <v>14664</v>
      </c>
      <c r="V144" s="14">
        <v>44837</v>
      </c>
      <c r="W144" s="22" t="s">
        <v>14665</v>
      </c>
    </row>
    <row r="145" spans="1:23" s="450" customFormat="1" ht="20.25" customHeight="1" x14ac:dyDescent="0.2">
      <c r="A145" s="7"/>
      <c r="B145" s="533"/>
      <c r="C145" s="159"/>
      <c r="D145" s="564"/>
      <c r="E145" s="565"/>
      <c r="F145" s="564"/>
      <c r="G145" s="565"/>
      <c r="H145" s="565"/>
      <c r="I145" s="565"/>
      <c r="J145" s="565"/>
      <c r="K145" s="566"/>
      <c r="L145" s="566"/>
      <c r="M145" s="567"/>
      <c r="N145" s="568">
        <f>SUM(N7:N144)</f>
        <v>942117.06000000017</v>
      </c>
      <c r="O145" s="569"/>
      <c r="P145" s="570"/>
      <c r="Q145" s="568">
        <f>SUM(Q7:Q144)</f>
        <v>80959441.62000002</v>
      </c>
      <c r="R145" s="568"/>
      <c r="S145" s="568"/>
      <c r="T145" s="526"/>
      <c r="U145" s="159"/>
      <c r="V145" s="159"/>
      <c r="W145" s="533"/>
    </row>
    <row r="146" spans="1:23" s="450" customFormat="1" ht="11.25" x14ac:dyDescent="0.2">
      <c r="A146" s="7"/>
      <c r="B146" s="159"/>
      <c r="C146" s="159"/>
      <c r="D146" s="564"/>
      <c r="E146" s="565"/>
      <c r="F146" s="564"/>
      <c r="G146" s="565"/>
      <c r="H146" s="565"/>
      <c r="I146" s="565"/>
      <c r="J146" s="565"/>
      <c r="K146" s="565"/>
      <c r="L146" s="565"/>
      <c r="M146" s="159"/>
      <c r="N146" s="565"/>
      <c r="O146" s="571"/>
      <c r="P146" s="531"/>
      <c r="Q146" s="524"/>
      <c r="R146" s="524"/>
      <c r="S146" s="524"/>
      <c r="T146" s="526"/>
      <c r="U146" s="159"/>
      <c r="V146" s="159"/>
      <c r="W146" s="533"/>
    </row>
    <row r="147" spans="1:23" s="450" customFormat="1" ht="11.25" x14ac:dyDescent="0.2">
      <c r="A147" s="7"/>
      <c r="B147" s="7"/>
      <c r="C147" s="534"/>
      <c r="D147" s="534"/>
      <c r="E147" s="159"/>
      <c r="F147" s="534"/>
      <c r="G147" s="159"/>
      <c r="H147" s="159"/>
      <c r="I147" s="159"/>
      <c r="J147" s="159"/>
      <c r="K147" s="159"/>
      <c r="L147" s="159"/>
      <c r="M147" s="7"/>
      <c r="N147" s="159"/>
      <c r="O147" s="572"/>
      <c r="P147" s="525"/>
      <c r="Q147" s="524"/>
      <c r="R147" s="524"/>
      <c r="S147" s="524"/>
      <c r="T147" s="526"/>
      <c r="U147" s="524"/>
      <c r="V147" s="524"/>
      <c r="W147" s="526"/>
    </row>
    <row r="148" spans="1:23" s="450" customFormat="1" ht="11.25" x14ac:dyDescent="0.2">
      <c r="A148" s="7"/>
      <c r="B148" s="7"/>
      <c r="C148" s="159"/>
      <c r="E148" s="7"/>
      <c r="F148" s="534"/>
      <c r="G148" s="159"/>
      <c r="H148" s="159"/>
      <c r="I148" s="7"/>
      <c r="J148" s="7"/>
      <c r="K148" s="7"/>
      <c r="L148" s="7"/>
      <c r="M148" s="7"/>
      <c r="N148" s="7"/>
      <c r="O148" s="572"/>
      <c r="P148" s="525"/>
      <c r="Q148" s="524"/>
      <c r="R148" s="7"/>
      <c r="S148" s="7"/>
      <c r="U148" s="7"/>
      <c r="V148" s="7"/>
      <c r="W148" s="7"/>
    </row>
    <row r="149" spans="1:23" s="450" customFormat="1" ht="11.25" x14ac:dyDescent="0.2">
      <c r="A149" s="7"/>
      <c r="B149" s="7"/>
      <c r="C149" s="159"/>
      <c r="E149" s="7"/>
      <c r="F149" s="534"/>
      <c r="G149" s="159"/>
      <c r="H149" s="159"/>
      <c r="I149" s="7"/>
      <c r="J149" s="7"/>
      <c r="K149" s="7"/>
      <c r="L149" s="7"/>
      <c r="M149" s="7"/>
      <c r="N149" s="7"/>
      <c r="O149" s="572"/>
      <c r="P149" s="525"/>
      <c r="Q149" s="7"/>
      <c r="R149" s="7"/>
      <c r="S149" s="7"/>
      <c r="U149" s="7"/>
      <c r="V149" s="7"/>
      <c r="W149" s="7"/>
    </row>
    <row r="150" spans="1:23" s="450" customFormat="1" ht="11.25" x14ac:dyDescent="0.2">
      <c r="A150" s="7"/>
      <c r="B150" s="7"/>
      <c r="C150" s="159"/>
      <c r="E150" s="7"/>
      <c r="F150" s="534"/>
      <c r="G150" s="159"/>
      <c r="H150" s="159"/>
      <c r="I150" s="7"/>
      <c r="J150" s="7"/>
      <c r="K150" s="7"/>
      <c r="L150" s="7"/>
      <c r="M150" s="7"/>
      <c r="N150" s="7"/>
      <c r="O150" s="572"/>
      <c r="P150" s="525"/>
      <c r="Q150" s="7"/>
      <c r="R150" s="7"/>
      <c r="S150" s="7"/>
      <c r="U150" s="7"/>
      <c r="V150" s="7"/>
      <c r="W150" s="7"/>
    </row>
    <row r="152" spans="1:23" s="450" customFormat="1" ht="11.25" x14ac:dyDescent="0.2">
      <c r="A152" s="7"/>
      <c r="B152" s="7"/>
      <c r="C152" s="159"/>
      <c r="E152" s="7"/>
      <c r="F152" s="534"/>
      <c r="G152" s="159"/>
      <c r="H152" s="159"/>
      <c r="I152" s="7"/>
      <c r="J152" s="7"/>
      <c r="K152" s="7"/>
      <c r="L152" s="7"/>
      <c r="M152" s="7"/>
      <c r="N152" s="7"/>
      <c r="O152" s="572"/>
      <c r="P152" s="525"/>
      <c r="Q152" s="7"/>
      <c r="R152" s="7"/>
      <c r="S152" s="7"/>
      <c r="U152" s="7"/>
      <c r="V152" s="7"/>
      <c r="W152" s="7"/>
    </row>
    <row r="153" spans="1:23" s="450" customFormat="1" ht="11.25" x14ac:dyDescent="0.2">
      <c r="A153" s="7"/>
      <c r="B153" s="7"/>
      <c r="C153" s="159"/>
      <c r="E153" s="7"/>
      <c r="F153" s="534"/>
      <c r="G153" s="159"/>
      <c r="H153" s="159"/>
      <c r="I153" s="7"/>
      <c r="J153" s="7"/>
      <c r="K153" s="7"/>
      <c r="L153" s="7"/>
      <c r="M153" s="7"/>
      <c r="N153" s="7"/>
      <c r="O153" s="572"/>
      <c r="P153" s="525"/>
      <c r="Q153" s="7"/>
      <c r="R153" s="7"/>
      <c r="S153" s="7"/>
      <c r="U153" s="7"/>
      <c r="V153" s="7"/>
      <c r="W153" s="7"/>
    </row>
    <row r="154" spans="1:23" s="450" customFormat="1" ht="11.25" x14ac:dyDescent="0.2">
      <c r="A154" s="7"/>
      <c r="B154" s="7"/>
      <c r="C154" s="159"/>
      <c r="E154" s="7"/>
      <c r="F154" s="534"/>
      <c r="G154" s="159"/>
      <c r="H154" s="159"/>
      <c r="I154" s="7"/>
      <c r="J154" s="7"/>
      <c r="K154" s="7"/>
      <c r="L154" s="7"/>
      <c r="M154" s="7"/>
      <c r="N154" s="7"/>
      <c r="O154" s="572"/>
      <c r="P154" s="525"/>
      <c r="Q154" s="7"/>
      <c r="R154" s="7"/>
      <c r="S154" s="7"/>
      <c r="U154" s="7"/>
      <c r="V154" s="7"/>
      <c r="W154" s="7"/>
    </row>
    <row r="155" spans="1:23" s="450" customFormat="1" ht="11.25" x14ac:dyDescent="0.2">
      <c r="A155" s="7"/>
      <c r="B155" s="7"/>
      <c r="C155" s="159"/>
      <c r="E155" s="7"/>
      <c r="F155" s="534"/>
      <c r="G155" s="159"/>
      <c r="H155" s="159"/>
      <c r="I155" s="7"/>
      <c r="J155" s="7"/>
      <c r="K155" s="7"/>
      <c r="L155" s="7"/>
      <c r="M155" s="7"/>
      <c r="N155" s="7"/>
      <c r="O155" s="572"/>
      <c r="P155" s="525"/>
      <c r="Q155" s="7"/>
      <c r="R155" s="7"/>
      <c r="S155" s="7"/>
      <c r="U155" s="7"/>
      <c r="V155" s="7"/>
      <c r="W155" s="7"/>
    </row>
    <row r="156" spans="1:23" s="450" customFormat="1" ht="11.25" x14ac:dyDescent="0.2">
      <c r="A156" s="7"/>
      <c r="B156" s="7"/>
      <c r="C156" s="159"/>
      <c r="E156" s="7"/>
      <c r="F156" s="534"/>
      <c r="G156" s="159"/>
      <c r="H156" s="159"/>
      <c r="I156" s="7"/>
      <c r="J156" s="7"/>
      <c r="K156" s="7"/>
      <c r="L156" s="7"/>
      <c r="M156" s="7"/>
      <c r="N156" s="7"/>
      <c r="O156" s="572"/>
      <c r="P156" s="525"/>
      <c r="Q156" s="7"/>
      <c r="R156" s="7"/>
      <c r="S156" s="7"/>
      <c r="U156" s="7"/>
      <c r="V156" s="7"/>
      <c r="W156" s="7"/>
    </row>
    <row r="157" spans="1:23" s="450" customFormat="1" ht="11.25" x14ac:dyDescent="0.2">
      <c r="A157" s="7"/>
      <c r="B157" s="7"/>
      <c r="C157" s="159"/>
      <c r="E157" s="7"/>
      <c r="F157" s="534"/>
      <c r="G157" s="159"/>
      <c r="H157" s="159"/>
      <c r="I157" s="7"/>
      <c r="J157" s="7"/>
      <c r="K157" s="7"/>
      <c r="L157" s="7"/>
      <c r="M157" s="7"/>
      <c r="N157" s="7"/>
      <c r="O157" s="572"/>
      <c r="P157" s="525"/>
      <c r="Q157" s="7"/>
      <c r="R157" s="7"/>
      <c r="S157" s="7"/>
      <c r="U157" s="7"/>
      <c r="V157" s="7"/>
      <c r="W157" s="7"/>
    </row>
    <row r="158" spans="1:23" s="450" customFormat="1" ht="11.25" x14ac:dyDescent="0.2">
      <c r="A158" s="7"/>
      <c r="B158" s="7"/>
      <c r="C158" s="159"/>
      <c r="E158" s="7"/>
      <c r="F158" s="534"/>
      <c r="G158" s="159"/>
      <c r="H158" s="159"/>
      <c r="I158" s="7"/>
      <c r="J158" s="7"/>
      <c r="K158" s="7"/>
      <c r="L158" s="7"/>
      <c r="M158" s="7"/>
      <c r="N158" s="7"/>
      <c r="O158" s="572"/>
      <c r="P158" s="525"/>
      <c r="Q158" s="7"/>
      <c r="R158" s="7"/>
      <c r="S158" s="7"/>
      <c r="U158" s="7"/>
      <c r="V158" s="7"/>
      <c r="W158" s="7"/>
    </row>
    <row r="159" spans="1:23" s="450" customFormat="1" ht="11.25" x14ac:dyDescent="0.2">
      <c r="A159" s="7"/>
      <c r="B159" s="7"/>
      <c r="C159" s="159"/>
      <c r="E159" s="7"/>
      <c r="F159" s="534"/>
      <c r="G159" s="159"/>
      <c r="H159" s="159"/>
      <c r="I159" s="7"/>
      <c r="J159" s="7"/>
      <c r="K159" s="7"/>
      <c r="L159" s="7"/>
      <c r="M159" s="7"/>
      <c r="N159" s="7"/>
      <c r="O159" s="572"/>
      <c r="P159" s="525"/>
      <c r="Q159" s="7"/>
      <c r="R159" s="7"/>
      <c r="S159" s="7"/>
      <c r="U159" s="7"/>
      <c r="V159" s="7"/>
      <c r="W159" s="7"/>
    </row>
    <row r="160" spans="1:23" s="450" customFormat="1" ht="11.25" x14ac:dyDescent="0.2">
      <c r="A160" s="7"/>
      <c r="B160" s="7"/>
      <c r="C160" s="159"/>
      <c r="E160" s="7"/>
      <c r="F160" s="534"/>
      <c r="G160" s="159"/>
      <c r="H160" s="159"/>
      <c r="I160" s="7"/>
      <c r="J160" s="7"/>
      <c r="K160" s="7"/>
      <c r="L160" s="7"/>
      <c r="M160" s="7"/>
      <c r="N160" s="7"/>
      <c r="O160" s="572"/>
      <c r="P160" s="525"/>
      <c r="Q160" s="7"/>
      <c r="R160" s="7"/>
      <c r="S160" s="7"/>
      <c r="U160" s="7"/>
      <c r="V160" s="7"/>
      <c r="W160" s="7"/>
    </row>
    <row r="161" spans="1:23" s="450" customFormat="1" ht="11.25" x14ac:dyDescent="0.2">
      <c r="A161" s="7"/>
      <c r="B161" s="7"/>
      <c r="C161" s="159"/>
      <c r="E161" s="7"/>
      <c r="F161" s="534"/>
      <c r="G161" s="159"/>
      <c r="H161" s="159"/>
      <c r="I161" s="7"/>
      <c r="J161" s="7"/>
      <c r="K161" s="7"/>
      <c r="L161" s="7"/>
      <c r="M161" s="7"/>
      <c r="N161" s="7"/>
      <c r="O161" s="572"/>
      <c r="P161" s="525"/>
      <c r="Q161" s="7"/>
      <c r="R161" s="7"/>
      <c r="S161" s="7"/>
      <c r="U161" s="7"/>
      <c r="V161" s="7"/>
      <c r="W161" s="7"/>
    </row>
    <row r="162" spans="1:23" s="450" customFormat="1" ht="11.25" x14ac:dyDescent="0.2">
      <c r="A162" s="7"/>
      <c r="B162" s="7"/>
      <c r="C162" s="159"/>
      <c r="E162" s="7"/>
      <c r="F162" s="534"/>
      <c r="G162" s="159"/>
      <c r="H162" s="159"/>
      <c r="I162" s="7"/>
      <c r="J162" s="7"/>
      <c r="K162" s="7"/>
      <c r="L162" s="7"/>
      <c r="M162" s="7"/>
      <c r="N162" s="7"/>
      <c r="O162" s="572"/>
      <c r="P162" s="525"/>
      <c r="Q162" s="7"/>
      <c r="R162" s="7"/>
      <c r="S162" s="7"/>
      <c r="U162" s="7"/>
      <c r="V162" s="7"/>
      <c r="W162" s="7"/>
    </row>
    <row r="163" spans="1:23" s="450" customFormat="1" ht="11.25" x14ac:dyDescent="0.2">
      <c r="A163" s="7"/>
      <c r="B163" s="7"/>
      <c r="C163" s="159"/>
      <c r="E163" s="7"/>
      <c r="F163" s="534"/>
      <c r="G163" s="159"/>
      <c r="H163" s="159"/>
      <c r="I163" s="7"/>
      <c r="J163" s="7"/>
      <c r="K163" s="7"/>
      <c r="L163" s="7"/>
      <c r="M163" s="7"/>
      <c r="N163" s="7"/>
      <c r="O163" s="572"/>
      <c r="P163" s="525"/>
      <c r="Q163" s="7"/>
      <c r="R163" s="7"/>
      <c r="S163" s="7"/>
      <c r="U163" s="7"/>
      <c r="V163" s="7"/>
      <c r="W163" s="7"/>
    </row>
    <row r="164" spans="1:23" s="450" customFormat="1" ht="11.25" x14ac:dyDescent="0.2">
      <c r="A164" s="7"/>
      <c r="B164" s="7"/>
      <c r="C164" s="159"/>
      <c r="E164" s="7"/>
      <c r="F164" s="534"/>
      <c r="G164" s="159"/>
      <c r="H164" s="159"/>
      <c r="I164" s="7"/>
      <c r="J164" s="7"/>
      <c r="K164" s="7"/>
      <c r="L164" s="7"/>
      <c r="M164" s="7"/>
      <c r="N164" s="7"/>
      <c r="O164" s="572"/>
      <c r="P164" s="525"/>
      <c r="Q164" s="7"/>
      <c r="R164" s="7"/>
      <c r="S164" s="7"/>
      <c r="U164" s="7"/>
      <c r="V164" s="7"/>
      <c r="W164" s="7"/>
    </row>
    <row r="165" spans="1:23" s="450" customFormat="1" ht="11.25" x14ac:dyDescent="0.2">
      <c r="A165" s="7"/>
      <c r="B165" s="7"/>
      <c r="C165" s="159"/>
      <c r="E165" s="7"/>
      <c r="F165" s="534"/>
      <c r="G165" s="159"/>
      <c r="H165" s="159"/>
      <c r="I165" s="7"/>
      <c r="J165" s="7"/>
      <c r="K165" s="7"/>
      <c r="L165" s="7"/>
      <c r="M165" s="7"/>
      <c r="N165" s="7"/>
      <c r="O165" s="572"/>
      <c r="P165" s="525"/>
      <c r="Q165" s="7"/>
      <c r="R165" s="7"/>
      <c r="S165" s="7"/>
      <c r="U165" s="7"/>
      <c r="V165" s="7"/>
      <c r="W165" s="7"/>
    </row>
    <row r="166" spans="1:23" s="450" customFormat="1" ht="11.25" x14ac:dyDescent="0.2">
      <c r="A166" s="7"/>
      <c r="B166" s="7"/>
      <c r="C166" s="159"/>
      <c r="E166" s="7"/>
      <c r="F166" s="534"/>
      <c r="G166" s="159"/>
      <c r="H166" s="159"/>
      <c r="I166" s="7"/>
      <c r="J166" s="7"/>
      <c r="K166" s="7"/>
      <c r="L166" s="7"/>
      <c r="M166" s="7"/>
      <c r="N166" s="7"/>
      <c r="O166" s="572"/>
      <c r="P166" s="525"/>
      <c r="Q166" s="7"/>
      <c r="R166" s="7"/>
      <c r="S166" s="7"/>
      <c r="U166" s="7"/>
      <c r="V166" s="7"/>
      <c r="W166" s="7"/>
    </row>
    <row r="167" spans="1:23" s="450" customFormat="1" ht="11.25" x14ac:dyDescent="0.2">
      <c r="A167" s="7"/>
      <c r="B167" s="7"/>
      <c r="C167" s="159"/>
      <c r="E167" s="7"/>
      <c r="F167" s="534"/>
      <c r="G167" s="159"/>
      <c r="H167" s="159"/>
      <c r="I167" s="7"/>
      <c r="J167" s="7"/>
      <c r="K167" s="7"/>
      <c r="L167" s="7"/>
      <c r="M167" s="7"/>
      <c r="N167" s="7"/>
      <c r="O167" s="572"/>
      <c r="P167" s="525"/>
      <c r="Q167" s="7"/>
      <c r="R167" s="7"/>
      <c r="S167" s="7"/>
      <c r="U167" s="7"/>
      <c r="V167" s="7"/>
      <c r="W167" s="7"/>
    </row>
    <row r="168" spans="1:23" s="450" customFormat="1" ht="11.25" x14ac:dyDescent="0.2">
      <c r="A168" s="7"/>
      <c r="B168" s="7"/>
      <c r="C168" s="159"/>
      <c r="E168" s="7"/>
      <c r="F168" s="534"/>
      <c r="G168" s="159"/>
      <c r="H168" s="159"/>
      <c r="I168" s="7"/>
      <c r="J168" s="7"/>
      <c r="K168" s="7"/>
      <c r="L168" s="7"/>
      <c r="M168" s="7"/>
      <c r="N168" s="7"/>
      <c r="O168" s="572"/>
      <c r="P168" s="525"/>
      <c r="Q168" s="7"/>
      <c r="R168" s="7"/>
      <c r="S168" s="7"/>
      <c r="U168" s="7"/>
      <c r="V168" s="7"/>
      <c r="W168" s="7"/>
    </row>
    <row r="169" spans="1:23" s="450" customFormat="1" ht="11.25" x14ac:dyDescent="0.2">
      <c r="A169" s="7"/>
      <c r="B169" s="7"/>
      <c r="C169" s="159"/>
      <c r="E169" s="7"/>
      <c r="F169" s="534"/>
      <c r="G169" s="159"/>
      <c r="H169" s="159"/>
      <c r="I169" s="7"/>
      <c r="J169" s="7"/>
      <c r="K169" s="7"/>
      <c r="L169" s="7"/>
      <c r="M169" s="7"/>
      <c r="N169" s="7"/>
      <c r="O169" s="572"/>
      <c r="P169" s="525"/>
      <c r="Q169" s="7"/>
      <c r="R169" s="7"/>
      <c r="S169" s="7"/>
      <c r="U169" s="7"/>
      <c r="V169" s="7"/>
      <c r="W169" s="7"/>
    </row>
    <row r="170" spans="1:23" s="450" customFormat="1" ht="11.25" x14ac:dyDescent="0.2">
      <c r="A170" s="7"/>
      <c r="B170" s="7"/>
      <c r="C170" s="159"/>
      <c r="E170" s="7"/>
      <c r="F170" s="534"/>
      <c r="G170" s="159"/>
      <c r="H170" s="159"/>
      <c r="I170" s="7"/>
      <c r="J170" s="7"/>
      <c r="K170" s="7"/>
      <c r="L170" s="7"/>
      <c r="M170" s="7"/>
      <c r="N170" s="7"/>
      <c r="O170" s="572"/>
      <c r="P170" s="525"/>
      <c r="Q170" s="7"/>
      <c r="R170" s="7"/>
      <c r="S170" s="7"/>
      <c r="U170" s="7"/>
      <c r="V170" s="7"/>
      <c r="W170" s="7"/>
    </row>
    <row r="171" spans="1:23" s="450" customFormat="1" ht="11.25" x14ac:dyDescent="0.2">
      <c r="A171" s="7"/>
      <c r="B171" s="7"/>
      <c r="C171" s="159"/>
      <c r="E171" s="7"/>
      <c r="F171" s="534"/>
      <c r="G171" s="159"/>
      <c r="H171" s="159"/>
      <c r="I171" s="7"/>
      <c r="J171" s="7"/>
      <c r="K171" s="7"/>
      <c r="L171" s="7"/>
      <c r="M171" s="7"/>
      <c r="N171" s="7"/>
      <c r="O171" s="572"/>
      <c r="P171" s="525"/>
      <c r="Q171" s="7"/>
      <c r="R171" s="7"/>
      <c r="S171" s="7"/>
      <c r="U171" s="7"/>
      <c r="V171" s="7"/>
      <c r="W171" s="7"/>
    </row>
    <row r="172" spans="1:23" s="450" customFormat="1" ht="11.25" x14ac:dyDescent="0.2">
      <c r="A172" s="7"/>
      <c r="B172" s="7"/>
      <c r="C172" s="159"/>
      <c r="E172" s="7"/>
      <c r="F172" s="534"/>
      <c r="G172" s="159"/>
      <c r="H172" s="159"/>
      <c r="I172" s="7"/>
      <c r="J172" s="7"/>
      <c r="K172" s="7"/>
      <c r="L172" s="7"/>
      <c r="M172" s="7"/>
      <c r="N172" s="7"/>
      <c r="O172" s="572"/>
      <c r="P172" s="525"/>
      <c r="Q172" s="7"/>
      <c r="R172" s="7"/>
      <c r="S172" s="7"/>
      <c r="U172" s="7"/>
      <c r="V172" s="7"/>
      <c r="W172" s="7"/>
    </row>
    <row r="173" spans="1:23" s="450" customFormat="1" ht="11.25" x14ac:dyDescent="0.2">
      <c r="A173" s="7"/>
      <c r="B173" s="7"/>
      <c r="C173" s="159"/>
      <c r="E173" s="7"/>
      <c r="F173" s="534"/>
      <c r="G173" s="159"/>
      <c r="H173" s="159"/>
      <c r="I173" s="7"/>
      <c r="J173" s="7"/>
      <c r="K173" s="7"/>
      <c r="L173" s="7"/>
      <c r="M173" s="7"/>
      <c r="N173" s="7"/>
      <c r="O173" s="572"/>
      <c r="P173" s="525"/>
      <c r="Q173" s="7"/>
      <c r="R173" s="7"/>
      <c r="S173" s="7"/>
      <c r="U173" s="7"/>
      <c r="V173" s="7"/>
      <c r="W173" s="7"/>
    </row>
    <row r="174" spans="1:23" s="450" customFormat="1" ht="11.25" x14ac:dyDescent="0.2">
      <c r="A174" s="7"/>
      <c r="B174" s="7"/>
      <c r="C174" s="159"/>
      <c r="E174" s="7"/>
      <c r="F174" s="534"/>
      <c r="G174" s="159"/>
      <c r="H174" s="159"/>
      <c r="I174" s="7"/>
      <c r="J174" s="7"/>
      <c r="K174" s="7"/>
      <c r="L174" s="7"/>
      <c r="M174" s="7"/>
      <c r="N174" s="7"/>
      <c r="O174" s="572"/>
      <c r="P174" s="525"/>
      <c r="Q174" s="7"/>
      <c r="R174" s="7"/>
      <c r="S174" s="7"/>
      <c r="U174" s="7"/>
      <c r="V174" s="7"/>
      <c r="W174" s="7"/>
    </row>
    <row r="175" spans="1:23" s="450" customFormat="1" ht="11.25" x14ac:dyDescent="0.2">
      <c r="A175" s="7"/>
      <c r="B175" s="7"/>
      <c r="C175" s="159"/>
      <c r="E175" s="7"/>
      <c r="F175" s="534"/>
      <c r="G175" s="159"/>
      <c r="H175" s="159"/>
      <c r="I175" s="7"/>
      <c r="J175" s="7"/>
      <c r="K175" s="7"/>
      <c r="L175" s="7"/>
      <c r="M175" s="7"/>
      <c r="N175" s="7"/>
      <c r="O175" s="572"/>
      <c r="P175" s="525"/>
      <c r="Q175" s="7"/>
      <c r="R175" s="7"/>
      <c r="S175" s="7"/>
      <c r="U175" s="7"/>
      <c r="V175" s="7"/>
      <c r="W175" s="7"/>
    </row>
    <row r="176" spans="1:23" s="450" customFormat="1" ht="11.25" x14ac:dyDescent="0.2">
      <c r="A176" s="7"/>
      <c r="B176" s="7"/>
      <c r="C176" s="159"/>
      <c r="E176" s="7"/>
      <c r="F176" s="534"/>
      <c r="G176" s="159"/>
      <c r="H176" s="159"/>
      <c r="I176" s="7"/>
      <c r="J176" s="7"/>
      <c r="K176" s="7"/>
      <c r="L176" s="7"/>
      <c r="M176" s="7"/>
      <c r="N176" s="7"/>
      <c r="O176" s="572"/>
      <c r="P176" s="525"/>
      <c r="Q176" s="7"/>
      <c r="R176" s="7"/>
      <c r="S176" s="7"/>
      <c r="U176" s="7"/>
      <c r="V176" s="7"/>
      <c r="W176" s="7"/>
    </row>
    <row r="177" spans="1:23" s="450" customFormat="1" ht="11.25" x14ac:dyDescent="0.2">
      <c r="A177" s="7"/>
      <c r="B177" s="7"/>
      <c r="C177" s="159"/>
      <c r="E177" s="7"/>
      <c r="F177" s="534"/>
      <c r="G177" s="159"/>
      <c r="H177" s="159"/>
      <c r="I177" s="7"/>
      <c r="J177" s="7"/>
      <c r="K177" s="7"/>
      <c r="L177" s="7"/>
      <c r="M177" s="7"/>
      <c r="N177" s="7"/>
      <c r="O177" s="572"/>
      <c r="P177" s="525"/>
      <c r="Q177" s="7"/>
      <c r="R177" s="7"/>
      <c r="S177" s="7"/>
      <c r="U177" s="7"/>
      <c r="V177" s="7"/>
      <c r="W177" s="7"/>
    </row>
    <row r="178" spans="1:23" s="450" customFormat="1" ht="11.25" x14ac:dyDescent="0.2">
      <c r="A178" s="7"/>
      <c r="B178" s="7"/>
      <c r="C178" s="159"/>
      <c r="E178" s="7"/>
      <c r="F178" s="534"/>
      <c r="G178" s="159"/>
      <c r="H178" s="159"/>
      <c r="I178" s="7"/>
      <c r="J178" s="7"/>
      <c r="K178" s="7"/>
      <c r="L178" s="7"/>
      <c r="M178" s="7"/>
      <c r="N178" s="7"/>
      <c r="O178" s="572"/>
      <c r="P178" s="525"/>
      <c r="Q178" s="7"/>
      <c r="R178" s="7"/>
      <c r="S178" s="7"/>
      <c r="U178" s="7"/>
      <c r="V178" s="7"/>
      <c r="W178" s="7"/>
    </row>
    <row r="179" spans="1:23" s="450" customFormat="1" ht="11.25" x14ac:dyDescent="0.2">
      <c r="A179" s="7"/>
      <c r="B179" s="7"/>
      <c r="C179" s="159"/>
      <c r="E179" s="7"/>
      <c r="F179" s="534"/>
      <c r="G179" s="159"/>
      <c r="H179" s="159"/>
      <c r="I179" s="7"/>
      <c r="J179" s="7"/>
      <c r="K179" s="7"/>
      <c r="L179" s="7"/>
      <c r="M179" s="7"/>
      <c r="N179" s="7"/>
      <c r="O179" s="572"/>
      <c r="P179" s="525"/>
      <c r="Q179" s="7"/>
      <c r="R179" s="7"/>
      <c r="S179" s="7"/>
      <c r="U179" s="7"/>
      <c r="V179" s="7"/>
      <c r="W179" s="7"/>
    </row>
    <row r="180" spans="1:23" s="450" customFormat="1" ht="11.25" x14ac:dyDescent="0.2">
      <c r="A180" s="7"/>
      <c r="B180" s="7"/>
      <c r="C180" s="159"/>
      <c r="E180" s="7"/>
      <c r="F180" s="534"/>
      <c r="G180" s="159"/>
      <c r="H180" s="159"/>
      <c r="I180" s="7"/>
      <c r="J180" s="7"/>
      <c r="K180" s="7"/>
      <c r="L180" s="7"/>
      <c r="M180" s="7"/>
      <c r="N180" s="7"/>
      <c r="O180" s="572"/>
      <c r="P180" s="525"/>
      <c r="Q180" s="7"/>
      <c r="R180" s="7"/>
      <c r="S180" s="7"/>
      <c r="U180" s="7"/>
      <c r="V180" s="7"/>
      <c r="W180" s="7"/>
    </row>
    <row r="181" spans="1:23" s="450" customFormat="1" ht="11.25" x14ac:dyDescent="0.2">
      <c r="A181" s="7"/>
      <c r="B181" s="7"/>
      <c r="C181" s="159"/>
      <c r="E181" s="7"/>
      <c r="F181" s="534"/>
      <c r="G181" s="159"/>
      <c r="H181" s="159"/>
      <c r="I181" s="7"/>
      <c r="J181" s="7"/>
      <c r="K181" s="7"/>
      <c r="L181" s="7"/>
      <c r="M181" s="7"/>
      <c r="N181" s="7"/>
      <c r="O181" s="572"/>
      <c r="P181" s="525"/>
      <c r="Q181" s="7"/>
      <c r="R181" s="7"/>
      <c r="S181" s="7"/>
      <c r="U181" s="7"/>
      <c r="V181" s="7"/>
      <c r="W181" s="7"/>
    </row>
    <row r="182" spans="1:23" s="450" customFormat="1" ht="11.25" x14ac:dyDescent="0.2">
      <c r="A182" s="7"/>
      <c r="B182" s="7"/>
      <c r="C182" s="159"/>
      <c r="E182" s="7"/>
      <c r="F182" s="534"/>
      <c r="G182" s="159"/>
      <c r="H182" s="159"/>
      <c r="I182" s="7"/>
      <c r="J182" s="7"/>
      <c r="K182" s="7"/>
      <c r="L182" s="7"/>
      <c r="M182" s="7"/>
      <c r="N182" s="7"/>
      <c r="O182" s="572"/>
      <c r="P182" s="525"/>
      <c r="Q182" s="7"/>
      <c r="R182" s="7"/>
      <c r="S182" s="7"/>
      <c r="U182" s="7"/>
      <c r="V182" s="7"/>
      <c r="W182" s="7"/>
    </row>
    <row r="183" spans="1:23" s="450" customFormat="1" ht="11.25" x14ac:dyDescent="0.2">
      <c r="A183" s="7"/>
      <c r="B183" s="7"/>
      <c r="C183" s="159"/>
      <c r="E183" s="7"/>
      <c r="F183" s="534"/>
      <c r="G183" s="159"/>
      <c r="H183" s="159"/>
      <c r="I183" s="7"/>
      <c r="J183" s="7"/>
      <c r="K183" s="7"/>
      <c r="L183" s="7"/>
      <c r="M183" s="7"/>
      <c r="N183" s="7"/>
      <c r="O183" s="572"/>
      <c r="P183" s="525"/>
      <c r="Q183" s="7"/>
      <c r="R183" s="7"/>
      <c r="S183" s="7"/>
      <c r="U183" s="7"/>
      <c r="V183" s="7"/>
      <c r="W183" s="7"/>
    </row>
    <row r="184" spans="1:23" s="450" customFormat="1" ht="11.25" x14ac:dyDescent="0.2">
      <c r="A184" s="7"/>
      <c r="B184" s="7"/>
      <c r="C184" s="159"/>
      <c r="E184" s="7"/>
      <c r="F184" s="534"/>
      <c r="G184" s="159"/>
      <c r="H184" s="159"/>
      <c r="I184" s="7"/>
      <c r="J184" s="7"/>
      <c r="K184" s="7"/>
      <c r="L184" s="7"/>
      <c r="M184" s="7"/>
      <c r="N184" s="7"/>
      <c r="O184" s="572"/>
      <c r="P184" s="525"/>
      <c r="Q184" s="7"/>
      <c r="R184" s="7"/>
      <c r="S184" s="7"/>
      <c r="U184" s="7"/>
      <c r="V184" s="7"/>
      <c r="W184" s="7"/>
    </row>
    <row r="185" spans="1:23" s="450" customFormat="1" ht="11.25" x14ac:dyDescent="0.2">
      <c r="A185" s="7"/>
      <c r="B185" s="7"/>
      <c r="C185" s="159"/>
      <c r="E185" s="7"/>
      <c r="F185" s="534"/>
      <c r="G185" s="159"/>
      <c r="H185" s="159"/>
      <c r="I185" s="7"/>
      <c r="J185" s="7"/>
      <c r="K185" s="7"/>
      <c r="L185" s="7"/>
      <c r="M185" s="7"/>
      <c r="N185" s="7"/>
      <c r="O185" s="572"/>
      <c r="P185" s="525"/>
      <c r="Q185" s="7"/>
      <c r="R185" s="7"/>
      <c r="S185" s="7"/>
      <c r="U185" s="7"/>
      <c r="V185" s="7"/>
      <c r="W185" s="7"/>
    </row>
    <row r="186" spans="1:23" s="450" customFormat="1" ht="11.25" x14ac:dyDescent="0.2">
      <c r="A186" s="7"/>
      <c r="B186" s="7"/>
      <c r="C186" s="159"/>
      <c r="E186" s="7"/>
      <c r="F186" s="534"/>
      <c r="G186" s="159"/>
      <c r="H186" s="159"/>
      <c r="I186" s="7"/>
      <c r="J186" s="7"/>
      <c r="K186" s="7"/>
      <c r="L186" s="7"/>
      <c r="M186" s="7"/>
      <c r="N186" s="7"/>
      <c r="O186" s="572"/>
      <c r="P186" s="525"/>
      <c r="Q186" s="7"/>
      <c r="R186" s="7"/>
      <c r="S186" s="7"/>
      <c r="U186" s="7"/>
      <c r="V186" s="7"/>
      <c r="W186" s="7"/>
    </row>
    <row r="187" spans="1:23" s="450" customFormat="1" ht="11.25" x14ac:dyDescent="0.2">
      <c r="A187" s="7"/>
      <c r="B187" s="7"/>
      <c r="C187" s="159"/>
      <c r="E187" s="7"/>
      <c r="F187" s="534"/>
      <c r="G187" s="159"/>
      <c r="H187" s="159"/>
      <c r="I187" s="7"/>
      <c r="J187" s="7"/>
      <c r="K187" s="7"/>
      <c r="L187" s="7"/>
      <c r="M187" s="7"/>
      <c r="N187" s="7"/>
      <c r="O187" s="572"/>
      <c r="P187" s="525"/>
      <c r="Q187" s="7"/>
      <c r="R187" s="7"/>
      <c r="S187" s="7"/>
      <c r="U187" s="7"/>
      <c r="V187" s="7"/>
      <c r="W187" s="7"/>
    </row>
    <row r="188" spans="1:23" s="450" customFormat="1" ht="11.25" x14ac:dyDescent="0.2">
      <c r="A188" s="7"/>
      <c r="B188" s="7"/>
      <c r="C188" s="159"/>
      <c r="E188" s="7"/>
      <c r="F188" s="534"/>
      <c r="G188" s="159"/>
      <c r="H188" s="159"/>
      <c r="I188" s="7"/>
      <c r="J188" s="7"/>
      <c r="K188" s="7"/>
      <c r="L188" s="7"/>
      <c r="M188" s="7"/>
      <c r="N188" s="7"/>
      <c r="O188" s="572"/>
      <c r="P188" s="525"/>
      <c r="Q188" s="7"/>
      <c r="R188" s="7"/>
      <c r="S188" s="7"/>
      <c r="U188" s="7"/>
      <c r="V188" s="7"/>
      <c r="W188" s="7"/>
    </row>
    <row r="189" spans="1:23" s="450" customFormat="1" ht="11.25" x14ac:dyDescent="0.2">
      <c r="A189" s="7"/>
      <c r="B189" s="7"/>
      <c r="C189" s="159"/>
      <c r="E189" s="7"/>
      <c r="F189" s="534"/>
      <c r="G189" s="159"/>
      <c r="H189" s="159"/>
      <c r="I189" s="7"/>
      <c r="J189" s="7"/>
      <c r="K189" s="7"/>
      <c r="L189" s="7"/>
      <c r="M189" s="7"/>
      <c r="N189" s="7"/>
      <c r="O189" s="572"/>
      <c r="P189" s="525"/>
      <c r="Q189" s="7"/>
      <c r="R189" s="7"/>
      <c r="S189" s="7"/>
      <c r="U189" s="7"/>
      <c r="V189" s="7"/>
      <c r="W189" s="7"/>
    </row>
    <row r="190" spans="1:23" s="450" customFormat="1" ht="11.25" x14ac:dyDescent="0.2">
      <c r="A190" s="7"/>
      <c r="B190" s="7"/>
      <c r="C190" s="159"/>
      <c r="E190" s="7"/>
      <c r="F190" s="534"/>
      <c r="G190" s="159"/>
      <c r="H190" s="159"/>
      <c r="I190" s="7"/>
      <c r="J190" s="7"/>
      <c r="K190" s="7"/>
      <c r="L190" s="7"/>
      <c r="M190" s="7"/>
      <c r="N190" s="7"/>
      <c r="O190" s="572"/>
      <c r="P190" s="525"/>
      <c r="Q190" s="7"/>
      <c r="R190" s="7"/>
      <c r="S190" s="7"/>
      <c r="U190" s="7"/>
      <c r="V190" s="7"/>
      <c r="W190" s="7"/>
    </row>
    <row r="191" spans="1:23" s="450" customFormat="1" ht="11.25" x14ac:dyDescent="0.2">
      <c r="A191" s="7"/>
      <c r="B191" s="7"/>
      <c r="C191" s="159"/>
      <c r="E191" s="7"/>
      <c r="F191" s="534"/>
      <c r="G191" s="159"/>
      <c r="H191" s="159"/>
      <c r="I191" s="7"/>
      <c r="J191" s="7"/>
      <c r="K191" s="7"/>
      <c r="L191" s="7"/>
      <c r="M191" s="7"/>
      <c r="N191" s="7"/>
      <c r="O191" s="572"/>
      <c r="P191" s="525"/>
      <c r="Q191" s="7"/>
      <c r="R191" s="7"/>
      <c r="S191" s="7"/>
      <c r="U191" s="7"/>
      <c r="V191" s="7"/>
      <c r="W191" s="7"/>
    </row>
    <row r="192" spans="1:23" s="450" customFormat="1" ht="11.25" x14ac:dyDescent="0.2">
      <c r="A192" s="7"/>
      <c r="B192" s="7"/>
      <c r="C192" s="159"/>
      <c r="E192" s="7"/>
      <c r="F192" s="534"/>
      <c r="G192" s="159"/>
      <c r="H192" s="159"/>
      <c r="I192" s="7"/>
      <c r="J192" s="7"/>
      <c r="K192" s="7"/>
      <c r="L192" s="7"/>
      <c r="M192" s="7"/>
      <c r="N192" s="7"/>
      <c r="O192" s="572"/>
      <c r="P192" s="525"/>
      <c r="Q192" s="7"/>
      <c r="R192" s="7"/>
      <c r="S192" s="7"/>
      <c r="U192" s="7"/>
      <c r="V192" s="7"/>
      <c r="W192" s="7"/>
    </row>
    <row r="193" spans="1:23" s="450" customFormat="1" ht="11.25" x14ac:dyDescent="0.2">
      <c r="A193" s="7"/>
      <c r="B193" s="7"/>
      <c r="C193" s="159"/>
      <c r="E193" s="7"/>
      <c r="F193" s="534"/>
      <c r="G193" s="159"/>
      <c r="H193" s="159"/>
      <c r="I193" s="7"/>
      <c r="J193" s="7"/>
      <c r="K193" s="7"/>
      <c r="L193" s="7"/>
      <c r="M193" s="7"/>
      <c r="N193" s="7"/>
      <c r="O193" s="572"/>
      <c r="P193" s="525"/>
      <c r="Q193" s="7"/>
      <c r="R193" s="7"/>
      <c r="S193" s="7"/>
      <c r="U193" s="7"/>
      <c r="V193" s="7"/>
      <c r="W193" s="7"/>
    </row>
    <row r="194" spans="1:23" s="450" customFormat="1" ht="11.25" x14ac:dyDescent="0.2">
      <c r="A194" s="7"/>
      <c r="B194" s="7"/>
      <c r="C194" s="159"/>
      <c r="E194" s="7"/>
      <c r="F194" s="534"/>
      <c r="G194" s="159"/>
      <c r="H194" s="159"/>
      <c r="I194" s="7"/>
      <c r="J194" s="7"/>
      <c r="K194" s="7"/>
      <c r="L194" s="7"/>
      <c r="M194" s="7"/>
      <c r="N194" s="7"/>
      <c r="O194" s="572"/>
      <c r="P194" s="525"/>
      <c r="Q194" s="7"/>
      <c r="R194" s="7"/>
      <c r="S194" s="7"/>
      <c r="U194" s="7"/>
      <c r="V194" s="7"/>
      <c r="W194" s="7"/>
    </row>
    <row r="195" spans="1:23" s="450" customFormat="1" ht="11.25" x14ac:dyDescent="0.2">
      <c r="A195" s="7"/>
      <c r="B195" s="7"/>
      <c r="C195" s="159"/>
      <c r="E195" s="7"/>
      <c r="F195" s="534"/>
      <c r="G195" s="159"/>
      <c r="H195" s="159"/>
      <c r="I195" s="7"/>
      <c r="J195" s="7"/>
      <c r="K195" s="7"/>
      <c r="L195" s="7"/>
      <c r="M195" s="7"/>
      <c r="N195" s="7"/>
      <c r="O195" s="572"/>
      <c r="P195" s="525"/>
      <c r="Q195" s="7"/>
      <c r="R195" s="7"/>
      <c r="S195" s="7"/>
      <c r="U195" s="7"/>
      <c r="V195" s="7"/>
      <c r="W195" s="7"/>
    </row>
    <row r="196" spans="1:23" s="450" customFormat="1" ht="11.25" x14ac:dyDescent="0.2">
      <c r="A196" s="7"/>
      <c r="B196" s="7"/>
      <c r="C196" s="159"/>
      <c r="E196" s="7"/>
      <c r="F196" s="534"/>
      <c r="G196" s="159"/>
      <c r="H196" s="159"/>
      <c r="I196" s="7"/>
      <c r="J196" s="7"/>
      <c r="K196" s="7"/>
      <c r="L196" s="7"/>
      <c r="M196" s="7"/>
      <c r="N196" s="7"/>
      <c r="O196" s="572"/>
      <c r="P196" s="525"/>
      <c r="Q196" s="7"/>
      <c r="R196" s="7"/>
      <c r="S196" s="7"/>
      <c r="U196" s="7"/>
      <c r="V196" s="7"/>
      <c r="W196" s="7"/>
    </row>
    <row r="197" spans="1:23" s="450" customFormat="1" ht="11.25" x14ac:dyDescent="0.2">
      <c r="A197" s="7"/>
      <c r="B197" s="7"/>
      <c r="C197" s="159"/>
      <c r="E197" s="7"/>
      <c r="F197" s="534"/>
      <c r="G197" s="159"/>
      <c r="H197" s="159"/>
      <c r="I197" s="7"/>
      <c r="J197" s="7"/>
      <c r="K197" s="7"/>
      <c r="L197" s="7"/>
      <c r="M197" s="7"/>
      <c r="N197" s="7"/>
      <c r="O197" s="572"/>
      <c r="P197" s="525"/>
      <c r="Q197" s="7"/>
      <c r="R197" s="7"/>
      <c r="S197" s="7"/>
      <c r="U197" s="7"/>
      <c r="V197" s="7"/>
      <c r="W197" s="7"/>
    </row>
    <row r="198" spans="1:23" s="450" customFormat="1" ht="11.25" x14ac:dyDescent="0.2">
      <c r="A198" s="7"/>
      <c r="B198" s="7"/>
      <c r="C198" s="159"/>
      <c r="E198" s="7"/>
      <c r="F198" s="534"/>
      <c r="G198" s="159"/>
      <c r="H198" s="159"/>
      <c r="I198" s="7"/>
      <c r="J198" s="7"/>
      <c r="K198" s="7"/>
      <c r="L198" s="7"/>
      <c r="M198" s="7"/>
      <c r="N198" s="7"/>
      <c r="O198" s="572"/>
      <c r="P198" s="525"/>
      <c r="Q198" s="7"/>
      <c r="R198" s="7"/>
      <c r="S198" s="7"/>
      <c r="U198" s="7"/>
      <c r="V198" s="7"/>
      <c r="W198" s="7"/>
    </row>
    <row r="199" spans="1:23" s="450" customFormat="1" ht="11.25" x14ac:dyDescent="0.2">
      <c r="A199" s="7"/>
      <c r="B199" s="7"/>
      <c r="C199" s="159"/>
      <c r="E199" s="7"/>
      <c r="F199" s="534"/>
      <c r="G199" s="159"/>
      <c r="H199" s="159"/>
      <c r="I199" s="7"/>
      <c r="J199" s="7"/>
      <c r="K199" s="7"/>
      <c r="L199" s="7"/>
      <c r="M199" s="7"/>
      <c r="N199" s="7"/>
      <c r="O199" s="572"/>
      <c r="P199" s="525"/>
      <c r="Q199" s="7"/>
      <c r="R199" s="7"/>
      <c r="S199" s="7"/>
      <c r="U199" s="7"/>
      <c r="V199" s="7"/>
      <c r="W199" s="7"/>
    </row>
    <row r="200" spans="1:23" s="450" customFormat="1" ht="11.25" x14ac:dyDescent="0.2">
      <c r="A200" s="7"/>
      <c r="B200" s="7"/>
      <c r="C200" s="159"/>
      <c r="E200" s="7"/>
      <c r="F200" s="534"/>
      <c r="G200" s="159"/>
      <c r="H200" s="159"/>
      <c r="I200" s="7"/>
      <c r="J200" s="7"/>
      <c r="K200" s="7"/>
      <c r="L200" s="7"/>
      <c r="M200" s="7"/>
      <c r="N200" s="7"/>
      <c r="O200" s="572"/>
      <c r="P200" s="525"/>
      <c r="Q200" s="7"/>
      <c r="R200" s="7"/>
      <c r="S200" s="7"/>
      <c r="U200" s="7"/>
      <c r="V200" s="7"/>
      <c r="W200" s="7"/>
    </row>
    <row r="201" spans="1:23" s="450" customFormat="1" ht="11.25" x14ac:dyDescent="0.2">
      <c r="A201" s="7"/>
      <c r="B201" s="7"/>
      <c r="C201" s="159"/>
      <c r="E201" s="7"/>
      <c r="F201" s="534"/>
      <c r="G201" s="159"/>
      <c r="H201" s="159"/>
      <c r="I201" s="7"/>
      <c r="J201" s="7"/>
      <c r="K201" s="7"/>
      <c r="L201" s="7"/>
      <c r="M201" s="7"/>
      <c r="N201" s="7"/>
      <c r="O201" s="572"/>
      <c r="P201" s="525"/>
      <c r="Q201" s="7"/>
      <c r="R201" s="7"/>
      <c r="S201" s="7"/>
      <c r="U201" s="7"/>
      <c r="V201" s="7"/>
      <c r="W201" s="7"/>
    </row>
    <row r="202" spans="1:23" s="450" customFormat="1" ht="11.25" x14ac:dyDescent="0.2">
      <c r="A202" s="7"/>
      <c r="B202" s="7"/>
      <c r="C202" s="159"/>
      <c r="E202" s="7"/>
      <c r="F202" s="534"/>
      <c r="G202" s="159"/>
      <c r="H202" s="159"/>
      <c r="I202" s="7"/>
      <c r="J202" s="7"/>
      <c r="K202" s="7"/>
      <c r="L202" s="7"/>
      <c r="M202" s="7"/>
      <c r="N202" s="7"/>
      <c r="O202" s="572"/>
      <c r="P202" s="525"/>
      <c r="Q202" s="7"/>
      <c r="R202" s="7"/>
      <c r="S202" s="7"/>
      <c r="U202" s="7"/>
      <c r="V202" s="7"/>
      <c r="W202" s="7"/>
    </row>
    <row r="203" spans="1:23" s="450" customFormat="1" ht="11.25" x14ac:dyDescent="0.2">
      <c r="A203" s="7"/>
      <c r="B203" s="7"/>
      <c r="C203" s="159"/>
      <c r="E203" s="7"/>
      <c r="F203" s="534"/>
      <c r="G203" s="159"/>
      <c r="H203" s="159"/>
      <c r="I203" s="7"/>
      <c r="J203" s="7"/>
      <c r="K203" s="7"/>
      <c r="L203" s="7"/>
      <c r="M203" s="7"/>
      <c r="N203" s="7"/>
      <c r="O203" s="572"/>
      <c r="P203" s="525"/>
      <c r="Q203" s="7"/>
      <c r="R203" s="7"/>
      <c r="S203" s="7"/>
      <c r="U203" s="7"/>
      <c r="V203" s="7"/>
      <c r="W203" s="7"/>
    </row>
    <row r="204" spans="1:23" s="450" customFormat="1" ht="11.25" x14ac:dyDescent="0.2">
      <c r="A204" s="7"/>
      <c r="B204" s="7"/>
      <c r="C204" s="159"/>
      <c r="E204" s="7"/>
      <c r="F204" s="534"/>
      <c r="G204" s="159"/>
      <c r="H204" s="159"/>
      <c r="I204" s="7"/>
      <c r="J204" s="7"/>
      <c r="K204" s="7"/>
      <c r="L204" s="7"/>
      <c r="M204" s="7"/>
      <c r="N204" s="7"/>
      <c r="O204" s="572"/>
      <c r="P204" s="525"/>
      <c r="Q204" s="7"/>
      <c r="R204" s="7"/>
      <c r="S204" s="7"/>
      <c r="U204" s="7"/>
      <c r="V204" s="7"/>
      <c r="W204" s="7"/>
    </row>
    <row r="205" spans="1:23" s="450" customFormat="1" ht="11.25" x14ac:dyDescent="0.2">
      <c r="A205" s="7"/>
      <c r="B205" s="7"/>
      <c r="C205" s="159"/>
      <c r="E205" s="7"/>
      <c r="F205" s="534"/>
      <c r="G205" s="159"/>
      <c r="H205" s="159"/>
      <c r="I205" s="7"/>
      <c r="J205" s="7"/>
      <c r="K205" s="7"/>
      <c r="L205" s="7"/>
      <c r="M205" s="7"/>
      <c r="N205" s="7"/>
      <c r="O205" s="572"/>
      <c r="P205" s="525"/>
      <c r="Q205" s="7"/>
      <c r="R205" s="7"/>
      <c r="S205" s="7"/>
      <c r="U205" s="7"/>
      <c r="V205" s="7"/>
      <c r="W205" s="7"/>
    </row>
    <row r="206" spans="1:23" s="450" customFormat="1" ht="11.25" x14ac:dyDescent="0.2">
      <c r="A206" s="7"/>
      <c r="B206" s="7"/>
      <c r="C206" s="159"/>
      <c r="E206" s="7"/>
      <c r="F206" s="534"/>
      <c r="G206" s="159"/>
      <c r="H206" s="159"/>
      <c r="I206" s="7"/>
      <c r="J206" s="7"/>
      <c r="K206" s="7"/>
      <c r="L206" s="7"/>
      <c r="M206" s="7"/>
      <c r="N206" s="7"/>
      <c r="O206" s="572"/>
      <c r="P206" s="525"/>
      <c r="Q206" s="7"/>
      <c r="R206" s="7"/>
      <c r="S206" s="7"/>
      <c r="U206" s="7"/>
      <c r="V206" s="7"/>
      <c r="W206" s="7"/>
    </row>
    <row r="207" spans="1:23" s="450" customFormat="1" ht="11.25" x14ac:dyDescent="0.2">
      <c r="A207" s="7"/>
      <c r="B207" s="7"/>
      <c r="C207" s="159"/>
      <c r="E207" s="7"/>
      <c r="F207" s="534"/>
      <c r="G207" s="159"/>
      <c r="H207" s="159"/>
      <c r="I207" s="7"/>
      <c r="J207" s="7"/>
      <c r="K207" s="7"/>
      <c r="L207" s="7"/>
      <c r="M207" s="7"/>
      <c r="N207" s="7"/>
      <c r="O207" s="572"/>
      <c r="P207" s="525"/>
      <c r="Q207" s="7"/>
      <c r="R207" s="7"/>
      <c r="S207" s="7"/>
      <c r="U207" s="7"/>
      <c r="V207" s="7"/>
      <c r="W207" s="7"/>
    </row>
  </sheetData>
  <mergeCells count="18">
    <mergeCell ref="AB36:AF36"/>
    <mergeCell ref="N4:N5"/>
    <mergeCell ref="O4:O5"/>
    <mergeCell ref="P4:P5"/>
    <mergeCell ref="Q4:T4"/>
    <mergeCell ref="U4:W4"/>
    <mergeCell ref="F4:F5"/>
    <mergeCell ref="G4:G5"/>
    <mergeCell ref="H4:H5"/>
    <mergeCell ref="I4:I5"/>
    <mergeCell ref="J4:J5"/>
    <mergeCell ref="K4:M4"/>
    <mergeCell ref="A1:C1"/>
    <mergeCell ref="A4:A5"/>
    <mergeCell ref="B4:B5"/>
    <mergeCell ref="C4:C5"/>
    <mergeCell ref="D4:D5"/>
    <mergeCell ref="E4:E5"/>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58"/>
  <sheetViews>
    <sheetView topLeftCell="A229" workbookViewId="0">
      <selection activeCell="A251" sqref="A251"/>
    </sheetView>
  </sheetViews>
  <sheetFormatPr defaultColWidth="9.140625" defaultRowHeight="12" x14ac:dyDescent="0.2"/>
  <cols>
    <col min="1" max="1" width="4.140625" style="39" customWidth="1"/>
    <col min="2" max="2" width="9.28515625" style="39" customWidth="1"/>
    <col min="3" max="3" width="16.5703125" style="39" customWidth="1"/>
    <col min="4" max="4" width="14" style="122" customWidth="1"/>
    <col min="5" max="5" width="9.140625" style="39" customWidth="1"/>
    <col min="6" max="6" width="17" style="122" customWidth="1"/>
    <col min="7" max="7" width="12.7109375" style="41" customWidth="1"/>
    <col min="8" max="8" width="15.7109375" style="39" customWidth="1"/>
    <col min="9" max="9" width="13.85546875" style="39" customWidth="1"/>
    <col min="10" max="10" width="11" style="19" customWidth="1"/>
    <col min="11" max="11" width="12.5703125" style="19" customWidth="1"/>
    <col min="12" max="12" width="11.42578125" style="39" customWidth="1"/>
    <col min="13" max="13" width="10.5703125" style="39" customWidth="1"/>
    <col min="14" max="14" width="11" style="19" customWidth="1"/>
    <col min="15" max="15" width="11.7109375" style="19" customWidth="1"/>
    <col min="16" max="16" width="12.42578125" style="19" customWidth="1"/>
    <col min="17" max="17" width="12.140625" style="19" customWidth="1"/>
    <col min="18" max="18" width="13.28515625" style="19" customWidth="1"/>
    <col min="19" max="19" width="11.28515625" style="19" customWidth="1"/>
    <col min="20" max="20" width="15.7109375" style="19" customWidth="1"/>
    <col min="21" max="21" width="11.140625" style="19" customWidth="1"/>
    <col min="22" max="22" width="12.140625" style="19" customWidth="1"/>
    <col min="23" max="23" width="13.7109375" style="19" customWidth="1"/>
    <col min="24" max="25" width="10.140625" style="19" customWidth="1"/>
    <col min="26" max="26" width="17.7109375" style="19" customWidth="1"/>
    <col min="27" max="27" width="16" style="19" customWidth="1"/>
    <col min="28" max="29" width="9.140625" style="19"/>
    <col min="30" max="30" width="1.5703125" style="19" customWidth="1"/>
    <col min="31" max="32" width="9.140625" style="19"/>
    <col min="33" max="33" width="7.42578125" style="19" customWidth="1"/>
    <col min="34" max="34" width="8.5703125" style="19" customWidth="1"/>
    <col min="35" max="16384" width="9.140625" style="19"/>
  </cols>
  <sheetData>
    <row r="1" spans="1:28" x14ac:dyDescent="0.2">
      <c r="A1" s="573" t="s">
        <v>12980</v>
      </c>
      <c r="B1" s="573"/>
      <c r="C1" s="573"/>
      <c r="E1" s="557"/>
      <c r="F1" s="557"/>
      <c r="G1" s="557"/>
    </row>
    <row r="2" spans="1:28" s="199" customFormat="1" ht="18.75" x14ac:dyDescent="0.2">
      <c r="A2" s="91" t="s">
        <v>14666</v>
      </c>
      <c r="B2" s="91"/>
      <c r="C2" s="91"/>
      <c r="D2" s="91"/>
      <c r="E2" s="288"/>
      <c r="F2" s="574"/>
      <c r="G2" s="575"/>
      <c r="H2" s="576"/>
      <c r="I2" s="576"/>
      <c r="L2" s="576"/>
      <c r="M2" s="576"/>
    </row>
    <row r="3" spans="1:28" ht="12.75" thickBot="1" x14ac:dyDescent="0.25">
      <c r="C3" s="111"/>
    </row>
    <row r="4" spans="1:28" s="39" customFormat="1" ht="37.5" customHeight="1" thickBot="1" x14ac:dyDescent="0.25">
      <c r="A4" s="539" t="s">
        <v>3972</v>
      </c>
      <c r="B4" s="577" t="s">
        <v>6165</v>
      </c>
      <c r="C4" s="542" t="s">
        <v>12408</v>
      </c>
      <c r="D4" s="539" t="s">
        <v>1995</v>
      </c>
      <c r="E4" s="578" t="s">
        <v>12982</v>
      </c>
      <c r="F4" s="539" t="s">
        <v>438</v>
      </c>
      <c r="G4" s="542" t="s">
        <v>14021</v>
      </c>
      <c r="H4" s="538" t="s">
        <v>2417</v>
      </c>
      <c r="I4" s="538" t="s">
        <v>5331</v>
      </c>
      <c r="J4" s="297" t="s">
        <v>12419</v>
      </c>
      <c r="K4" s="300" t="s">
        <v>3130</v>
      </c>
      <c r="L4" s="303"/>
      <c r="M4" s="301"/>
      <c r="N4" s="297" t="s">
        <v>14022</v>
      </c>
      <c r="O4" s="543" t="s">
        <v>5405</v>
      </c>
      <c r="P4" s="544" t="s">
        <v>14024</v>
      </c>
      <c r="Q4" s="545"/>
      <c r="R4" s="545"/>
      <c r="S4" s="546"/>
      <c r="T4" s="300" t="s">
        <v>6338</v>
      </c>
      <c r="U4" s="303"/>
      <c r="V4" s="304"/>
      <c r="W4" s="300" t="s">
        <v>4397</v>
      </c>
      <c r="X4" s="303"/>
      <c r="Y4" s="301"/>
      <c r="Z4" s="300" t="s">
        <v>3638</v>
      </c>
      <c r="AA4" s="301"/>
    </row>
    <row r="5" spans="1:28" s="39" customFormat="1" ht="27.75" customHeight="1" thickBot="1" x14ac:dyDescent="0.25">
      <c r="A5" s="549"/>
      <c r="B5" s="579"/>
      <c r="C5" s="552"/>
      <c r="D5" s="549"/>
      <c r="E5" s="580"/>
      <c r="F5" s="549"/>
      <c r="G5" s="552"/>
      <c r="H5" s="548"/>
      <c r="I5" s="548"/>
      <c r="J5" s="298"/>
      <c r="K5" s="93" t="s">
        <v>3771</v>
      </c>
      <c r="L5" s="93" t="s">
        <v>1598</v>
      </c>
      <c r="M5" s="322" t="s">
        <v>3131</v>
      </c>
      <c r="N5" s="298"/>
      <c r="O5" s="581"/>
      <c r="P5" s="282" t="s">
        <v>38</v>
      </c>
      <c r="Q5" s="282" t="s">
        <v>5794</v>
      </c>
      <c r="R5" s="582" t="s">
        <v>2252</v>
      </c>
      <c r="S5" s="582" t="s">
        <v>12413</v>
      </c>
      <c r="T5" s="94" t="s">
        <v>3771</v>
      </c>
      <c r="U5" s="94" t="s">
        <v>1598</v>
      </c>
      <c r="V5" s="94" t="s">
        <v>3131</v>
      </c>
      <c r="W5" s="94" t="s">
        <v>3771</v>
      </c>
      <c r="X5" s="94" t="s">
        <v>1598</v>
      </c>
      <c r="Y5" s="94" t="s">
        <v>3131</v>
      </c>
      <c r="Z5" s="93" t="s">
        <v>5101</v>
      </c>
      <c r="AA5" s="93" t="s">
        <v>5102</v>
      </c>
    </row>
    <row r="6" spans="1:28" s="39" customFormat="1" x14ac:dyDescent="0.2">
      <c r="A6" s="37">
        <v>1</v>
      </c>
      <c r="B6" s="37">
        <v>2</v>
      </c>
      <c r="C6" s="20">
        <v>3</v>
      </c>
      <c r="D6" s="285">
        <v>4</v>
      </c>
      <c r="E6" s="289">
        <v>5</v>
      </c>
      <c r="F6" s="37">
        <v>6</v>
      </c>
      <c r="G6" s="37">
        <v>7</v>
      </c>
      <c r="H6" s="20">
        <v>8</v>
      </c>
      <c r="I6" s="20">
        <v>9</v>
      </c>
      <c r="J6" s="20">
        <v>10</v>
      </c>
      <c r="K6" s="20">
        <v>11</v>
      </c>
      <c r="L6" s="20">
        <v>12</v>
      </c>
      <c r="M6" s="20">
        <v>13</v>
      </c>
      <c r="N6" s="289">
        <v>14</v>
      </c>
      <c r="O6" s="289">
        <v>15</v>
      </c>
      <c r="P6" s="289">
        <v>16</v>
      </c>
      <c r="Q6" s="289">
        <v>17</v>
      </c>
      <c r="R6" s="289">
        <v>18</v>
      </c>
      <c r="S6" s="289">
        <v>19</v>
      </c>
      <c r="T6" s="289">
        <v>20</v>
      </c>
      <c r="U6" s="289">
        <v>21</v>
      </c>
      <c r="V6" s="289">
        <v>22</v>
      </c>
      <c r="W6" s="289">
        <v>23</v>
      </c>
      <c r="X6" s="289">
        <v>24</v>
      </c>
      <c r="Y6" s="289">
        <v>25</v>
      </c>
      <c r="Z6" s="289">
        <v>26</v>
      </c>
      <c r="AA6" s="289">
        <v>27</v>
      </c>
    </row>
    <row r="7" spans="1:28" s="39" customFormat="1" ht="33.75" customHeight="1" x14ac:dyDescent="0.2">
      <c r="A7" s="289">
        <v>1</v>
      </c>
      <c r="B7" s="289" t="s">
        <v>14667</v>
      </c>
      <c r="C7" s="289"/>
      <c r="D7" s="13" t="s">
        <v>14668</v>
      </c>
      <c r="E7" s="12" t="s">
        <v>14669</v>
      </c>
      <c r="F7" s="13" t="s">
        <v>14670</v>
      </c>
      <c r="G7" s="285" t="s">
        <v>14034</v>
      </c>
      <c r="H7" s="56" t="s">
        <v>101</v>
      </c>
      <c r="I7" s="285" t="s">
        <v>5127</v>
      </c>
      <c r="J7" s="285"/>
      <c r="K7" s="285" t="s">
        <v>5587</v>
      </c>
      <c r="L7" s="14">
        <v>38705</v>
      </c>
      <c r="M7" s="285" t="s">
        <v>14035</v>
      </c>
      <c r="N7" s="16">
        <v>400</v>
      </c>
      <c r="O7" s="15">
        <v>39722</v>
      </c>
      <c r="P7" s="40">
        <v>151866.23999999999</v>
      </c>
      <c r="Q7" s="40">
        <f>P7-R7</f>
        <v>151866.23999999999</v>
      </c>
      <c r="R7" s="40">
        <v>0</v>
      </c>
      <c r="S7" s="15"/>
      <c r="T7" s="289"/>
      <c r="U7" s="289"/>
      <c r="V7" s="289"/>
      <c r="W7" s="289"/>
      <c r="X7" s="289"/>
      <c r="Y7" s="289"/>
      <c r="Z7" s="289"/>
      <c r="AA7" s="289"/>
    </row>
    <row r="8" spans="1:28" s="39" customFormat="1" ht="135.75" customHeight="1" x14ac:dyDescent="0.2">
      <c r="A8" s="289">
        <v>2</v>
      </c>
      <c r="B8" s="289" t="s">
        <v>14671</v>
      </c>
      <c r="C8" s="289" t="s">
        <v>14672</v>
      </c>
      <c r="D8" s="13" t="s">
        <v>14673</v>
      </c>
      <c r="E8" s="289">
        <v>1986</v>
      </c>
      <c r="F8" s="13" t="s">
        <v>14674</v>
      </c>
      <c r="G8" s="285" t="s">
        <v>14675</v>
      </c>
      <c r="H8" s="285" t="s">
        <v>7967</v>
      </c>
      <c r="I8" s="285" t="s">
        <v>5127</v>
      </c>
      <c r="J8" s="285"/>
      <c r="K8" s="22" t="s">
        <v>3136</v>
      </c>
      <c r="L8" s="14" t="s">
        <v>14676</v>
      </c>
      <c r="M8" s="285" t="s">
        <v>14677</v>
      </c>
      <c r="N8" s="24">
        <v>141</v>
      </c>
      <c r="O8" s="15">
        <v>39722</v>
      </c>
      <c r="P8" s="40">
        <f>39753.99+337889</f>
        <v>377642.99</v>
      </c>
      <c r="Q8" s="40">
        <v>127980.51</v>
      </c>
      <c r="R8" s="40">
        <f>P8-Q8</f>
        <v>249662.47999999998</v>
      </c>
      <c r="S8" s="15"/>
      <c r="T8" s="285" t="s">
        <v>14678</v>
      </c>
      <c r="U8" s="14" t="s">
        <v>14679</v>
      </c>
      <c r="V8" s="285" t="s">
        <v>14680</v>
      </c>
      <c r="W8" s="289"/>
      <c r="X8" s="289"/>
      <c r="Y8" s="289"/>
      <c r="Z8" s="285" t="s">
        <v>14681</v>
      </c>
      <c r="AA8" s="289"/>
    </row>
    <row r="9" spans="1:28" s="39" customFormat="1" ht="29.25" customHeight="1" x14ac:dyDescent="0.2">
      <c r="A9" s="289">
        <v>3</v>
      </c>
      <c r="B9" s="289" t="s">
        <v>14682</v>
      </c>
      <c r="C9" s="289"/>
      <c r="D9" s="13" t="s">
        <v>14683</v>
      </c>
      <c r="E9" s="289" t="s">
        <v>14684</v>
      </c>
      <c r="F9" s="13" t="s">
        <v>14685</v>
      </c>
      <c r="G9" s="285" t="s">
        <v>14686</v>
      </c>
      <c r="H9" s="285" t="s">
        <v>7917</v>
      </c>
      <c r="I9" s="285" t="s">
        <v>5127</v>
      </c>
      <c r="J9" s="285"/>
      <c r="K9" s="22" t="s">
        <v>3136</v>
      </c>
      <c r="L9" s="14">
        <v>40995</v>
      </c>
      <c r="M9" s="285">
        <v>309</v>
      </c>
      <c r="N9" s="24">
        <v>260</v>
      </c>
      <c r="O9" s="15">
        <v>41244</v>
      </c>
      <c r="P9" s="40">
        <v>148486.98000000001</v>
      </c>
      <c r="Q9" s="40">
        <v>148486.98000000001</v>
      </c>
      <c r="R9" s="40">
        <v>0</v>
      </c>
      <c r="S9" s="15"/>
      <c r="T9" s="285"/>
      <c r="U9" s="285"/>
      <c r="V9" s="289"/>
      <c r="W9" s="289"/>
      <c r="X9" s="289"/>
      <c r="Y9" s="289"/>
      <c r="Z9" s="289"/>
      <c r="AA9" s="289"/>
      <c r="AB9" s="284"/>
    </row>
    <row r="10" spans="1:28" s="39" customFormat="1" ht="149.25" customHeight="1" x14ac:dyDescent="0.2">
      <c r="A10" s="289">
        <v>4</v>
      </c>
      <c r="B10" s="289" t="s">
        <v>14687</v>
      </c>
      <c r="C10" s="285" t="s">
        <v>14688</v>
      </c>
      <c r="D10" s="13" t="s">
        <v>14689</v>
      </c>
      <c r="E10" s="289" t="s">
        <v>5064</v>
      </c>
      <c r="F10" s="13" t="s">
        <v>14690</v>
      </c>
      <c r="G10" s="285" t="s">
        <v>14691</v>
      </c>
      <c r="H10" s="285" t="s">
        <v>7982</v>
      </c>
      <c r="I10" s="285" t="s">
        <v>5127</v>
      </c>
      <c r="J10" s="285"/>
      <c r="K10" s="22" t="s">
        <v>3136</v>
      </c>
      <c r="L10" s="14">
        <v>40808</v>
      </c>
      <c r="M10" s="285">
        <v>983</v>
      </c>
      <c r="N10" s="24"/>
      <c r="O10" s="15">
        <v>41244</v>
      </c>
      <c r="P10" s="40">
        <v>36175.370000000003</v>
      </c>
      <c r="Q10" s="40">
        <v>36175.370000000003</v>
      </c>
      <c r="R10" s="40">
        <f>P10-Q10</f>
        <v>0</v>
      </c>
      <c r="S10" s="15"/>
      <c r="T10" s="285"/>
      <c r="U10" s="285"/>
      <c r="V10" s="289"/>
      <c r="W10" s="289"/>
      <c r="X10" s="289"/>
      <c r="Y10" s="289"/>
      <c r="Z10" s="289"/>
      <c r="AA10" s="289"/>
      <c r="AB10" s="284"/>
    </row>
    <row r="11" spans="1:28" s="39" customFormat="1" ht="55.5" customHeight="1" x14ac:dyDescent="0.2">
      <c r="A11" s="289">
        <v>5</v>
      </c>
      <c r="B11" s="289" t="s">
        <v>14692</v>
      </c>
      <c r="C11" s="289"/>
      <c r="D11" s="23" t="s">
        <v>14693</v>
      </c>
      <c r="E11" s="40" t="s">
        <v>14694</v>
      </c>
      <c r="F11" s="23" t="s">
        <v>14695</v>
      </c>
      <c r="G11" s="285" t="s">
        <v>13270</v>
      </c>
      <c r="H11" s="285" t="s">
        <v>9194</v>
      </c>
      <c r="I11" s="285" t="s">
        <v>5127</v>
      </c>
      <c r="J11" s="285"/>
      <c r="K11" s="22" t="s">
        <v>3136</v>
      </c>
      <c r="L11" s="14">
        <v>40337</v>
      </c>
      <c r="M11" s="285" t="s">
        <v>2318</v>
      </c>
      <c r="N11" s="24"/>
      <c r="O11" s="15">
        <v>41226</v>
      </c>
      <c r="P11" s="40">
        <v>62898.63</v>
      </c>
      <c r="Q11" s="40">
        <f>P11-R11</f>
        <v>62898.63</v>
      </c>
      <c r="R11" s="40">
        <v>0</v>
      </c>
      <c r="S11" s="15"/>
      <c r="T11" s="285"/>
      <c r="U11" s="285"/>
      <c r="V11" s="285"/>
      <c r="W11" s="285"/>
      <c r="X11" s="285"/>
      <c r="Y11" s="285"/>
      <c r="Z11" s="285"/>
      <c r="AA11" s="285"/>
    </row>
    <row r="12" spans="1:28" s="39" customFormat="1" ht="36.75" customHeight="1" x14ac:dyDescent="0.2">
      <c r="A12" s="289">
        <v>6</v>
      </c>
      <c r="B12" s="289" t="s">
        <v>14696</v>
      </c>
      <c r="C12" s="289" t="s">
        <v>14697</v>
      </c>
      <c r="D12" s="583" t="s">
        <v>14698</v>
      </c>
      <c r="E12" s="22" t="s">
        <v>6173</v>
      </c>
      <c r="F12" s="255" t="s">
        <v>14699</v>
      </c>
      <c r="G12" s="285" t="s">
        <v>14700</v>
      </c>
      <c r="H12" s="285" t="s">
        <v>3090</v>
      </c>
      <c r="I12" s="285" t="s">
        <v>5127</v>
      </c>
      <c r="J12" s="29"/>
      <c r="K12" s="22" t="s">
        <v>3136</v>
      </c>
      <c r="L12" s="231" t="s">
        <v>14701</v>
      </c>
      <c r="M12" s="29" t="s">
        <v>14702</v>
      </c>
      <c r="N12" s="584">
        <v>228</v>
      </c>
      <c r="O12" s="15">
        <v>40822</v>
      </c>
      <c r="P12" s="40">
        <v>34776.46</v>
      </c>
      <c r="Q12" s="40">
        <f>P12-R12</f>
        <v>34776.46</v>
      </c>
      <c r="R12" s="40">
        <v>0</v>
      </c>
      <c r="S12" s="15"/>
      <c r="T12" s="285" t="s">
        <v>14703</v>
      </c>
      <c r="U12" s="14" t="s">
        <v>14704</v>
      </c>
      <c r="V12" s="14" t="s">
        <v>14705</v>
      </c>
      <c r="W12" s="14"/>
      <c r="X12" s="14"/>
      <c r="Y12" s="14"/>
      <c r="Z12" s="14"/>
      <c r="AA12" s="14"/>
    </row>
    <row r="13" spans="1:28" s="39" customFormat="1" ht="37.9" customHeight="1" x14ac:dyDescent="0.2">
      <c r="A13" s="289">
        <v>7</v>
      </c>
      <c r="B13" s="289" t="s">
        <v>14706</v>
      </c>
      <c r="C13" s="289" t="s">
        <v>14707</v>
      </c>
      <c r="D13" s="517" t="s">
        <v>14698</v>
      </c>
      <c r="E13" s="22" t="s">
        <v>9478</v>
      </c>
      <c r="F13" s="255" t="s">
        <v>14708</v>
      </c>
      <c r="G13" s="285" t="s">
        <v>14709</v>
      </c>
      <c r="H13" s="285" t="s">
        <v>4946</v>
      </c>
      <c r="I13" s="285" t="s">
        <v>5127</v>
      </c>
      <c r="J13" s="29"/>
      <c r="K13" s="22" t="s">
        <v>3136</v>
      </c>
      <c r="L13" s="231" t="s">
        <v>14710</v>
      </c>
      <c r="M13" s="29" t="s">
        <v>14711</v>
      </c>
      <c r="N13" s="584">
        <v>210</v>
      </c>
      <c r="O13" s="15">
        <v>40822</v>
      </c>
      <c r="P13" s="40">
        <v>22484.240000000002</v>
      </c>
      <c r="Q13" s="40">
        <f>P13-R13</f>
        <v>22484.240000000002</v>
      </c>
      <c r="R13" s="40">
        <v>0</v>
      </c>
      <c r="S13" s="15"/>
      <c r="T13" s="285" t="s">
        <v>14712</v>
      </c>
      <c r="U13" s="14" t="s">
        <v>14713</v>
      </c>
      <c r="V13" s="284" t="s">
        <v>14714</v>
      </c>
      <c r="W13" s="14"/>
      <c r="X13" s="14"/>
      <c r="Y13" s="14"/>
      <c r="Z13" s="14"/>
      <c r="AA13" s="14"/>
    </row>
    <row r="14" spans="1:28" s="39" customFormat="1" ht="69" customHeight="1" x14ac:dyDescent="0.2">
      <c r="A14" s="289">
        <v>8</v>
      </c>
      <c r="B14" s="289" t="s">
        <v>14715</v>
      </c>
      <c r="C14" s="285" t="s">
        <v>14716</v>
      </c>
      <c r="D14" s="517" t="s">
        <v>14698</v>
      </c>
      <c r="E14" s="22" t="s">
        <v>14717</v>
      </c>
      <c r="F14" s="255" t="s">
        <v>14718</v>
      </c>
      <c r="G14" s="285" t="s">
        <v>14719</v>
      </c>
      <c r="H14" s="285" t="s">
        <v>4946</v>
      </c>
      <c r="I14" s="285" t="s">
        <v>5127</v>
      </c>
      <c r="J14" s="29"/>
      <c r="K14" s="22" t="s">
        <v>3136</v>
      </c>
      <c r="L14" s="231">
        <v>40822</v>
      </c>
      <c r="M14" s="29">
        <v>1017</v>
      </c>
      <c r="N14" s="584">
        <v>130</v>
      </c>
      <c r="O14" s="15">
        <v>40822</v>
      </c>
      <c r="P14" s="40">
        <v>1445.52</v>
      </c>
      <c r="Q14" s="40">
        <v>1445.52</v>
      </c>
      <c r="R14" s="40">
        <v>0</v>
      </c>
      <c r="S14" s="15"/>
      <c r="T14" s="285" t="s">
        <v>14712</v>
      </c>
      <c r="U14" s="285">
        <v>1017</v>
      </c>
      <c r="V14" s="14" t="s">
        <v>14720</v>
      </c>
      <c r="W14" s="14"/>
      <c r="X14" s="14"/>
      <c r="Y14" s="14"/>
      <c r="Z14" s="14"/>
      <c r="AA14" s="14"/>
    </row>
    <row r="15" spans="1:28" s="39" customFormat="1" ht="84.6" customHeight="1" x14ac:dyDescent="0.2">
      <c r="A15" s="289">
        <v>9</v>
      </c>
      <c r="B15" s="289" t="s">
        <v>14721</v>
      </c>
      <c r="C15" s="289" t="s">
        <v>14722</v>
      </c>
      <c r="D15" s="517" t="s">
        <v>14698</v>
      </c>
      <c r="E15" s="22" t="s">
        <v>14717</v>
      </c>
      <c r="F15" s="255" t="s">
        <v>14723</v>
      </c>
      <c r="G15" s="285" t="s">
        <v>14724</v>
      </c>
      <c r="H15" s="285" t="s">
        <v>4946</v>
      </c>
      <c r="I15" s="285" t="s">
        <v>5127</v>
      </c>
      <c r="J15" s="29"/>
      <c r="K15" s="22" t="s">
        <v>3136</v>
      </c>
      <c r="L15" s="231" t="s">
        <v>14725</v>
      </c>
      <c r="M15" s="29" t="s">
        <v>14726</v>
      </c>
      <c r="N15" s="584">
        <v>121</v>
      </c>
      <c r="O15" s="15">
        <v>40822</v>
      </c>
      <c r="P15" s="40">
        <v>711.36</v>
      </c>
      <c r="Q15" s="40">
        <v>711.36</v>
      </c>
      <c r="R15" s="40">
        <v>0</v>
      </c>
      <c r="S15" s="15"/>
      <c r="T15" s="285" t="s">
        <v>14727</v>
      </c>
      <c r="U15" s="285" t="s">
        <v>14728</v>
      </c>
      <c r="V15" s="14" t="s">
        <v>14729</v>
      </c>
      <c r="W15" s="14"/>
      <c r="X15" s="14"/>
      <c r="Y15" s="14"/>
      <c r="Z15" s="14"/>
      <c r="AA15" s="14"/>
    </row>
    <row r="16" spans="1:28" s="39" customFormat="1" ht="24.75" customHeight="1" x14ac:dyDescent="0.2">
      <c r="A16" s="289">
        <v>10</v>
      </c>
      <c r="B16" s="289" t="s">
        <v>14730</v>
      </c>
      <c r="C16" s="289"/>
      <c r="D16" s="517" t="s">
        <v>14698</v>
      </c>
      <c r="E16" s="22" t="s">
        <v>2467</v>
      </c>
      <c r="F16" s="255" t="s">
        <v>14731</v>
      </c>
      <c r="G16" s="285" t="s">
        <v>14732</v>
      </c>
      <c r="H16" s="285" t="s">
        <v>14733</v>
      </c>
      <c r="I16" s="285" t="s">
        <v>5127</v>
      </c>
      <c r="J16" s="29"/>
      <c r="K16" s="22" t="s">
        <v>3136</v>
      </c>
      <c r="L16" s="231">
        <v>40822</v>
      </c>
      <c r="M16" s="29">
        <v>1017</v>
      </c>
      <c r="N16" s="584">
        <v>95</v>
      </c>
      <c r="O16" s="15">
        <v>41198</v>
      </c>
      <c r="P16" s="40">
        <v>27293.01</v>
      </c>
      <c r="Q16" s="40">
        <v>27293.01</v>
      </c>
      <c r="R16" s="40">
        <f>P16-Q16</f>
        <v>0</v>
      </c>
      <c r="S16" s="15"/>
      <c r="T16" s="285" t="s">
        <v>14712</v>
      </c>
      <c r="U16" s="285">
        <v>1017</v>
      </c>
      <c r="V16" s="14" t="s">
        <v>14720</v>
      </c>
      <c r="W16" s="14"/>
      <c r="X16" s="14"/>
      <c r="Y16" s="14"/>
      <c r="Z16" s="14"/>
      <c r="AA16" s="14"/>
    </row>
    <row r="17" spans="1:27" s="39" customFormat="1" ht="24.75" customHeight="1" x14ac:dyDescent="0.2">
      <c r="A17" s="289">
        <v>11</v>
      </c>
      <c r="B17" s="289" t="s">
        <v>14734</v>
      </c>
      <c r="C17" s="289"/>
      <c r="D17" s="583" t="s">
        <v>14698</v>
      </c>
      <c r="E17" s="22" t="s">
        <v>13728</v>
      </c>
      <c r="F17" s="255" t="s">
        <v>14708</v>
      </c>
      <c r="G17" s="285" t="s">
        <v>14735</v>
      </c>
      <c r="H17" s="285" t="s">
        <v>792</v>
      </c>
      <c r="I17" s="285" t="s">
        <v>5127</v>
      </c>
      <c r="J17" s="29"/>
      <c r="K17" s="22" t="s">
        <v>3136</v>
      </c>
      <c r="L17" s="231">
        <v>40822</v>
      </c>
      <c r="M17" s="29">
        <v>1017</v>
      </c>
      <c r="N17" s="584">
        <v>250</v>
      </c>
      <c r="O17" s="15">
        <v>40822</v>
      </c>
      <c r="P17" s="40">
        <v>20165.05</v>
      </c>
      <c r="Q17" s="40">
        <v>20165.05</v>
      </c>
      <c r="R17" s="40">
        <v>0</v>
      </c>
      <c r="S17" s="15"/>
      <c r="T17" s="285" t="s">
        <v>14712</v>
      </c>
      <c r="U17" s="285">
        <v>1017</v>
      </c>
      <c r="V17" s="14" t="s">
        <v>14720</v>
      </c>
      <c r="W17" s="14"/>
      <c r="X17" s="14"/>
      <c r="Y17" s="14"/>
      <c r="Z17" s="14"/>
      <c r="AA17" s="14"/>
    </row>
    <row r="18" spans="1:27" s="39" customFormat="1" ht="24.75" customHeight="1" x14ac:dyDescent="0.2">
      <c r="A18" s="289">
        <v>12</v>
      </c>
      <c r="B18" s="289" t="s">
        <v>14736</v>
      </c>
      <c r="C18" s="289"/>
      <c r="D18" s="583" t="s">
        <v>14698</v>
      </c>
      <c r="E18" s="22" t="s">
        <v>13728</v>
      </c>
      <c r="F18" s="255" t="s">
        <v>14737</v>
      </c>
      <c r="G18" s="285" t="s">
        <v>14738</v>
      </c>
      <c r="H18" s="285" t="s">
        <v>792</v>
      </c>
      <c r="I18" s="285" t="s">
        <v>5127</v>
      </c>
      <c r="J18" s="29"/>
      <c r="K18" s="22" t="s">
        <v>3136</v>
      </c>
      <c r="L18" s="231">
        <v>40822</v>
      </c>
      <c r="M18" s="29">
        <v>1017</v>
      </c>
      <c r="N18" s="584">
        <v>250</v>
      </c>
      <c r="O18" s="15">
        <v>40822</v>
      </c>
      <c r="P18" s="40">
        <v>12318.09</v>
      </c>
      <c r="Q18" s="40">
        <f>P18-R18</f>
        <v>12318.09</v>
      </c>
      <c r="R18" s="40">
        <v>0</v>
      </c>
      <c r="S18" s="15"/>
      <c r="T18" s="285" t="s">
        <v>14712</v>
      </c>
      <c r="U18" s="285">
        <v>1017</v>
      </c>
      <c r="V18" s="14" t="s">
        <v>14720</v>
      </c>
      <c r="W18" s="14"/>
      <c r="X18" s="14"/>
      <c r="Y18" s="14"/>
      <c r="Z18" s="14"/>
      <c r="AA18" s="14"/>
    </row>
    <row r="19" spans="1:27" s="39" customFormat="1" ht="24.75" customHeight="1" x14ac:dyDescent="0.2">
      <c r="A19" s="289">
        <v>13</v>
      </c>
      <c r="B19" s="289" t="s">
        <v>14739</v>
      </c>
      <c r="C19" s="289"/>
      <c r="D19" s="583" t="s">
        <v>14698</v>
      </c>
      <c r="E19" s="22" t="s">
        <v>6173</v>
      </c>
      <c r="F19" s="255" t="s">
        <v>14740</v>
      </c>
      <c r="G19" s="285" t="s">
        <v>14741</v>
      </c>
      <c r="H19" s="285" t="s">
        <v>7977</v>
      </c>
      <c r="I19" s="285" t="s">
        <v>5127</v>
      </c>
      <c r="J19" s="29"/>
      <c r="K19" s="22" t="s">
        <v>3136</v>
      </c>
      <c r="L19" s="231">
        <v>40822</v>
      </c>
      <c r="M19" s="29">
        <v>1017</v>
      </c>
      <c r="N19" s="584">
        <v>150</v>
      </c>
      <c r="O19" s="15">
        <v>40822</v>
      </c>
      <c r="P19" s="40">
        <v>22333.71</v>
      </c>
      <c r="Q19" s="40">
        <f>P19-R19</f>
        <v>22333.71</v>
      </c>
      <c r="R19" s="40">
        <v>0</v>
      </c>
      <c r="S19" s="15"/>
      <c r="T19" s="285" t="s">
        <v>14712</v>
      </c>
      <c r="U19" s="285">
        <v>1017</v>
      </c>
      <c r="V19" s="14" t="s">
        <v>14720</v>
      </c>
      <c r="W19" s="14"/>
      <c r="X19" s="14"/>
      <c r="Y19" s="14"/>
      <c r="Z19" s="14"/>
      <c r="AA19" s="14"/>
    </row>
    <row r="20" spans="1:27" s="39" customFormat="1" ht="24.75" customHeight="1" x14ac:dyDescent="0.2">
      <c r="A20" s="289">
        <v>14</v>
      </c>
      <c r="B20" s="289" t="s">
        <v>14742</v>
      </c>
      <c r="C20" s="289"/>
      <c r="D20" s="583" t="s">
        <v>14698</v>
      </c>
      <c r="E20" s="22" t="s">
        <v>6173</v>
      </c>
      <c r="F20" s="255" t="s">
        <v>14743</v>
      </c>
      <c r="G20" s="285" t="s">
        <v>14741</v>
      </c>
      <c r="H20" s="285" t="s">
        <v>7977</v>
      </c>
      <c r="I20" s="285" t="s">
        <v>5127</v>
      </c>
      <c r="J20" s="29"/>
      <c r="K20" s="22" t="s">
        <v>3136</v>
      </c>
      <c r="L20" s="231">
        <v>40822</v>
      </c>
      <c r="M20" s="29">
        <v>1017</v>
      </c>
      <c r="N20" s="584">
        <v>150</v>
      </c>
      <c r="O20" s="15">
        <v>40822</v>
      </c>
      <c r="P20" s="40">
        <v>15216.85</v>
      </c>
      <c r="Q20" s="40">
        <f>P20-R20</f>
        <v>15216.85</v>
      </c>
      <c r="R20" s="40">
        <v>0</v>
      </c>
      <c r="S20" s="15"/>
      <c r="T20" s="285" t="s">
        <v>14712</v>
      </c>
      <c r="U20" s="285">
        <v>1017</v>
      </c>
      <c r="V20" s="14" t="s">
        <v>14720</v>
      </c>
      <c r="W20" s="14"/>
      <c r="X20" s="14"/>
      <c r="Y20" s="14"/>
      <c r="Z20" s="14"/>
      <c r="AA20" s="14"/>
    </row>
    <row r="21" spans="1:27" s="39" customFormat="1" ht="97.5" customHeight="1" x14ac:dyDescent="0.2">
      <c r="A21" s="289">
        <v>15</v>
      </c>
      <c r="B21" s="289" t="s">
        <v>14744</v>
      </c>
      <c r="C21" s="289" t="s">
        <v>14745</v>
      </c>
      <c r="D21" s="583" t="s">
        <v>14746</v>
      </c>
      <c r="E21" s="22" t="s">
        <v>3274</v>
      </c>
      <c r="F21" s="255" t="s">
        <v>14747</v>
      </c>
      <c r="G21" s="285" t="s">
        <v>14748</v>
      </c>
      <c r="H21" s="285" t="s">
        <v>12435</v>
      </c>
      <c r="I21" s="285" t="s">
        <v>5127</v>
      </c>
      <c r="J21" s="29"/>
      <c r="K21" s="22" t="s">
        <v>3136</v>
      </c>
      <c r="L21" s="231" t="s">
        <v>14749</v>
      </c>
      <c r="M21" s="29" t="s">
        <v>14750</v>
      </c>
      <c r="N21" s="584">
        <v>68</v>
      </c>
      <c r="O21" s="15">
        <v>41244</v>
      </c>
      <c r="P21" s="40">
        <v>37473.74</v>
      </c>
      <c r="Q21" s="40">
        <v>37473.74</v>
      </c>
      <c r="R21" s="40">
        <f>P21-Q21</f>
        <v>0</v>
      </c>
      <c r="S21" s="15"/>
      <c r="T21" s="285" t="s">
        <v>14727</v>
      </c>
      <c r="U21" s="14" t="s">
        <v>14751</v>
      </c>
      <c r="V21" s="22" t="s">
        <v>14752</v>
      </c>
      <c r="W21" s="14"/>
      <c r="X21" s="14"/>
      <c r="Y21" s="14"/>
      <c r="Z21" s="14"/>
      <c r="AA21" s="14"/>
    </row>
    <row r="22" spans="1:27" s="39" customFormat="1" ht="115.5" customHeight="1" x14ac:dyDescent="0.2">
      <c r="A22" s="289">
        <v>16</v>
      </c>
      <c r="B22" s="289" t="s">
        <v>14753</v>
      </c>
      <c r="C22" s="285" t="s">
        <v>14754</v>
      </c>
      <c r="D22" s="583" t="s">
        <v>14698</v>
      </c>
      <c r="E22" s="22" t="s">
        <v>1823</v>
      </c>
      <c r="F22" s="255" t="s">
        <v>14755</v>
      </c>
      <c r="G22" s="285" t="s">
        <v>14756</v>
      </c>
      <c r="H22" s="285" t="s">
        <v>7982</v>
      </c>
      <c r="I22" s="285" t="s">
        <v>5127</v>
      </c>
      <c r="J22" s="29"/>
      <c r="K22" s="22" t="s">
        <v>3136</v>
      </c>
      <c r="L22" s="231" t="s">
        <v>14757</v>
      </c>
      <c r="M22" s="29" t="s">
        <v>14758</v>
      </c>
      <c r="N22" s="584">
        <v>109</v>
      </c>
      <c r="O22" s="15">
        <v>41244</v>
      </c>
      <c r="P22" s="40">
        <v>36175.370000000003</v>
      </c>
      <c r="Q22" s="40">
        <v>36175.370000000003</v>
      </c>
      <c r="R22" s="40">
        <f>P22-Q22</f>
        <v>0</v>
      </c>
      <c r="S22" s="15"/>
      <c r="T22" s="285" t="s">
        <v>14727</v>
      </c>
      <c r="U22" s="14" t="s">
        <v>14751</v>
      </c>
      <c r="V22" s="22" t="s">
        <v>14759</v>
      </c>
      <c r="W22" s="14"/>
      <c r="X22" s="14"/>
      <c r="Y22" s="14"/>
      <c r="Z22" s="14"/>
      <c r="AA22" s="14"/>
    </row>
    <row r="23" spans="1:27" s="39" customFormat="1" ht="111" customHeight="1" x14ac:dyDescent="0.2">
      <c r="A23" s="289">
        <v>17</v>
      </c>
      <c r="B23" s="289" t="s">
        <v>14760</v>
      </c>
      <c r="C23" s="289" t="s">
        <v>14761</v>
      </c>
      <c r="D23" s="583" t="s">
        <v>14698</v>
      </c>
      <c r="E23" s="22" t="s">
        <v>1823</v>
      </c>
      <c r="F23" s="255" t="s">
        <v>14762</v>
      </c>
      <c r="G23" s="285" t="s">
        <v>14763</v>
      </c>
      <c r="H23" s="285" t="s">
        <v>7982</v>
      </c>
      <c r="I23" s="285" t="s">
        <v>5127</v>
      </c>
      <c r="J23" s="29"/>
      <c r="K23" s="22" t="s">
        <v>3136</v>
      </c>
      <c r="L23" s="231" t="s">
        <v>14764</v>
      </c>
      <c r="M23" s="29" t="s">
        <v>14765</v>
      </c>
      <c r="N23" s="584">
        <v>155</v>
      </c>
      <c r="O23" s="15">
        <v>41244</v>
      </c>
      <c r="P23" s="40">
        <v>23181.14</v>
      </c>
      <c r="Q23" s="40">
        <v>23181.14</v>
      </c>
      <c r="R23" s="40">
        <f>P23-Q23</f>
        <v>0</v>
      </c>
      <c r="S23" s="15"/>
      <c r="T23" s="285" t="s">
        <v>14703</v>
      </c>
      <c r="U23" s="14" t="s">
        <v>14720</v>
      </c>
      <c r="V23" s="284" t="s">
        <v>14766</v>
      </c>
      <c r="W23" s="14"/>
      <c r="X23" s="14"/>
      <c r="Y23" s="14"/>
      <c r="Z23" s="14"/>
      <c r="AA23" s="14"/>
    </row>
    <row r="24" spans="1:27" s="39" customFormat="1" ht="111" customHeight="1" x14ac:dyDescent="0.2">
      <c r="A24" s="289">
        <v>18</v>
      </c>
      <c r="B24" s="289" t="s">
        <v>14767</v>
      </c>
      <c r="C24" s="289" t="s">
        <v>14768</v>
      </c>
      <c r="D24" s="583" t="s">
        <v>14698</v>
      </c>
      <c r="E24" s="22" t="s">
        <v>1823</v>
      </c>
      <c r="F24" s="255" t="s">
        <v>14769</v>
      </c>
      <c r="G24" s="285" t="s">
        <v>14770</v>
      </c>
      <c r="H24" s="285" t="s">
        <v>7982</v>
      </c>
      <c r="I24" s="285" t="s">
        <v>5127</v>
      </c>
      <c r="J24" s="29"/>
      <c r="K24" s="22" t="s">
        <v>3136</v>
      </c>
      <c r="L24" s="231" t="s">
        <v>14764</v>
      </c>
      <c r="M24" s="29" t="s">
        <v>14765</v>
      </c>
      <c r="N24" s="584">
        <v>155</v>
      </c>
      <c r="O24" s="15">
        <v>41244</v>
      </c>
      <c r="P24" s="40">
        <v>23181.14</v>
      </c>
      <c r="Q24" s="40">
        <v>23181.14</v>
      </c>
      <c r="R24" s="40">
        <f>P24-Q24</f>
        <v>0</v>
      </c>
      <c r="S24" s="15"/>
      <c r="T24" s="285" t="s">
        <v>14712</v>
      </c>
      <c r="U24" s="14" t="s">
        <v>14720</v>
      </c>
      <c r="V24" s="284" t="s">
        <v>14771</v>
      </c>
      <c r="W24" s="14"/>
      <c r="X24" s="14"/>
      <c r="Y24" s="14"/>
      <c r="Z24" s="14"/>
      <c r="AA24" s="14"/>
    </row>
    <row r="25" spans="1:27" s="39" customFormat="1" ht="30.75" customHeight="1" x14ac:dyDescent="0.2">
      <c r="A25" s="289">
        <v>19</v>
      </c>
      <c r="B25" s="289" t="s">
        <v>14772</v>
      </c>
      <c r="C25" s="289"/>
      <c r="D25" s="583" t="s">
        <v>14698</v>
      </c>
      <c r="E25" s="22" t="s">
        <v>13728</v>
      </c>
      <c r="F25" s="255" t="s">
        <v>14737</v>
      </c>
      <c r="G25" s="285" t="s">
        <v>14773</v>
      </c>
      <c r="H25" s="285" t="s">
        <v>7981</v>
      </c>
      <c r="I25" s="285" t="s">
        <v>5127</v>
      </c>
      <c r="J25" s="29"/>
      <c r="K25" s="22" t="s">
        <v>3136</v>
      </c>
      <c r="L25" s="231">
        <v>40822</v>
      </c>
      <c r="M25" s="29">
        <v>1017</v>
      </c>
      <c r="N25" s="584">
        <v>190</v>
      </c>
      <c r="O25" s="15">
        <v>40822</v>
      </c>
      <c r="P25" s="40">
        <v>5577.74</v>
      </c>
      <c r="Q25" s="40">
        <f t="shared" ref="Q25:Q36" si="0">P25-R25</f>
        <v>5577.74</v>
      </c>
      <c r="R25" s="40">
        <v>0</v>
      </c>
      <c r="S25" s="15"/>
      <c r="T25" s="285" t="s">
        <v>14712</v>
      </c>
      <c r="U25" s="285">
        <v>1017</v>
      </c>
      <c r="V25" s="14" t="s">
        <v>14720</v>
      </c>
      <c r="W25" s="14"/>
      <c r="X25" s="14"/>
      <c r="Y25" s="14"/>
      <c r="Z25" s="14"/>
      <c r="AA25" s="14"/>
    </row>
    <row r="26" spans="1:27" s="39" customFormat="1" ht="30.75" customHeight="1" x14ac:dyDescent="0.2">
      <c r="A26" s="289">
        <v>20</v>
      </c>
      <c r="B26" s="289" t="s">
        <v>14774</v>
      </c>
      <c r="C26" s="289"/>
      <c r="D26" s="583" t="s">
        <v>14698</v>
      </c>
      <c r="E26" s="22" t="s">
        <v>13728</v>
      </c>
      <c r="F26" s="255" t="s">
        <v>14737</v>
      </c>
      <c r="G26" s="285" t="s">
        <v>14773</v>
      </c>
      <c r="H26" s="285" t="s">
        <v>2436</v>
      </c>
      <c r="I26" s="285" t="s">
        <v>5127</v>
      </c>
      <c r="J26" s="29"/>
      <c r="K26" s="22" t="s">
        <v>3136</v>
      </c>
      <c r="L26" s="231">
        <v>40822</v>
      </c>
      <c r="M26" s="29">
        <v>1017</v>
      </c>
      <c r="N26" s="584">
        <v>190</v>
      </c>
      <c r="O26" s="15">
        <v>40822</v>
      </c>
      <c r="P26" s="40">
        <v>5577.74</v>
      </c>
      <c r="Q26" s="40">
        <f t="shared" si="0"/>
        <v>5577.74</v>
      </c>
      <c r="R26" s="40">
        <v>0</v>
      </c>
      <c r="S26" s="15"/>
      <c r="T26" s="285" t="s">
        <v>14712</v>
      </c>
      <c r="U26" s="285">
        <v>1017</v>
      </c>
      <c r="V26" s="14" t="s">
        <v>14720</v>
      </c>
      <c r="W26" s="14"/>
      <c r="X26" s="14"/>
      <c r="Y26" s="14"/>
      <c r="Z26" s="14"/>
      <c r="AA26" s="14"/>
    </row>
    <row r="27" spans="1:27" s="39" customFormat="1" ht="30.75" customHeight="1" x14ac:dyDescent="0.2">
      <c r="A27" s="289">
        <v>21</v>
      </c>
      <c r="B27" s="289" t="s">
        <v>14775</v>
      </c>
      <c r="C27" s="289"/>
      <c r="D27" s="583" t="s">
        <v>14698</v>
      </c>
      <c r="E27" s="22" t="s">
        <v>14776</v>
      </c>
      <c r="F27" s="255" t="s">
        <v>14777</v>
      </c>
      <c r="G27" s="285" t="s">
        <v>14778</v>
      </c>
      <c r="H27" s="285" t="s">
        <v>14083</v>
      </c>
      <c r="I27" s="285" t="s">
        <v>2042</v>
      </c>
      <c r="J27" s="289" t="s">
        <v>2207</v>
      </c>
      <c r="K27" s="285" t="s">
        <v>14084</v>
      </c>
      <c r="L27" s="231">
        <v>44084</v>
      </c>
      <c r="M27" s="29">
        <v>10</v>
      </c>
      <c r="N27" s="584">
        <v>85</v>
      </c>
      <c r="O27" s="15">
        <v>40822</v>
      </c>
      <c r="P27" s="40">
        <v>7122.42</v>
      </c>
      <c r="Q27" s="40">
        <f t="shared" si="0"/>
        <v>7122.42</v>
      </c>
      <c r="R27" s="40">
        <v>0</v>
      </c>
      <c r="S27" s="15"/>
      <c r="T27" s="285" t="s">
        <v>14712</v>
      </c>
      <c r="U27" s="285">
        <v>1017</v>
      </c>
      <c r="V27" s="14" t="s">
        <v>14720</v>
      </c>
      <c r="W27" s="14"/>
      <c r="X27" s="14"/>
      <c r="Y27" s="14"/>
      <c r="Z27" s="14"/>
      <c r="AA27" s="14"/>
    </row>
    <row r="28" spans="1:27" s="39" customFormat="1" ht="30.75" customHeight="1" x14ac:dyDescent="0.2">
      <c r="A28" s="289">
        <v>22</v>
      </c>
      <c r="B28" s="289" t="s">
        <v>14779</v>
      </c>
      <c r="C28" s="289"/>
      <c r="D28" s="583" t="s">
        <v>14698</v>
      </c>
      <c r="E28" s="22" t="s">
        <v>14776</v>
      </c>
      <c r="F28" s="255" t="s">
        <v>14777</v>
      </c>
      <c r="G28" s="285" t="s">
        <v>14778</v>
      </c>
      <c r="H28" s="285" t="s">
        <v>14083</v>
      </c>
      <c r="I28" s="285" t="s">
        <v>2042</v>
      </c>
      <c r="J28" s="289" t="s">
        <v>2207</v>
      </c>
      <c r="K28" s="285" t="s">
        <v>14084</v>
      </c>
      <c r="L28" s="231">
        <v>44084</v>
      </c>
      <c r="M28" s="29">
        <v>10</v>
      </c>
      <c r="N28" s="584">
        <v>85</v>
      </c>
      <c r="O28" s="15">
        <v>40822</v>
      </c>
      <c r="P28" s="40">
        <v>7122.42</v>
      </c>
      <c r="Q28" s="40">
        <f t="shared" si="0"/>
        <v>7122.42</v>
      </c>
      <c r="R28" s="40">
        <v>0</v>
      </c>
      <c r="S28" s="15"/>
      <c r="T28" s="285" t="s">
        <v>14712</v>
      </c>
      <c r="U28" s="285">
        <v>1017</v>
      </c>
      <c r="V28" s="14" t="s">
        <v>14720</v>
      </c>
      <c r="W28" s="14"/>
      <c r="X28" s="14"/>
      <c r="Y28" s="14"/>
      <c r="Z28" s="14"/>
      <c r="AA28" s="14"/>
    </row>
    <row r="29" spans="1:27" s="39" customFormat="1" ht="30.75" customHeight="1" x14ac:dyDescent="0.2">
      <c r="A29" s="289">
        <v>23</v>
      </c>
      <c r="B29" s="289" t="s">
        <v>14780</v>
      </c>
      <c r="C29" s="289"/>
      <c r="D29" s="583" t="s">
        <v>14698</v>
      </c>
      <c r="E29" s="22" t="s">
        <v>6173</v>
      </c>
      <c r="F29" s="255" t="s">
        <v>14781</v>
      </c>
      <c r="G29" s="285" t="s">
        <v>14782</v>
      </c>
      <c r="H29" s="285" t="s">
        <v>7978</v>
      </c>
      <c r="I29" s="285" t="s">
        <v>5127</v>
      </c>
      <c r="J29" s="29"/>
      <c r="K29" s="22" t="s">
        <v>3136</v>
      </c>
      <c r="L29" s="231">
        <v>40822</v>
      </c>
      <c r="M29" s="29">
        <v>1017</v>
      </c>
      <c r="N29" s="584">
        <v>380</v>
      </c>
      <c r="O29" s="15">
        <v>40822</v>
      </c>
      <c r="P29" s="40">
        <v>23810.29</v>
      </c>
      <c r="Q29" s="40">
        <f t="shared" si="0"/>
        <v>23810.29</v>
      </c>
      <c r="R29" s="40">
        <v>0</v>
      </c>
      <c r="S29" s="15"/>
      <c r="T29" s="285" t="s">
        <v>14712</v>
      </c>
      <c r="U29" s="285">
        <v>1017</v>
      </c>
      <c r="V29" s="14" t="s">
        <v>14720</v>
      </c>
      <c r="W29" s="14"/>
      <c r="X29" s="14"/>
      <c r="Y29" s="14"/>
      <c r="Z29" s="14"/>
      <c r="AA29" s="14"/>
    </row>
    <row r="30" spans="1:27" s="39" customFormat="1" ht="30.75" customHeight="1" x14ac:dyDescent="0.2">
      <c r="A30" s="289">
        <v>24</v>
      </c>
      <c r="B30" s="289" t="s">
        <v>14783</v>
      </c>
      <c r="C30" s="289"/>
      <c r="D30" s="583" t="s">
        <v>14698</v>
      </c>
      <c r="E30" s="22" t="s">
        <v>13705</v>
      </c>
      <c r="F30" s="255" t="s">
        <v>14781</v>
      </c>
      <c r="G30" s="285" t="s">
        <v>14784</v>
      </c>
      <c r="H30" s="285" t="s">
        <v>7917</v>
      </c>
      <c r="I30" s="285" t="s">
        <v>5127</v>
      </c>
      <c r="J30" s="29"/>
      <c r="K30" s="22" t="s">
        <v>3136</v>
      </c>
      <c r="L30" s="231">
        <v>40822</v>
      </c>
      <c r="M30" s="29">
        <v>1017</v>
      </c>
      <c r="N30" s="584">
        <v>190</v>
      </c>
      <c r="O30" s="15">
        <v>40822</v>
      </c>
      <c r="P30" s="40">
        <v>12690.57</v>
      </c>
      <c r="Q30" s="40">
        <f t="shared" si="0"/>
        <v>12690.57</v>
      </c>
      <c r="R30" s="40">
        <v>0</v>
      </c>
      <c r="S30" s="15"/>
      <c r="T30" s="285" t="s">
        <v>14712</v>
      </c>
      <c r="U30" s="285">
        <v>1017</v>
      </c>
      <c r="V30" s="14" t="s">
        <v>14720</v>
      </c>
      <c r="W30" s="14"/>
      <c r="X30" s="14"/>
      <c r="Y30" s="14"/>
      <c r="Z30" s="14"/>
      <c r="AA30" s="14"/>
    </row>
    <row r="31" spans="1:27" s="39" customFormat="1" ht="30.75" customHeight="1" x14ac:dyDescent="0.2">
      <c r="A31" s="289">
        <v>25</v>
      </c>
      <c r="B31" s="289" t="s">
        <v>14785</v>
      </c>
      <c r="C31" s="289"/>
      <c r="D31" s="583" t="s">
        <v>14698</v>
      </c>
      <c r="E31" s="22" t="s">
        <v>13705</v>
      </c>
      <c r="F31" s="255" t="s">
        <v>14781</v>
      </c>
      <c r="G31" s="285" t="s">
        <v>14784</v>
      </c>
      <c r="H31" s="285" t="s">
        <v>7917</v>
      </c>
      <c r="I31" s="285" t="s">
        <v>5127</v>
      </c>
      <c r="J31" s="29"/>
      <c r="K31" s="22" t="s">
        <v>3136</v>
      </c>
      <c r="L31" s="231">
        <v>40822</v>
      </c>
      <c r="M31" s="29">
        <v>1017</v>
      </c>
      <c r="N31" s="584">
        <v>190</v>
      </c>
      <c r="O31" s="15">
        <v>40822</v>
      </c>
      <c r="P31" s="40">
        <v>12690.57</v>
      </c>
      <c r="Q31" s="40">
        <f t="shared" si="0"/>
        <v>12690.57</v>
      </c>
      <c r="R31" s="40">
        <v>0</v>
      </c>
      <c r="S31" s="15"/>
      <c r="T31" s="285" t="s">
        <v>14712</v>
      </c>
      <c r="U31" s="285">
        <v>1017</v>
      </c>
      <c r="V31" s="14" t="s">
        <v>14720</v>
      </c>
      <c r="W31" s="14"/>
      <c r="X31" s="14"/>
      <c r="Y31" s="14"/>
      <c r="Z31" s="14"/>
      <c r="AA31" s="14"/>
    </row>
    <row r="32" spans="1:27" s="39" customFormat="1" ht="42" customHeight="1" x14ac:dyDescent="0.2">
      <c r="A32" s="289">
        <v>26</v>
      </c>
      <c r="B32" s="289" t="s">
        <v>14786</v>
      </c>
      <c r="C32" s="289"/>
      <c r="D32" s="583" t="s">
        <v>14698</v>
      </c>
      <c r="E32" s="22" t="s">
        <v>14787</v>
      </c>
      <c r="F32" s="255" t="s">
        <v>14788</v>
      </c>
      <c r="G32" s="285" t="s">
        <v>14789</v>
      </c>
      <c r="H32" s="285" t="s">
        <v>13149</v>
      </c>
      <c r="I32" s="285" t="s">
        <v>5127</v>
      </c>
      <c r="J32" s="29"/>
      <c r="K32" s="22" t="s">
        <v>3136</v>
      </c>
      <c r="L32" s="231">
        <v>40822</v>
      </c>
      <c r="M32" s="29">
        <v>1017</v>
      </c>
      <c r="N32" s="584">
        <v>120</v>
      </c>
      <c r="O32" s="15">
        <v>40822</v>
      </c>
      <c r="P32" s="40">
        <v>6240.86</v>
      </c>
      <c r="Q32" s="40">
        <f t="shared" si="0"/>
        <v>6240.86</v>
      </c>
      <c r="R32" s="40">
        <v>0</v>
      </c>
      <c r="S32" s="15"/>
      <c r="T32" s="285" t="s">
        <v>14712</v>
      </c>
      <c r="U32" s="285">
        <v>1017</v>
      </c>
      <c r="V32" s="14" t="s">
        <v>14720</v>
      </c>
      <c r="W32" s="14"/>
      <c r="X32" s="14"/>
      <c r="Y32" s="14"/>
      <c r="Z32" s="14"/>
      <c r="AA32" s="14"/>
    </row>
    <row r="33" spans="1:27" s="39" customFormat="1" ht="41.25" customHeight="1" x14ac:dyDescent="0.2">
      <c r="A33" s="289">
        <v>27</v>
      </c>
      <c r="B33" s="289" t="s">
        <v>14790</v>
      </c>
      <c r="C33" s="289"/>
      <c r="D33" s="583" t="s">
        <v>14698</v>
      </c>
      <c r="E33" s="22" t="s">
        <v>14787</v>
      </c>
      <c r="F33" s="255" t="s">
        <v>14788</v>
      </c>
      <c r="G33" s="285" t="s">
        <v>14789</v>
      </c>
      <c r="H33" s="285" t="s">
        <v>13149</v>
      </c>
      <c r="I33" s="285" t="s">
        <v>5127</v>
      </c>
      <c r="J33" s="29"/>
      <c r="K33" s="22" t="s">
        <v>3136</v>
      </c>
      <c r="L33" s="231">
        <v>40822</v>
      </c>
      <c r="M33" s="29">
        <v>1017</v>
      </c>
      <c r="N33" s="584">
        <v>30</v>
      </c>
      <c r="O33" s="15">
        <v>40822</v>
      </c>
      <c r="P33" s="40">
        <v>1560.212</v>
      </c>
      <c r="Q33" s="40">
        <f t="shared" si="0"/>
        <v>1560.212</v>
      </c>
      <c r="R33" s="40">
        <v>0</v>
      </c>
      <c r="S33" s="15"/>
      <c r="T33" s="285" t="s">
        <v>14712</v>
      </c>
      <c r="U33" s="285">
        <v>1017</v>
      </c>
      <c r="V33" s="14" t="s">
        <v>14720</v>
      </c>
      <c r="W33" s="14"/>
      <c r="X33" s="14"/>
      <c r="Y33" s="14"/>
      <c r="Z33" s="14"/>
      <c r="AA33" s="14"/>
    </row>
    <row r="34" spans="1:27" s="39" customFormat="1" ht="30.75" customHeight="1" x14ac:dyDescent="0.2">
      <c r="A34" s="289">
        <v>28</v>
      </c>
      <c r="B34" s="289" t="s">
        <v>14791</v>
      </c>
      <c r="C34" s="289"/>
      <c r="D34" s="583" t="s">
        <v>14698</v>
      </c>
      <c r="E34" s="285">
        <v>1983</v>
      </c>
      <c r="F34" s="255" t="s">
        <v>14792</v>
      </c>
      <c r="G34" s="285" t="s">
        <v>14793</v>
      </c>
      <c r="H34" s="285" t="s">
        <v>9194</v>
      </c>
      <c r="I34" s="285" t="s">
        <v>5127</v>
      </c>
      <c r="J34" s="29"/>
      <c r="K34" s="22" t="s">
        <v>3136</v>
      </c>
      <c r="L34" s="231">
        <v>40822</v>
      </c>
      <c r="M34" s="29">
        <v>1017</v>
      </c>
      <c r="N34" s="584">
        <v>140</v>
      </c>
      <c r="O34" s="15">
        <v>40822</v>
      </c>
      <c r="P34" s="40">
        <v>4574.8900000000003</v>
      </c>
      <c r="Q34" s="40">
        <f t="shared" si="0"/>
        <v>4574.8900000000003</v>
      </c>
      <c r="R34" s="40">
        <v>0</v>
      </c>
      <c r="S34" s="15"/>
      <c r="T34" s="285" t="s">
        <v>14712</v>
      </c>
      <c r="U34" s="285">
        <v>1017</v>
      </c>
      <c r="V34" s="14" t="s">
        <v>14720</v>
      </c>
      <c r="W34" s="14"/>
      <c r="X34" s="14"/>
      <c r="Y34" s="14"/>
      <c r="Z34" s="14"/>
      <c r="AA34" s="14"/>
    </row>
    <row r="35" spans="1:27" s="39" customFormat="1" ht="28.5" customHeight="1" x14ac:dyDescent="0.2">
      <c r="A35" s="289">
        <v>29</v>
      </c>
      <c r="B35" s="289" t="s">
        <v>14794</v>
      </c>
      <c r="C35" s="289"/>
      <c r="D35" s="583" t="s">
        <v>14698</v>
      </c>
      <c r="E35" s="22" t="s">
        <v>6173</v>
      </c>
      <c r="F35" s="255" t="s">
        <v>14795</v>
      </c>
      <c r="G35" s="285" t="s">
        <v>14793</v>
      </c>
      <c r="H35" s="285" t="s">
        <v>9194</v>
      </c>
      <c r="I35" s="285" t="s">
        <v>5127</v>
      </c>
      <c r="J35" s="29"/>
      <c r="K35" s="22" t="s">
        <v>3136</v>
      </c>
      <c r="L35" s="231">
        <v>40822</v>
      </c>
      <c r="M35" s="29">
        <v>1017</v>
      </c>
      <c r="N35" s="584">
        <v>60</v>
      </c>
      <c r="O35" s="15">
        <v>40822</v>
      </c>
      <c r="P35" s="40">
        <v>1247.7</v>
      </c>
      <c r="Q35" s="40">
        <f t="shared" si="0"/>
        <v>1247.7</v>
      </c>
      <c r="R35" s="40">
        <v>0</v>
      </c>
      <c r="S35" s="15"/>
      <c r="T35" s="285" t="s">
        <v>14712</v>
      </c>
      <c r="U35" s="285">
        <v>1017</v>
      </c>
      <c r="V35" s="14" t="s">
        <v>14720</v>
      </c>
      <c r="W35" s="14"/>
      <c r="X35" s="14"/>
      <c r="Y35" s="14"/>
      <c r="Z35" s="14"/>
      <c r="AA35" s="14"/>
    </row>
    <row r="36" spans="1:27" s="39" customFormat="1" ht="118.15" customHeight="1" x14ac:dyDescent="0.2">
      <c r="A36" s="289">
        <v>30</v>
      </c>
      <c r="B36" s="289" t="s">
        <v>14796</v>
      </c>
      <c r="C36" s="585" t="s">
        <v>14797</v>
      </c>
      <c r="D36" s="583" t="s">
        <v>14698</v>
      </c>
      <c r="E36" s="560">
        <v>1978</v>
      </c>
      <c r="F36" s="255" t="s">
        <v>14798</v>
      </c>
      <c r="G36" s="285" t="s">
        <v>14799</v>
      </c>
      <c r="H36" s="558" t="s">
        <v>7983</v>
      </c>
      <c r="I36" s="285" t="s">
        <v>5127</v>
      </c>
      <c r="J36" s="558"/>
      <c r="K36" s="22" t="s">
        <v>3136</v>
      </c>
      <c r="L36" s="231">
        <v>40822</v>
      </c>
      <c r="M36" s="29">
        <v>1017</v>
      </c>
      <c r="N36" s="584">
        <v>250</v>
      </c>
      <c r="O36" s="15">
        <v>40822</v>
      </c>
      <c r="P36" s="40">
        <v>53107.21</v>
      </c>
      <c r="Q36" s="40">
        <f t="shared" si="0"/>
        <v>53107.21</v>
      </c>
      <c r="R36" s="40">
        <v>0</v>
      </c>
      <c r="S36" s="15"/>
      <c r="T36" s="285" t="s">
        <v>14712</v>
      </c>
      <c r="U36" s="285">
        <v>1017</v>
      </c>
      <c r="V36" s="14" t="s">
        <v>14720</v>
      </c>
      <c r="W36" s="14"/>
      <c r="X36" s="14"/>
      <c r="Y36" s="14"/>
      <c r="Z36" s="14"/>
      <c r="AA36" s="14"/>
    </row>
    <row r="37" spans="1:27" s="39" customFormat="1" ht="118.15" customHeight="1" x14ac:dyDescent="0.2">
      <c r="A37" s="289">
        <v>31</v>
      </c>
      <c r="B37" s="289" t="s">
        <v>14800</v>
      </c>
      <c r="C37" s="585" t="s">
        <v>14801</v>
      </c>
      <c r="D37" s="583" t="s">
        <v>14698</v>
      </c>
      <c r="E37" s="560">
        <v>2010</v>
      </c>
      <c r="F37" s="255" t="s">
        <v>14802</v>
      </c>
      <c r="G37" s="285" t="s">
        <v>14799</v>
      </c>
      <c r="H37" s="558" t="s">
        <v>7983</v>
      </c>
      <c r="I37" s="558" t="s">
        <v>5127</v>
      </c>
      <c r="J37" s="558"/>
      <c r="K37" s="22" t="s">
        <v>3136</v>
      </c>
      <c r="L37" s="231">
        <v>40822</v>
      </c>
      <c r="M37" s="29">
        <v>1017</v>
      </c>
      <c r="N37" s="584">
        <v>287</v>
      </c>
      <c r="O37" s="15">
        <v>40822</v>
      </c>
      <c r="P37" s="40">
        <v>204838</v>
      </c>
      <c r="Q37" s="40">
        <v>204838</v>
      </c>
      <c r="R37" s="40">
        <f>P37-Q37</f>
        <v>0</v>
      </c>
      <c r="S37" s="15"/>
      <c r="T37" s="285" t="s">
        <v>14712</v>
      </c>
      <c r="U37" s="285">
        <v>1017</v>
      </c>
      <c r="V37" s="14" t="s">
        <v>14720</v>
      </c>
      <c r="W37" s="14"/>
      <c r="X37" s="14"/>
      <c r="Y37" s="14"/>
      <c r="Z37" s="14"/>
      <c r="AA37" s="14"/>
    </row>
    <row r="38" spans="1:27" s="39" customFormat="1" ht="52.5" customHeight="1" x14ac:dyDescent="0.2">
      <c r="A38" s="289">
        <v>32</v>
      </c>
      <c r="B38" s="289" t="s">
        <v>14803</v>
      </c>
      <c r="C38" s="285" t="s">
        <v>14804</v>
      </c>
      <c r="D38" s="255" t="s">
        <v>14805</v>
      </c>
      <c r="E38" s="361">
        <v>1965</v>
      </c>
      <c r="F38" s="586" t="s">
        <v>14806</v>
      </c>
      <c r="G38" s="361" t="s">
        <v>14807</v>
      </c>
      <c r="H38" s="49" t="s">
        <v>14808</v>
      </c>
      <c r="I38" s="361" t="s">
        <v>3793</v>
      </c>
      <c r="J38" s="361"/>
      <c r="K38" s="65" t="s">
        <v>3136</v>
      </c>
      <c r="L38" s="561" t="s">
        <v>13539</v>
      </c>
      <c r="M38" s="68" t="s">
        <v>13540</v>
      </c>
      <c r="N38" s="562">
        <v>64</v>
      </c>
      <c r="O38" s="15">
        <v>42166</v>
      </c>
      <c r="P38" s="40">
        <v>1</v>
      </c>
      <c r="Q38" s="40">
        <v>1</v>
      </c>
      <c r="R38" s="40">
        <f>P38-Q38</f>
        <v>0</v>
      </c>
      <c r="S38" s="40">
        <v>38867</v>
      </c>
      <c r="T38" s="285" t="s">
        <v>14216</v>
      </c>
      <c r="U38" s="285" t="s">
        <v>14217</v>
      </c>
      <c r="V38" s="285" t="s">
        <v>14809</v>
      </c>
      <c r="W38" s="14"/>
      <c r="X38" s="14"/>
      <c r="Y38" s="14"/>
      <c r="Z38" s="14"/>
      <c r="AA38" s="14"/>
    </row>
    <row r="39" spans="1:27" s="39" customFormat="1" ht="50.25" customHeight="1" x14ac:dyDescent="0.2">
      <c r="A39" s="289">
        <v>33</v>
      </c>
      <c r="B39" s="289" t="s">
        <v>14810</v>
      </c>
      <c r="C39" s="285" t="s">
        <v>14811</v>
      </c>
      <c r="D39" s="255" t="s">
        <v>14812</v>
      </c>
      <c r="E39" s="361">
        <v>1965</v>
      </c>
      <c r="F39" s="586" t="s">
        <v>14813</v>
      </c>
      <c r="G39" s="361" t="s">
        <v>14814</v>
      </c>
      <c r="H39" s="558"/>
      <c r="I39" s="285" t="s">
        <v>2042</v>
      </c>
      <c r="J39" s="361" t="s">
        <v>2207</v>
      </c>
      <c r="K39" s="65" t="s">
        <v>3136</v>
      </c>
      <c r="L39" s="561" t="s">
        <v>13549</v>
      </c>
      <c r="M39" s="68" t="s">
        <v>13550</v>
      </c>
      <c r="N39" s="562">
        <v>400</v>
      </c>
      <c r="O39" s="15">
        <v>42166</v>
      </c>
      <c r="P39" s="40">
        <v>1</v>
      </c>
      <c r="Q39" s="40">
        <v>0</v>
      </c>
      <c r="R39" s="40">
        <f>P39-Q39</f>
        <v>1</v>
      </c>
      <c r="S39" s="40">
        <v>243277</v>
      </c>
      <c r="T39" s="285" t="s">
        <v>14216</v>
      </c>
      <c r="U39" s="285" t="s">
        <v>14217</v>
      </c>
      <c r="V39" s="285" t="s">
        <v>14815</v>
      </c>
      <c r="W39" s="14"/>
      <c r="X39" s="14"/>
      <c r="Y39" s="14"/>
      <c r="Z39" s="14"/>
      <c r="AA39" s="14"/>
    </row>
    <row r="40" spans="1:27" s="39" customFormat="1" ht="51" customHeight="1" x14ac:dyDescent="0.2">
      <c r="A40" s="289">
        <v>34</v>
      </c>
      <c r="B40" s="289" t="s">
        <v>14816</v>
      </c>
      <c r="C40" s="285" t="s">
        <v>14817</v>
      </c>
      <c r="D40" s="255" t="s">
        <v>14818</v>
      </c>
      <c r="E40" s="361">
        <v>1977</v>
      </c>
      <c r="F40" s="586" t="s">
        <v>14819</v>
      </c>
      <c r="G40" s="361" t="s">
        <v>14807</v>
      </c>
      <c r="H40" s="49" t="s">
        <v>14808</v>
      </c>
      <c r="I40" s="361" t="s">
        <v>3793</v>
      </c>
      <c r="J40" s="361"/>
      <c r="K40" s="65" t="s">
        <v>3136</v>
      </c>
      <c r="L40" s="561" t="s">
        <v>13539</v>
      </c>
      <c r="M40" s="68" t="s">
        <v>13540</v>
      </c>
      <c r="N40" s="562">
        <v>50</v>
      </c>
      <c r="O40" s="15">
        <v>42166</v>
      </c>
      <c r="P40" s="40">
        <v>1</v>
      </c>
      <c r="Q40" s="40">
        <v>1</v>
      </c>
      <c r="R40" s="40">
        <f>P40-Q40</f>
        <v>0</v>
      </c>
      <c r="S40" s="40">
        <v>31446</v>
      </c>
      <c r="T40" s="285" t="s">
        <v>14216</v>
      </c>
      <c r="U40" s="285" t="s">
        <v>14248</v>
      </c>
      <c r="V40" s="285" t="s">
        <v>14820</v>
      </c>
      <c r="W40" s="14"/>
      <c r="X40" s="14"/>
      <c r="Y40" s="14"/>
      <c r="Z40" s="14"/>
      <c r="AA40" s="14"/>
    </row>
    <row r="41" spans="1:27" s="39" customFormat="1" ht="72" customHeight="1" x14ac:dyDescent="0.2">
      <c r="A41" s="30">
        <v>35</v>
      </c>
      <c r="B41" s="245" t="s">
        <v>14821</v>
      </c>
      <c r="C41" s="46" t="s">
        <v>14822</v>
      </c>
      <c r="D41" s="587" t="s">
        <v>14823</v>
      </c>
      <c r="E41" s="516"/>
      <c r="F41" s="586"/>
      <c r="G41" s="588" t="s">
        <v>14824</v>
      </c>
      <c r="H41" s="589" t="s">
        <v>14825</v>
      </c>
      <c r="I41" s="590" t="s">
        <v>7613</v>
      </c>
      <c r="J41" s="590"/>
      <c r="K41" s="98" t="s">
        <v>14826</v>
      </c>
      <c r="L41" s="591" t="s">
        <v>14827</v>
      </c>
      <c r="M41" s="49" t="s">
        <v>14828</v>
      </c>
      <c r="N41" s="592">
        <v>964</v>
      </c>
      <c r="O41" s="591" t="s">
        <v>14829</v>
      </c>
      <c r="P41" s="593">
        <v>206767.2</v>
      </c>
      <c r="Q41" s="593">
        <v>200004.88</v>
      </c>
      <c r="R41" s="593">
        <f>P41-Q41</f>
        <v>6762.320000000007</v>
      </c>
      <c r="S41" s="40">
        <v>251608</v>
      </c>
      <c r="T41" s="285" t="s">
        <v>14830</v>
      </c>
      <c r="U41" s="14" t="s">
        <v>14831</v>
      </c>
      <c r="V41" s="285" t="s">
        <v>14832</v>
      </c>
      <c r="W41" s="14"/>
      <c r="X41" s="14"/>
      <c r="Y41" s="14"/>
      <c r="Z41" s="14"/>
      <c r="AA41" s="14"/>
    </row>
    <row r="42" spans="1:27" s="39" customFormat="1" ht="38.25" customHeight="1" x14ac:dyDescent="0.2">
      <c r="A42" s="268"/>
      <c r="B42" s="594"/>
      <c r="C42" s="121"/>
      <c r="D42" s="595"/>
      <c r="E42" s="289" t="s">
        <v>967</v>
      </c>
      <c r="F42" s="13" t="s">
        <v>14833</v>
      </c>
      <c r="G42" s="285" t="s">
        <v>14834</v>
      </c>
      <c r="H42" s="596"/>
      <c r="I42" s="597"/>
      <c r="J42" s="597"/>
      <c r="K42" s="598"/>
      <c r="L42" s="599"/>
      <c r="M42" s="71"/>
      <c r="N42" s="600"/>
      <c r="O42" s="599"/>
      <c r="P42" s="601"/>
      <c r="Q42" s="601"/>
      <c r="R42" s="601"/>
      <c r="S42" s="15"/>
      <c r="T42" s="285"/>
      <c r="U42" s="14"/>
      <c r="V42" s="289"/>
      <c r="W42" s="14"/>
      <c r="X42" s="14"/>
      <c r="Y42" s="14"/>
      <c r="Z42" s="14"/>
      <c r="AA42" s="14"/>
    </row>
    <row r="43" spans="1:27" s="39" customFormat="1" ht="55.15" customHeight="1" x14ac:dyDescent="0.2">
      <c r="A43" s="268"/>
      <c r="B43" s="594"/>
      <c r="C43" s="121"/>
      <c r="D43" s="595"/>
      <c r="E43" s="289" t="s">
        <v>870</v>
      </c>
      <c r="F43" s="13" t="s">
        <v>14835</v>
      </c>
      <c r="G43" s="285" t="s">
        <v>14836</v>
      </c>
      <c r="H43" s="596"/>
      <c r="I43" s="597"/>
      <c r="J43" s="597"/>
      <c r="K43" s="598"/>
      <c r="L43" s="599"/>
      <c r="M43" s="71"/>
      <c r="N43" s="600"/>
      <c r="O43" s="599"/>
      <c r="P43" s="601"/>
      <c r="Q43" s="601"/>
      <c r="R43" s="601"/>
      <c r="S43" s="15"/>
      <c r="T43" s="285"/>
      <c r="U43" s="14"/>
      <c r="V43" s="289"/>
      <c r="W43" s="14"/>
      <c r="X43" s="14"/>
      <c r="Y43" s="14"/>
      <c r="Z43" s="14"/>
      <c r="AA43" s="14"/>
    </row>
    <row r="44" spans="1:27" s="39" customFormat="1" ht="30.75" customHeight="1" x14ac:dyDescent="0.2">
      <c r="A44" s="268"/>
      <c r="B44" s="594"/>
      <c r="C44" s="121"/>
      <c r="D44" s="595"/>
      <c r="E44" s="289" t="s">
        <v>14837</v>
      </c>
      <c r="F44" s="13" t="s">
        <v>14838</v>
      </c>
      <c r="G44" s="285" t="s">
        <v>14839</v>
      </c>
      <c r="H44" s="596"/>
      <c r="I44" s="597"/>
      <c r="J44" s="597"/>
      <c r="K44" s="598"/>
      <c r="L44" s="599"/>
      <c r="M44" s="71"/>
      <c r="N44" s="600"/>
      <c r="O44" s="599"/>
      <c r="P44" s="601"/>
      <c r="Q44" s="601"/>
      <c r="R44" s="601"/>
      <c r="S44" s="15"/>
      <c r="T44" s="285"/>
      <c r="U44" s="14"/>
      <c r="V44" s="289"/>
      <c r="W44" s="14"/>
      <c r="X44" s="14"/>
      <c r="Y44" s="14"/>
      <c r="Z44" s="14"/>
      <c r="AA44" s="14"/>
    </row>
    <row r="45" spans="1:27" s="39" customFormat="1" ht="51.75" customHeight="1" x14ac:dyDescent="0.2">
      <c r="A45" s="268"/>
      <c r="B45" s="594"/>
      <c r="C45" s="121"/>
      <c r="D45" s="595"/>
      <c r="E45" s="12" t="s">
        <v>13478</v>
      </c>
      <c r="F45" s="13" t="s">
        <v>14840</v>
      </c>
      <c r="G45" s="285" t="s">
        <v>14841</v>
      </c>
      <c r="H45" s="596"/>
      <c r="I45" s="597"/>
      <c r="J45" s="597"/>
      <c r="K45" s="598"/>
      <c r="L45" s="599"/>
      <c r="M45" s="71"/>
      <c r="N45" s="600"/>
      <c r="O45" s="599"/>
      <c r="P45" s="601"/>
      <c r="Q45" s="601"/>
      <c r="R45" s="601"/>
      <c r="S45" s="15"/>
      <c r="T45" s="285"/>
      <c r="U45" s="14"/>
      <c r="V45" s="289"/>
      <c r="W45" s="14"/>
      <c r="X45" s="14"/>
      <c r="Y45" s="14"/>
      <c r="Z45" s="14"/>
      <c r="AA45" s="14"/>
    </row>
    <row r="46" spans="1:27" s="39" customFormat="1" ht="51" customHeight="1" x14ac:dyDescent="0.2">
      <c r="A46" s="268"/>
      <c r="B46" s="594"/>
      <c r="C46" s="121"/>
      <c r="D46" s="595"/>
      <c r="E46" s="12" t="s">
        <v>13478</v>
      </c>
      <c r="F46" s="13" t="s">
        <v>14842</v>
      </c>
      <c r="G46" s="285" t="s">
        <v>14843</v>
      </c>
      <c r="H46" s="596"/>
      <c r="I46" s="597"/>
      <c r="J46" s="597"/>
      <c r="K46" s="598"/>
      <c r="L46" s="599"/>
      <c r="M46" s="71"/>
      <c r="N46" s="600"/>
      <c r="O46" s="599"/>
      <c r="P46" s="601"/>
      <c r="Q46" s="601"/>
      <c r="R46" s="601"/>
      <c r="S46" s="15"/>
      <c r="T46" s="285"/>
      <c r="U46" s="14"/>
      <c r="V46" s="289"/>
      <c r="W46" s="14"/>
      <c r="X46" s="14"/>
      <c r="Y46" s="14"/>
      <c r="Z46" s="14"/>
      <c r="AA46" s="14"/>
    </row>
    <row r="47" spans="1:27" s="39" customFormat="1" ht="51.75" customHeight="1" x14ac:dyDescent="0.2">
      <c r="A47" s="268"/>
      <c r="B47" s="594"/>
      <c r="C47" s="121"/>
      <c r="D47" s="595"/>
      <c r="E47" s="12" t="s">
        <v>13495</v>
      </c>
      <c r="F47" s="13" t="s">
        <v>14844</v>
      </c>
      <c r="G47" s="285" t="s">
        <v>14845</v>
      </c>
      <c r="H47" s="596"/>
      <c r="I47" s="597"/>
      <c r="J47" s="597"/>
      <c r="K47" s="598"/>
      <c r="L47" s="599"/>
      <c r="M47" s="71"/>
      <c r="N47" s="600"/>
      <c r="O47" s="599"/>
      <c r="P47" s="601"/>
      <c r="Q47" s="601"/>
      <c r="R47" s="601"/>
      <c r="S47" s="15"/>
      <c r="T47" s="285"/>
      <c r="U47" s="14"/>
      <c r="V47" s="289"/>
      <c r="W47" s="14"/>
      <c r="X47" s="14"/>
      <c r="Y47" s="14"/>
      <c r="Z47" s="14"/>
      <c r="AA47" s="14"/>
    </row>
    <row r="48" spans="1:27" s="39" customFormat="1" ht="55.5" customHeight="1" x14ac:dyDescent="0.2">
      <c r="A48" s="20"/>
      <c r="B48" s="247"/>
      <c r="C48" s="54"/>
      <c r="D48" s="602"/>
      <c r="E48" s="12" t="s">
        <v>2466</v>
      </c>
      <c r="F48" s="13" t="s">
        <v>14846</v>
      </c>
      <c r="G48" s="285" t="s">
        <v>14847</v>
      </c>
      <c r="H48" s="603"/>
      <c r="I48" s="604"/>
      <c r="J48" s="604"/>
      <c r="K48" s="86"/>
      <c r="L48" s="605"/>
      <c r="M48" s="37"/>
      <c r="N48" s="606"/>
      <c r="O48" s="605"/>
      <c r="P48" s="607"/>
      <c r="Q48" s="607"/>
      <c r="R48" s="607"/>
      <c r="S48" s="15"/>
      <c r="T48" s="285"/>
      <c r="U48" s="14"/>
      <c r="V48" s="289"/>
      <c r="W48" s="14"/>
      <c r="X48" s="14"/>
      <c r="Y48" s="14"/>
      <c r="Z48" s="14"/>
      <c r="AA48" s="14"/>
    </row>
    <row r="49" spans="1:27" s="39" customFormat="1" ht="63" customHeight="1" x14ac:dyDescent="0.2">
      <c r="A49" s="30">
        <v>36</v>
      </c>
      <c r="B49" s="245" t="s">
        <v>14848</v>
      </c>
      <c r="C49" s="49" t="s">
        <v>14849</v>
      </c>
      <c r="D49" s="608" t="s">
        <v>14850</v>
      </c>
      <c r="E49" s="12"/>
      <c r="F49" s="13"/>
      <c r="G49" s="426" t="s">
        <v>14174</v>
      </c>
      <c r="H49" s="327" t="s">
        <v>14825</v>
      </c>
      <c r="I49" s="327" t="s">
        <v>7606</v>
      </c>
      <c r="J49" s="590"/>
      <c r="K49" s="328" t="s">
        <v>7610</v>
      </c>
      <c r="L49" s="329" t="s">
        <v>14851</v>
      </c>
      <c r="M49" s="327" t="s">
        <v>14852</v>
      </c>
      <c r="N49" s="609">
        <v>1436.5</v>
      </c>
      <c r="O49" s="51">
        <v>41984</v>
      </c>
      <c r="P49" s="593">
        <f>28+597972.81+3262600</f>
        <v>3860600.81</v>
      </c>
      <c r="Q49" s="593">
        <v>2483864.5699999998</v>
      </c>
      <c r="R49" s="593">
        <f>P49-Q49</f>
        <v>1376736.2400000002</v>
      </c>
      <c r="S49" s="413">
        <v>12072276</v>
      </c>
      <c r="T49" s="327" t="s">
        <v>14853</v>
      </c>
      <c r="U49" s="327" t="s">
        <v>14854</v>
      </c>
      <c r="V49" s="610" t="s">
        <v>14855</v>
      </c>
      <c r="W49" s="14"/>
      <c r="X49" s="14"/>
      <c r="Y49" s="14"/>
      <c r="Z49" s="14"/>
      <c r="AA49" s="14"/>
    </row>
    <row r="50" spans="1:27" s="39" customFormat="1" ht="75" customHeight="1" x14ac:dyDescent="0.2">
      <c r="A50" s="268"/>
      <c r="B50" s="594"/>
      <c r="C50" s="121"/>
      <c r="D50" s="13" t="s">
        <v>14856</v>
      </c>
      <c r="E50" s="22" t="s">
        <v>14857</v>
      </c>
      <c r="F50" s="13" t="s">
        <v>14858</v>
      </c>
      <c r="G50" s="285" t="s">
        <v>14859</v>
      </c>
      <c r="H50" s="611"/>
      <c r="I50" s="611"/>
      <c r="J50" s="597"/>
      <c r="K50" s="612"/>
      <c r="L50" s="613"/>
      <c r="M50" s="611"/>
      <c r="N50" s="614"/>
      <c r="O50" s="264"/>
      <c r="P50" s="615"/>
      <c r="Q50" s="615"/>
      <c r="R50" s="615"/>
      <c r="S50" s="616"/>
      <c r="T50" s="611"/>
      <c r="U50" s="611"/>
      <c r="V50" s="617"/>
      <c r="W50" s="14"/>
      <c r="X50" s="14"/>
      <c r="Y50" s="14"/>
      <c r="Z50" s="14"/>
      <c r="AA50" s="14"/>
    </row>
    <row r="51" spans="1:27" s="39" customFormat="1" ht="63" customHeight="1" x14ac:dyDescent="0.2">
      <c r="A51" s="268"/>
      <c r="B51" s="594"/>
      <c r="C51" s="121"/>
      <c r="D51" s="13" t="s">
        <v>14860</v>
      </c>
      <c r="E51" s="22" t="s">
        <v>14861</v>
      </c>
      <c r="F51" s="13" t="s">
        <v>14862</v>
      </c>
      <c r="G51" s="285" t="s">
        <v>14863</v>
      </c>
      <c r="H51" s="611"/>
      <c r="I51" s="611"/>
      <c r="J51" s="597"/>
      <c r="K51" s="612"/>
      <c r="L51" s="613"/>
      <c r="M51" s="611"/>
      <c r="N51" s="614"/>
      <c r="O51" s="264"/>
      <c r="P51" s="615"/>
      <c r="Q51" s="615"/>
      <c r="R51" s="615"/>
      <c r="S51" s="616"/>
      <c r="T51" s="611"/>
      <c r="U51" s="611"/>
      <c r="V51" s="617"/>
      <c r="W51" s="14"/>
      <c r="X51" s="14"/>
      <c r="Y51" s="14"/>
      <c r="Z51" s="14"/>
      <c r="AA51" s="14"/>
    </row>
    <row r="52" spans="1:27" s="39" customFormat="1" ht="61.5" customHeight="1" x14ac:dyDescent="0.2">
      <c r="A52" s="268"/>
      <c r="B52" s="594"/>
      <c r="C52" s="121"/>
      <c r="D52" s="13" t="s">
        <v>14864</v>
      </c>
      <c r="E52" s="22" t="s">
        <v>14861</v>
      </c>
      <c r="F52" s="13" t="s">
        <v>14865</v>
      </c>
      <c r="G52" s="285" t="s">
        <v>14866</v>
      </c>
      <c r="H52" s="611"/>
      <c r="I52" s="611"/>
      <c r="J52" s="597"/>
      <c r="K52" s="612"/>
      <c r="L52" s="613"/>
      <c r="M52" s="611"/>
      <c r="N52" s="614"/>
      <c r="O52" s="264"/>
      <c r="P52" s="615"/>
      <c r="Q52" s="615"/>
      <c r="R52" s="615"/>
      <c r="S52" s="616"/>
      <c r="T52" s="611"/>
      <c r="U52" s="611"/>
      <c r="V52" s="617"/>
      <c r="W52" s="14"/>
      <c r="X52" s="14"/>
      <c r="Y52" s="14"/>
      <c r="Z52" s="14"/>
      <c r="AA52" s="14"/>
    </row>
    <row r="53" spans="1:27" s="39" customFormat="1" ht="51" customHeight="1" x14ac:dyDescent="0.2">
      <c r="A53" s="268"/>
      <c r="B53" s="594"/>
      <c r="C53" s="121"/>
      <c r="D53" s="13" t="s">
        <v>14867</v>
      </c>
      <c r="E53" s="22" t="s">
        <v>14861</v>
      </c>
      <c r="F53" s="13" t="s">
        <v>14868</v>
      </c>
      <c r="G53" s="285" t="s">
        <v>14869</v>
      </c>
      <c r="H53" s="611"/>
      <c r="I53" s="611"/>
      <c r="J53" s="597"/>
      <c r="K53" s="612"/>
      <c r="L53" s="613"/>
      <c r="M53" s="611"/>
      <c r="N53" s="614"/>
      <c r="O53" s="264"/>
      <c r="P53" s="615"/>
      <c r="Q53" s="615"/>
      <c r="R53" s="615"/>
      <c r="S53" s="616"/>
      <c r="T53" s="611"/>
      <c r="U53" s="611"/>
      <c r="V53" s="617"/>
      <c r="W53" s="14"/>
      <c r="X53" s="14"/>
      <c r="Y53" s="14"/>
      <c r="Z53" s="14"/>
      <c r="AA53" s="14"/>
    </row>
    <row r="54" spans="1:27" s="39" customFormat="1" ht="60.75" customHeight="1" x14ac:dyDescent="0.2">
      <c r="A54" s="268"/>
      <c r="B54" s="594"/>
      <c r="C54" s="121"/>
      <c r="D54" s="13" t="s">
        <v>14870</v>
      </c>
      <c r="E54" s="22" t="s">
        <v>14871</v>
      </c>
      <c r="F54" s="13" t="s">
        <v>14872</v>
      </c>
      <c r="G54" s="285" t="s">
        <v>14873</v>
      </c>
      <c r="H54" s="611"/>
      <c r="I54" s="611"/>
      <c r="J54" s="597"/>
      <c r="K54" s="612"/>
      <c r="L54" s="613"/>
      <c r="M54" s="611"/>
      <c r="N54" s="614"/>
      <c r="O54" s="264"/>
      <c r="P54" s="615"/>
      <c r="Q54" s="615"/>
      <c r="R54" s="615"/>
      <c r="S54" s="616"/>
      <c r="T54" s="611"/>
      <c r="U54" s="611"/>
      <c r="V54" s="617"/>
      <c r="W54" s="14"/>
      <c r="X54" s="14"/>
      <c r="Y54" s="14"/>
      <c r="Z54" s="14"/>
      <c r="AA54" s="14"/>
    </row>
    <row r="55" spans="1:27" s="39" customFormat="1" ht="63.75" customHeight="1" x14ac:dyDescent="0.2">
      <c r="A55" s="268"/>
      <c r="B55" s="594"/>
      <c r="C55" s="121"/>
      <c r="D55" s="13" t="s">
        <v>14874</v>
      </c>
      <c r="E55" s="22" t="s">
        <v>14875</v>
      </c>
      <c r="F55" s="13" t="s">
        <v>14876</v>
      </c>
      <c r="G55" s="285" t="s">
        <v>14877</v>
      </c>
      <c r="H55" s="611"/>
      <c r="I55" s="611"/>
      <c r="J55" s="597"/>
      <c r="K55" s="612"/>
      <c r="L55" s="613"/>
      <c r="M55" s="611"/>
      <c r="N55" s="614"/>
      <c r="O55" s="264"/>
      <c r="P55" s="615"/>
      <c r="Q55" s="615"/>
      <c r="R55" s="615"/>
      <c r="S55" s="616"/>
      <c r="T55" s="611"/>
      <c r="U55" s="611"/>
      <c r="V55" s="617"/>
      <c r="W55" s="14"/>
      <c r="X55" s="14"/>
      <c r="Y55" s="14"/>
      <c r="Z55" s="14"/>
      <c r="AA55" s="14"/>
    </row>
    <row r="56" spans="1:27" s="39" customFormat="1" ht="51" customHeight="1" x14ac:dyDescent="0.2">
      <c r="A56" s="268"/>
      <c r="B56" s="594"/>
      <c r="C56" s="121"/>
      <c r="D56" s="13" t="s">
        <v>14878</v>
      </c>
      <c r="E56" s="22" t="s">
        <v>14879</v>
      </c>
      <c r="F56" s="13" t="s">
        <v>14880</v>
      </c>
      <c r="G56" s="285" t="s">
        <v>14881</v>
      </c>
      <c r="H56" s="611"/>
      <c r="I56" s="611"/>
      <c r="J56" s="597"/>
      <c r="K56" s="612"/>
      <c r="L56" s="613"/>
      <c r="M56" s="611"/>
      <c r="N56" s="614"/>
      <c r="O56" s="264"/>
      <c r="P56" s="615"/>
      <c r="Q56" s="615"/>
      <c r="R56" s="615"/>
      <c r="S56" s="616"/>
      <c r="T56" s="611"/>
      <c r="U56" s="611"/>
      <c r="V56" s="617"/>
      <c r="W56" s="14"/>
      <c r="X56" s="14"/>
      <c r="Y56" s="14"/>
      <c r="Z56" s="14"/>
      <c r="AA56" s="14"/>
    </row>
    <row r="57" spans="1:27" s="39" customFormat="1" ht="40.5" customHeight="1" x14ac:dyDescent="0.2">
      <c r="A57" s="268"/>
      <c r="B57" s="594"/>
      <c r="C57" s="121"/>
      <c r="D57" s="13" t="s">
        <v>14882</v>
      </c>
      <c r="E57" s="22" t="s">
        <v>14883</v>
      </c>
      <c r="F57" s="13" t="s">
        <v>14884</v>
      </c>
      <c r="G57" s="285" t="s">
        <v>14885</v>
      </c>
      <c r="H57" s="611"/>
      <c r="I57" s="611"/>
      <c r="J57" s="597"/>
      <c r="K57" s="612"/>
      <c r="L57" s="613"/>
      <c r="M57" s="611"/>
      <c r="N57" s="614"/>
      <c r="O57" s="264"/>
      <c r="P57" s="615"/>
      <c r="Q57" s="615"/>
      <c r="R57" s="615"/>
      <c r="S57" s="616"/>
      <c r="T57" s="611"/>
      <c r="U57" s="611"/>
      <c r="V57" s="617"/>
      <c r="W57" s="14"/>
      <c r="X57" s="14"/>
      <c r="Y57" s="14"/>
      <c r="Z57" s="14"/>
      <c r="AA57" s="14"/>
    </row>
    <row r="58" spans="1:27" s="39" customFormat="1" ht="51" customHeight="1" x14ac:dyDescent="0.2">
      <c r="A58" s="268"/>
      <c r="B58" s="594"/>
      <c r="C58" s="121"/>
      <c r="D58" s="13" t="s">
        <v>14886</v>
      </c>
      <c r="E58" s="22" t="s">
        <v>14883</v>
      </c>
      <c r="F58" s="13" t="s">
        <v>14887</v>
      </c>
      <c r="G58" s="285" t="s">
        <v>14888</v>
      </c>
      <c r="H58" s="611"/>
      <c r="I58" s="611"/>
      <c r="J58" s="597"/>
      <c r="K58" s="612"/>
      <c r="L58" s="613"/>
      <c r="M58" s="611"/>
      <c r="N58" s="614"/>
      <c r="O58" s="264"/>
      <c r="P58" s="615"/>
      <c r="Q58" s="615"/>
      <c r="R58" s="615"/>
      <c r="S58" s="616"/>
      <c r="T58" s="611"/>
      <c r="U58" s="611"/>
      <c r="V58" s="617"/>
      <c r="W58" s="14"/>
      <c r="X58" s="14"/>
      <c r="Y58" s="14"/>
      <c r="Z58" s="14"/>
      <c r="AA58" s="14"/>
    </row>
    <row r="59" spans="1:27" s="39" customFormat="1" ht="51" customHeight="1" x14ac:dyDescent="0.2">
      <c r="A59" s="268"/>
      <c r="B59" s="594"/>
      <c r="C59" s="121"/>
      <c r="D59" s="13" t="s">
        <v>14889</v>
      </c>
      <c r="E59" s="22" t="s">
        <v>14890</v>
      </c>
      <c r="F59" s="13" t="s">
        <v>14891</v>
      </c>
      <c r="G59" s="285" t="s">
        <v>14892</v>
      </c>
      <c r="H59" s="611"/>
      <c r="I59" s="611"/>
      <c r="J59" s="597"/>
      <c r="K59" s="612"/>
      <c r="L59" s="613"/>
      <c r="M59" s="611"/>
      <c r="N59" s="614"/>
      <c r="O59" s="264"/>
      <c r="P59" s="615"/>
      <c r="Q59" s="615"/>
      <c r="R59" s="615"/>
      <c r="S59" s="616"/>
      <c r="T59" s="611"/>
      <c r="U59" s="611"/>
      <c r="V59" s="617"/>
      <c r="W59" s="14"/>
      <c r="X59" s="14"/>
      <c r="Y59" s="14"/>
      <c r="Z59" s="14"/>
      <c r="AA59" s="14"/>
    </row>
    <row r="60" spans="1:27" s="39" customFormat="1" ht="51" customHeight="1" x14ac:dyDescent="0.2">
      <c r="A60" s="268"/>
      <c r="B60" s="594"/>
      <c r="C60" s="121"/>
      <c r="D60" s="517" t="s">
        <v>14893</v>
      </c>
      <c r="E60" s="22" t="s">
        <v>1823</v>
      </c>
      <c r="F60" s="254" t="s">
        <v>14894</v>
      </c>
      <c r="G60" s="9" t="s">
        <v>14895</v>
      </c>
      <c r="H60" s="611"/>
      <c r="I60" s="611"/>
      <c r="J60" s="597"/>
      <c r="K60" s="612"/>
      <c r="L60" s="613"/>
      <c r="M60" s="611"/>
      <c r="N60" s="614"/>
      <c r="O60" s="264"/>
      <c r="P60" s="615"/>
      <c r="Q60" s="615"/>
      <c r="R60" s="615"/>
      <c r="S60" s="616"/>
      <c r="T60" s="611"/>
      <c r="U60" s="611"/>
      <c r="V60" s="617"/>
      <c r="W60" s="14"/>
      <c r="X60" s="14"/>
      <c r="Y60" s="14"/>
      <c r="Z60" s="14"/>
      <c r="AA60" s="14"/>
    </row>
    <row r="61" spans="1:27" s="39" customFormat="1" ht="51" customHeight="1" x14ac:dyDescent="0.2">
      <c r="A61" s="268"/>
      <c r="B61" s="594"/>
      <c r="C61" s="121"/>
      <c r="D61" s="517" t="s">
        <v>14896</v>
      </c>
      <c r="E61" s="22" t="s">
        <v>3274</v>
      </c>
      <c r="F61" s="254" t="s">
        <v>14897</v>
      </c>
      <c r="G61" s="9" t="s">
        <v>14898</v>
      </c>
      <c r="H61" s="611"/>
      <c r="I61" s="611"/>
      <c r="J61" s="597"/>
      <c r="K61" s="612"/>
      <c r="L61" s="613"/>
      <c r="M61" s="611"/>
      <c r="N61" s="614"/>
      <c r="O61" s="264"/>
      <c r="P61" s="615"/>
      <c r="Q61" s="615"/>
      <c r="R61" s="615"/>
      <c r="S61" s="616"/>
      <c r="T61" s="611"/>
      <c r="U61" s="611"/>
      <c r="V61" s="617"/>
      <c r="W61" s="14"/>
      <c r="X61" s="14"/>
      <c r="Y61" s="14"/>
      <c r="Z61" s="14"/>
      <c r="AA61" s="14"/>
    </row>
    <row r="62" spans="1:27" s="39" customFormat="1" ht="51" customHeight="1" x14ac:dyDescent="0.2">
      <c r="A62" s="268"/>
      <c r="B62" s="594"/>
      <c r="C62" s="121"/>
      <c r="D62" s="517" t="s">
        <v>14899</v>
      </c>
      <c r="E62" s="22" t="s">
        <v>5385</v>
      </c>
      <c r="F62" s="254" t="s">
        <v>14900</v>
      </c>
      <c r="G62" s="9" t="s">
        <v>14901</v>
      </c>
      <c r="H62" s="611"/>
      <c r="I62" s="611"/>
      <c r="J62" s="597"/>
      <c r="K62" s="612"/>
      <c r="L62" s="613"/>
      <c r="M62" s="611"/>
      <c r="N62" s="614"/>
      <c r="O62" s="264"/>
      <c r="P62" s="615"/>
      <c r="Q62" s="615"/>
      <c r="R62" s="615"/>
      <c r="S62" s="616"/>
      <c r="T62" s="611"/>
      <c r="U62" s="611"/>
      <c r="V62" s="617"/>
      <c r="W62" s="14"/>
      <c r="X62" s="14"/>
      <c r="Y62" s="14"/>
      <c r="Z62" s="14"/>
      <c r="AA62" s="14"/>
    </row>
    <row r="63" spans="1:27" s="39" customFormat="1" ht="51" customHeight="1" x14ac:dyDescent="0.2">
      <c r="A63" s="268"/>
      <c r="B63" s="594"/>
      <c r="C63" s="121"/>
      <c r="D63" s="517" t="s">
        <v>14902</v>
      </c>
      <c r="E63" s="22" t="s">
        <v>9655</v>
      </c>
      <c r="F63" s="254" t="s">
        <v>14903</v>
      </c>
      <c r="G63" s="9" t="s">
        <v>14904</v>
      </c>
      <c r="H63" s="611"/>
      <c r="I63" s="611"/>
      <c r="J63" s="597"/>
      <c r="K63" s="612"/>
      <c r="L63" s="613"/>
      <c r="M63" s="611"/>
      <c r="N63" s="614"/>
      <c r="O63" s="264"/>
      <c r="P63" s="615"/>
      <c r="Q63" s="615"/>
      <c r="R63" s="615"/>
      <c r="S63" s="616"/>
      <c r="T63" s="611"/>
      <c r="U63" s="611"/>
      <c r="V63" s="617"/>
      <c r="W63" s="14"/>
      <c r="X63" s="14"/>
      <c r="Y63" s="14"/>
      <c r="Z63" s="14"/>
      <c r="AA63" s="14"/>
    </row>
    <row r="64" spans="1:27" s="39" customFormat="1" ht="51" customHeight="1" x14ac:dyDescent="0.2">
      <c r="A64" s="268"/>
      <c r="B64" s="594"/>
      <c r="C64" s="121"/>
      <c r="D64" s="517" t="s">
        <v>14905</v>
      </c>
      <c r="E64" s="22" t="s">
        <v>9655</v>
      </c>
      <c r="F64" s="254" t="s">
        <v>14906</v>
      </c>
      <c r="G64" s="9" t="s">
        <v>14907</v>
      </c>
      <c r="H64" s="611"/>
      <c r="I64" s="611"/>
      <c r="J64" s="597"/>
      <c r="K64" s="612"/>
      <c r="L64" s="613"/>
      <c r="M64" s="611"/>
      <c r="N64" s="614"/>
      <c r="O64" s="264"/>
      <c r="P64" s="615"/>
      <c r="Q64" s="615"/>
      <c r="R64" s="615"/>
      <c r="S64" s="616"/>
      <c r="T64" s="611"/>
      <c r="U64" s="611"/>
      <c r="V64" s="617"/>
      <c r="W64" s="14"/>
      <c r="X64" s="14"/>
      <c r="Y64" s="14"/>
      <c r="Z64" s="14"/>
      <c r="AA64" s="14"/>
    </row>
    <row r="65" spans="1:29" s="39" customFormat="1" ht="51" customHeight="1" x14ac:dyDescent="0.2">
      <c r="A65" s="268"/>
      <c r="B65" s="594"/>
      <c r="C65" s="121"/>
      <c r="D65" s="517" t="s">
        <v>14908</v>
      </c>
      <c r="E65" s="22" t="s">
        <v>2466</v>
      </c>
      <c r="F65" s="254" t="s">
        <v>14909</v>
      </c>
      <c r="G65" s="9" t="s">
        <v>14910</v>
      </c>
      <c r="H65" s="611"/>
      <c r="I65" s="611"/>
      <c r="J65" s="597"/>
      <c r="K65" s="612"/>
      <c r="L65" s="613"/>
      <c r="M65" s="611"/>
      <c r="N65" s="614"/>
      <c r="O65" s="264"/>
      <c r="P65" s="615"/>
      <c r="Q65" s="615"/>
      <c r="R65" s="615"/>
      <c r="S65" s="616"/>
      <c r="T65" s="611"/>
      <c r="U65" s="611"/>
      <c r="V65" s="617"/>
      <c r="W65" s="14"/>
      <c r="X65" s="14"/>
      <c r="Y65" s="14"/>
      <c r="Z65" s="14"/>
      <c r="AA65" s="14"/>
    </row>
    <row r="66" spans="1:29" s="39" customFormat="1" ht="51" customHeight="1" x14ac:dyDescent="0.2">
      <c r="A66" s="268"/>
      <c r="B66" s="594"/>
      <c r="C66" s="121"/>
      <c r="D66" s="517" t="s">
        <v>14911</v>
      </c>
      <c r="E66" s="22" t="s">
        <v>2223</v>
      </c>
      <c r="F66" s="254" t="s">
        <v>14912</v>
      </c>
      <c r="G66" s="9" t="s">
        <v>14913</v>
      </c>
      <c r="H66" s="611"/>
      <c r="I66" s="611"/>
      <c r="J66" s="597"/>
      <c r="K66" s="612"/>
      <c r="L66" s="613"/>
      <c r="M66" s="611"/>
      <c r="N66" s="614"/>
      <c r="O66" s="264"/>
      <c r="P66" s="615"/>
      <c r="Q66" s="615"/>
      <c r="R66" s="615"/>
      <c r="S66" s="616"/>
      <c r="T66" s="611"/>
      <c r="U66" s="611"/>
      <c r="V66" s="617"/>
      <c r="W66" s="14"/>
      <c r="X66" s="14"/>
      <c r="Y66" s="14"/>
      <c r="Z66" s="14"/>
      <c r="AA66" s="14"/>
    </row>
    <row r="67" spans="1:29" ht="34.5" customHeight="1" x14ac:dyDescent="0.2">
      <c r="A67" s="268"/>
      <c r="B67" s="594"/>
      <c r="C67" s="121"/>
      <c r="D67" s="13" t="s">
        <v>14914</v>
      </c>
      <c r="E67" s="289"/>
      <c r="F67" s="13"/>
      <c r="G67" s="13" t="s">
        <v>14915</v>
      </c>
      <c r="H67" s="611"/>
      <c r="I67" s="611"/>
      <c r="J67" s="597"/>
      <c r="K67" s="612"/>
      <c r="L67" s="613"/>
      <c r="M67" s="611"/>
      <c r="N67" s="614"/>
      <c r="O67" s="618"/>
      <c r="P67" s="601"/>
      <c r="Q67" s="601"/>
      <c r="R67" s="601"/>
      <c r="S67" s="616"/>
      <c r="T67" s="611"/>
      <c r="U67" s="611"/>
      <c r="V67" s="617"/>
      <c r="W67" s="15"/>
      <c r="X67" s="14" t="s">
        <v>14916</v>
      </c>
      <c r="Y67" s="18"/>
      <c r="Z67" s="18"/>
      <c r="AA67" s="18"/>
      <c r="AB67" s="18"/>
      <c r="AC67" s="18"/>
    </row>
    <row r="68" spans="1:29" ht="34.5" customHeight="1" x14ac:dyDescent="0.2">
      <c r="A68" s="268"/>
      <c r="B68" s="594"/>
      <c r="C68" s="121"/>
      <c r="D68" s="13" t="s">
        <v>14917</v>
      </c>
      <c r="E68" s="289"/>
      <c r="F68" s="13"/>
      <c r="G68" s="13" t="s">
        <v>14918</v>
      </c>
      <c r="H68" s="611"/>
      <c r="I68" s="611"/>
      <c r="J68" s="597"/>
      <c r="K68" s="612"/>
      <c r="L68" s="613"/>
      <c r="M68" s="611"/>
      <c r="N68" s="614"/>
      <c r="O68" s="618"/>
      <c r="P68" s="601"/>
      <c r="Q68" s="601"/>
      <c r="R68" s="601"/>
      <c r="S68" s="616"/>
      <c r="T68" s="611"/>
      <c r="U68" s="611"/>
      <c r="V68" s="617"/>
      <c r="W68" s="15"/>
      <c r="X68" s="14"/>
      <c r="Y68" s="18"/>
      <c r="Z68" s="18"/>
      <c r="AA68" s="18"/>
      <c r="AB68" s="18"/>
      <c r="AC68" s="18"/>
    </row>
    <row r="69" spans="1:29" ht="89.25" customHeight="1" x14ac:dyDescent="0.2">
      <c r="A69" s="268"/>
      <c r="B69" s="594"/>
      <c r="C69" s="121"/>
      <c r="D69" s="13" t="s">
        <v>14919</v>
      </c>
      <c r="E69" s="289">
        <v>1987</v>
      </c>
      <c r="F69" s="13" t="s">
        <v>14920</v>
      </c>
      <c r="G69" s="13" t="s">
        <v>14921</v>
      </c>
      <c r="H69" s="611"/>
      <c r="I69" s="611"/>
      <c r="J69" s="597"/>
      <c r="K69" s="612"/>
      <c r="L69" s="613"/>
      <c r="M69" s="611"/>
      <c r="N69" s="614"/>
      <c r="O69" s="618"/>
      <c r="P69" s="601"/>
      <c r="Q69" s="601"/>
      <c r="R69" s="601"/>
      <c r="S69" s="616"/>
      <c r="T69" s="611"/>
      <c r="U69" s="611"/>
      <c r="V69" s="617"/>
      <c r="W69" s="15"/>
      <c r="X69" s="14"/>
      <c r="Y69" s="18"/>
      <c r="Z69" s="18"/>
      <c r="AA69" s="18"/>
      <c r="AB69" s="18"/>
      <c r="AC69" s="18"/>
    </row>
    <row r="70" spans="1:29" ht="89.25" customHeight="1" x14ac:dyDescent="0.2">
      <c r="A70" s="268"/>
      <c r="B70" s="594"/>
      <c r="C70" s="121"/>
      <c r="D70" s="13" t="s">
        <v>14922</v>
      </c>
      <c r="E70" s="289">
        <v>1980</v>
      </c>
      <c r="F70" s="13" t="s">
        <v>14923</v>
      </c>
      <c r="G70" s="13" t="s">
        <v>14924</v>
      </c>
      <c r="H70" s="611"/>
      <c r="I70" s="611"/>
      <c r="J70" s="597"/>
      <c r="K70" s="612"/>
      <c r="L70" s="613"/>
      <c r="M70" s="611"/>
      <c r="N70" s="614"/>
      <c r="O70" s="618"/>
      <c r="P70" s="601"/>
      <c r="Q70" s="601"/>
      <c r="R70" s="601"/>
      <c r="S70" s="616"/>
      <c r="T70" s="611"/>
      <c r="U70" s="611"/>
      <c r="V70" s="617"/>
      <c r="W70" s="15"/>
      <c r="X70" s="14"/>
      <c r="Y70" s="18"/>
      <c r="Z70" s="18"/>
      <c r="AA70" s="18"/>
      <c r="AB70" s="18"/>
      <c r="AC70" s="18"/>
    </row>
    <row r="71" spans="1:29" ht="89.25" customHeight="1" x14ac:dyDescent="0.2">
      <c r="A71" s="268"/>
      <c r="B71" s="594"/>
      <c r="C71" s="121"/>
      <c r="D71" s="13" t="s">
        <v>14925</v>
      </c>
      <c r="E71" s="289">
        <v>1982</v>
      </c>
      <c r="F71" s="13" t="s">
        <v>14926</v>
      </c>
      <c r="G71" s="13" t="s">
        <v>14927</v>
      </c>
      <c r="H71" s="611"/>
      <c r="I71" s="611"/>
      <c r="J71" s="597"/>
      <c r="K71" s="612"/>
      <c r="L71" s="613"/>
      <c r="M71" s="611"/>
      <c r="N71" s="614"/>
      <c r="O71" s="618"/>
      <c r="P71" s="601"/>
      <c r="Q71" s="601"/>
      <c r="R71" s="601"/>
      <c r="S71" s="616"/>
      <c r="T71" s="611"/>
      <c r="U71" s="611"/>
      <c r="V71" s="617"/>
      <c r="W71" s="15"/>
      <c r="X71" s="14"/>
      <c r="Y71" s="18"/>
      <c r="Z71" s="18"/>
      <c r="AA71" s="18"/>
      <c r="AB71" s="18"/>
      <c r="AC71" s="18"/>
    </row>
    <row r="72" spans="1:29" ht="86.25" customHeight="1" x14ac:dyDescent="0.2">
      <c r="A72" s="268"/>
      <c r="B72" s="594"/>
      <c r="C72" s="121"/>
      <c r="D72" s="13" t="s">
        <v>14928</v>
      </c>
      <c r="E72" s="289">
        <v>1966</v>
      </c>
      <c r="F72" s="13" t="s">
        <v>14929</v>
      </c>
      <c r="G72" s="13" t="s">
        <v>14930</v>
      </c>
      <c r="H72" s="611"/>
      <c r="I72" s="611"/>
      <c r="J72" s="597"/>
      <c r="K72" s="612"/>
      <c r="L72" s="613"/>
      <c r="M72" s="611"/>
      <c r="N72" s="614"/>
      <c r="O72" s="618"/>
      <c r="P72" s="601"/>
      <c r="Q72" s="601"/>
      <c r="R72" s="601"/>
      <c r="S72" s="616"/>
      <c r="T72" s="611"/>
      <c r="U72" s="611"/>
      <c r="V72" s="617"/>
      <c r="W72" s="15"/>
      <c r="X72" s="14"/>
      <c r="Y72" s="18"/>
      <c r="Z72" s="18"/>
      <c r="AA72" s="18"/>
      <c r="AB72" s="18"/>
      <c r="AC72" s="18"/>
    </row>
    <row r="73" spans="1:29" ht="87" customHeight="1" x14ac:dyDescent="0.2">
      <c r="A73" s="268"/>
      <c r="B73" s="594"/>
      <c r="C73" s="121"/>
      <c r="D73" s="13" t="s">
        <v>14931</v>
      </c>
      <c r="E73" s="289">
        <v>1980</v>
      </c>
      <c r="F73" s="13" t="s">
        <v>14929</v>
      </c>
      <c r="G73" s="13" t="s">
        <v>14932</v>
      </c>
      <c r="H73" s="611"/>
      <c r="I73" s="611"/>
      <c r="J73" s="597"/>
      <c r="K73" s="612"/>
      <c r="L73" s="613"/>
      <c r="M73" s="611"/>
      <c r="N73" s="614"/>
      <c r="O73" s="618"/>
      <c r="P73" s="601"/>
      <c r="Q73" s="601"/>
      <c r="R73" s="601"/>
      <c r="S73" s="616"/>
      <c r="T73" s="611"/>
      <c r="U73" s="611"/>
      <c r="V73" s="617"/>
      <c r="W73" s="15"/>
      <c r="X73" s="14"/>
      <c r="Y73" s="18"/>
      <c r="Z73" s="18"/>
      <c r="AA73" s="18"/>
      <c r="AB73" s="18"/>
      <c r="AC73" s="18"/>
    </row>
    <row r="74" spans="1:29" ht="77.25" customHeight="1" x14ac:dyDescent="0.2">
      <c r="A74" s="268"/>
      <c r="B74" s="594"/>
      <c r="C74" s="121"/>
      <c r="D74" s="13" t="s">
        <v>14933</v>
      </c>
      <c r="E74" s="289">
        <v>1976</v>
      </c>
      <c r="F74" s="13" t="s">
        <v>14934</v>
      </c>
      <c r="G74" s="13" t="s">
        <v>14935</v>
      </c>
      <c r="H74" s="611"/>
      <c r="I74" s="611"/>
      <c r="J74" s="597"/>
      <c r="K74" s="612"/>
      <c r="L74" s="613"/>
      <c r="M74" s="611"/>
      <c r="N74" s="614"/>
      <c r="O74" s="618"/>
      <c r="P74" s="601"/>
      <c r="Q74" s="601"/>
      <c r="R74" s="601"/>
      <c r="S74" s="616"/>
      <c r="T74" s="611"/>
      <c r="U74" s="611"/>
      <c r="V74" s="617"/>
      <c r="W74" s="15"/>
      <c r="X74" s="14"/>
      <c r="Y74" s="18"/>
      <c r="Z74" s="18"/>
      <c r="AA74" s="18"/>
      <c r="AB74" s="18"/>
      <c r="AC74" s="18"/>
    </row>
    <row r="75" spans="1:29" ht="74.25" customHeight="1" x14ac:dyDescent="0.2">
      <c r="A75" s="268"/>
      <c r="B75" s="594"/>
      <c r="C75" s="121"/>
      <c r="D75" s="13" t="s">
        <v>14936</v>
      </c>
      <c r="E75" s="289">
        <v>1982</v>
      </c>
      <c r="F75" s="13" t="s">
        <v>14937</v>
      </c>
      <c r="G75" s="13" t="s">
        <v>14938</v>
      </c>
      <c r="H75" s="611"/>
      <c r="I75" s="611"/>
      <c r="J75" s="597"/>
      <c r="K75" s="612"/>
      <c r="L75" s="613"/>
      <c r="M75" s="611"/>
      <c r="N75" s="614"/>
      <c r="O75" s="618"/>
      <c r="P75" s="601"/>
      <c r="Q75" s="601"/>
      <c r="R75" s="601"/>
      <c r="S75" s="616"/>
      <c r="T75" s="611"/>
      <c r="U75" s="611"/>
      <c r="V75" s="617"/>
      <c r="W75" s="15"/>
      <c r="X75" s="14"/>
      <c r="Y75" s="18"/>
      <c r="Z75" s="18"/>
      <c r="AA75" s="18"/>
      <c r="AB75" s="18"/>
      <c r="AC75" s="18"/>
    </row>
    <row r="76" spans="1:29" ht="115.5" customHeight="1" x14ac:dyDescent="0.2">
      <c r="A76" s="268"/>
      <c r="B76" s="594"/>
      <c r="C76" s="121"/>
      <c r="D76" s="13" t="s">
        <v>14939</v>
      </c>
      <c r="E76" s="289">
        <v>1986</v>
      </c>
      <c r="F76" s="13" t="s">
        <v>14940</v>
      </c>
      <c r="G76" s="13" t="s">
        <v>14941</v>
      </c>
      <c r="H76" s="611"/>
      <c r="I76" s="611"/>
      <c r="J76" s="604"/>
      <c r="K76" s="333"/>
      <c r="L76" s="334"/>
      <c r="M76" s="332"/>
      <c r="N76" s="619"/>
      <c r="O76" s="618"/>
      <c r="P76" s="601"/>
      <c r="Q76" s="601"/>
      <c r="R76" s="601"/>
      <c r="S76" s="616"/>
      <c r="T76" s="611"/>
      <c r="U76" s="611"/>
      <c r="V76" s="617"/>
      <c r="W76" s="15"/>
      <c r="X76" s="14"/>
      <c r="Y76" s="18"/>
      <c r="Z76" s="18"/>
      <c r="AA76" s="18"/>
      <c r="AB76" s="18"/>
      <c r="AC76" s="18"/>
    </row>
    <row r="77" spans="1:29" s="234" customFormat="1" ht="58.5" customHeight="1" x14ac:dyDescent="0.2">
      <c r="A77" s="620"/>
      <c r="B77" s="621"/>
      <c r="C77" s="622"/>
      <c r="D77" s="623" t="s">
        <v>14942</v>
      </c>
      <c r="E77" s="588"/>
      <c r="F77" s="624" t="s">
        <v>14943</v>
      </c>
      <c r="G77" s="588"/>
      <c r="H77" s="611"/>
      <c r="I77" s="611"/>
      <c r="J77" s="625"/>
      <c r="K77" s="626"/>
      <c r="L77" s="627"/>
      <c r="M77" s="628"/>
      <c r="N77" s="629" t="s">
        <v>14944</v>
      </c>
      <c r="O77" s="630"/>
      <c r="P77" s="601"/>
      <c r="Q77" s="601"/>
      <c r="R77" s="601"/>
      <c r="S77" s="616"/>
      <c r="T77" s="611"/>
      <c r="U77" s="611"/>
      <c r="V77" s="617"/>
      <c r="W77" s="427"/>
      <c r="X77" s="427"/>
      <c r="Y77" s="427"/>
      <c r="Z77" s="427"/>
      <c r="AA77" s="427"/>
    </row>
    <row r="78" spans="1:29" s="39" customFormat="1" ht="60" customHeight="1" x14ac:dyDescent="0.2">
      <c r="A78" s="268"/>
      <c r="B78" s="594"/>
      <c r="C78" s="121"/>
      <c r="D78" s="255" t="s">
        <v>14698</v>
      </c>
      <c r="E78" s="361"/>
      <c r="F78" s="255"/>
      <c r="G78" s="361" t="s">
        <v>14945</v>
      </c>
      <c r="H78" s="611"/>
      <c r="I78" s="611"/>
      <c r="J78" s="361"/>
      <c r="K78" s="22" t="s">
        <v>3136</v>
      </c>
      <c r="L78" s="140">
        <v>42061</v>
      </c>
      <c r="M78" s="361">
        <v>227</v>
      </c>
      <c r="N78" s="631">
        <v>1020.2</v>
      </c>
      <c r="O78" s="618"/>
      <c r="P78" s="601"/>
      <c r="Q78" s="601"/>
      <c r="R78" s="601"/>
      <c r="S78" s="616"/>
      <c r="T78" s="611"/>
      <c r="U78" s="611"/>
      <c r="V78" s="617"/>
      <c r="W78" s="14"/>
      <c r="X78" s="14"/>
      <c r="Y78" s="14"/>
      <c r="Z78" s="14"/>
      <c r="AA78" s="14"/>
    </row>
    <row r="79" spans="1:29" s="39" customFormat="1" ht="111.6" customHeight="1" x14ac:dyDescent="0.2">
      <c r="A79" s="268"/>
      <c r="B79" s="594"/>
      <c r="C79" s="121"/>
      <c r="D79" s="255" t="s">
        <v>14946</v>
      </c>
      <c r="E79" s="361">
        <v>1973</v>
      </c>
      <c r="F79" s="586" t="s">
        <v>14947</v>
      </c>
      <c r="G79" s="361" t="s">
        <v>14948</v>
      </c>
      <c r="H79" s="611"/>
      <c r="I79" s="611"/>
      <c r="J79" s="587"/>
      <c r="K79" s="98" t="s">
        <v>7610</v>
      </c>
      <c r="L79" s="632" t="s">
        <v>14949</v>
      </c>
      <c r="M79" s="589" t="s">
        <v>14950</v>
      </c>
      <c r="N79" s="631">
        <v>2088.8000000000002</v>
      </c>
      <c r="O79" s="618"/>
      <c r="P79" s="601"/>
      <c r="Q79" s="601"/>
      <c r="R79" s="601"/>
      <c r="S79" s="616"/>
      <c r="T79" s="611"/>
      <c r="U79" s="611"/>
      <c r="V79" s="617"/>
      <c r="W79" s="14"/>
      <c r="X79" s="14"/>
      <c r="Y79" s="14"/>
      <c r="Z79" s="14"/>
      <c r="AA79" s="14"/>
    </row>
    <row r="80" spans="1:29" s="39" customFormat="1" ht="46.5" customHeight="1" x14ac:dyDescent="0.2">
      <c r="A80" s="268"/>
      <c r="B80" s="594"/>
      <c r="C80" s="121"/>
      <c r="D80" s="255" t="s">
        <v>14698</v>
      </c>
      <c r="E80" s="361">
        <v>1980</v>
      </c>
      <c r="F80" s="586" t="s">
        <v>14951</v>
      </c>
      <c r="G80" s="361" t="s">
        <v>14952</v>
      </c>
      <c r="H80" s="596"/>
      <c r="I80" s="611"/>
      <c r="J80" s="595"/>
      <c r="K80" s="598"/>
      <c r="L80" s="633"/>
      <c r="M80" s="596"/>
      <c r="N80" s="631">
        <v>1510</v>
      </c>
      <c r="O80" s="618"/>
      <c r="P80" s="601"/>
      <c r="Q80" s="601"/>
      <c r="R80" s="601"/>
      <c r="S80" s="616"/>
      <c r="T80" s="611"/>
      <c r="U80" s="611"/>
      <c r="V80" s="617"/>
      <c r="W80" s="14"/>
      <c r="X80" s="14"/>
      <c r="Y80" s="14"/>
      <c r="Z80" s="14"/>
      <c r="AA80" s="14"/>
    </row>
    <row r="81" spans="1:27" s="39" customFormat="1" ht="60" customHeight="1" x14ac:dyDescent="0.2">
      <c r="A81" s="268"/>
      <c r="B81" s="594"/>
      <c r="C81" s="121"/>
      <c r="D81" s="255" t="s">
        <v>14698</v>
      </c>
      <c r="E81" s="361">
        <v>1976</v>
      </c>
      <c r="F81" s="586" t="s">
        <v>14953</v>
      </c>
      <c r="G81" s="361" t="s">
        <v>14954</v>
      </c>
      <c r="H81" s="596"/>
      <c r="I81" s="611"/>
      <c r="J81" s="595"/>
      <c r="K81" s="598"/>
      <c r="L81" s="633"/>
      <c r="M81" s="596"/>
      <c r="N81" s="631">
        <v>1810</v>
      </c>
      <c r="O81" s="618"/>
      <c r="P81" s="601"/>
      <c r="Q81" s="601"/>
      <c r="R81" s="601"/>
      <c r="S81" s="616"/>
      <c r="T81" s="611"/>
      <c r="U81" s="611"/>
      <c r="V81" s="617"/>
      <c r="W81" s="14"/>
      <c r="X81" s="14"/>
      <c r="Y81" s="14"/>
      <c r="Z81" s="14"/>
      <c r="AA81" s="14"/>
    </row>
    <row r="82" spans="1:27" s="39" customFormat="1" ht="49.5" customHeight="1" x14ac:dyDescent="0.2">
      <c r="A82" s="268"/>
      <c r="B82" s="594"/>
      <c r="C82" s="121"/>
      <c r="D82" s="255" t="s">
        <v>14698</v>
      </c>
      <c r="E82" s="361">
        <v>1961</v>
      </c>
      <c r="F82" s="586" t="s">
        <v>14955</v>
      </c>
      <c r="G82" s="361" t="s">
        <v>14956</v>
      </c>
      <c r="H82" s="596"/>
      <c r="I82" s="611"/>
      <c r="J82" s="595"/>
      <c r="K82" s="598"/>
      <c r="L82" s="633"/>
      <c r="M82" s="596"/>
      <c r="N82" s="631">
        <v>481</v>
      </c>
      <c r="O82" s="618"/>
      <c r="P82" s="601"/>
      <c r="Q82" s="601"/>
      <c r="R82" s="601"/>
      <c r="S82" s="616"/>
      <c r="T82" s="611"/>
      <c r="U82" s="611"/>
      <c r="V82" s="617"/>
      <c r="W82" s="14"/>
      <c r="X82" s="14"/>
      <c r="Y82" s="14"/>
      <c r="Z82" s="14"/>
      <c r="AA82" s="14"/>
    </row>
    <row r="83" spans="1:27" s="39" customFormat="1" ht="44.25" customHeight="1" x14ac:dyDescent="0.2">
      <c r="A83" s="268"/>
      <c r="B83" s="594"/>
      <c r="C83" s="121"/>
      <c r="D83" s="255" t="s">
        <v>14957</v>
      </c>
      <c r="E83" s="361">
        <v>1991</v>
      </c>
      <c r="F83" s="586" t="s">
        <v>14955</v>
      </c>
      <c r="G83" s="361" t="s">
        <v>14958</v>
      </c>
      <c r="H83" s="596"/>
      <c r="I83" s="611"/>
      <c r="J83" s="595"/>
      <c r="K83" s="598"/>
      <c r="L83" s="633"/>
      <c r="M83" s="596"/>
      <c r="N83" s="631">
        <v>520</v>
      </c>
      <c r="O83" s="618"/>
      <c r="P83" s="601"/>
      <c r="Q83" s="601"/>
      <c r="R83" s="601"/>
      <c r="S83" s="616"/>
      <c r="T83" s="611"/>
      <c r="U83" s="611"/>
      <c r="V83" s="617"/>
      <c r="W83" s="14"/>
      <c r="X83" s="14"/>
      <c r="Y83" s="14"/>
      <c r="Z83" s="14"/>
      <c r="AA83" s="14"/>
    </row>
    <row r="84" spans="1:27" s="39" customFormat="1" ht="49.5" customHeight="1" x14ac:dyDescent="0.2">
      <c r="A84" s="268"/>
      <c r="B84" s="594"/>
      <c r="C84" s="121"/>
      <c r="D84" s="255" t="s">
        <v>14957</v>
      </c>
      <c r="E84" s="361">
        <v>1982</v>
      </c>
      <c r="F84" s="586" t="s">
        <v>14959</v>
      </c>
      <c r="G84" s="361" t="s">
        <v>14960</v>
      </c>
      <c r="H84" s="596"/>
      <c r="I84" s="611"/>
      <c r="J84" s="595"/>
      <c r="K84" s="598"/>
      <c r="L84" s="633"/>
      <c r="M84" s="596"/>
      <c r="N84" s="631">
        <v>572</v>
      </c>
      <c r="O84" s="618"/>
      <c r="P84" s="601"/>
      <c r="Q84" s="601"/>
      <c r="R84" s="601"/>
      <c r="S84" s="616"/>
      <c r="T84" s="611"/>
      <c r="U84" s="611"/>
      <c r="V84" s="617"/>
      <c r="W84" s="14"/>
      <c r="X84" s="14"/>
      <c r="Y84" s="14"/>
      <c r="Z84" s="14"/>
      <c r="AA84" s="14"/>
    </row>
    <row r="85" spans="1:27" s="39" customFormat="1" ht="45" customHeight="1" x14ac:dyDescent="0.2">
      <c r="A85" s="268"/>
      <c r="B85" s="594"/>
      <c r="C85" s="121"/>
      <c r="D85" s="255" t="s">
        <v>14957</v>
      </c>
      <c r="E85" s="361">
        <v>1991</v>
      </c>
      <c r="F85" s="586" t="s">
        <v>14961</v>
      </c>
      <c r="G85" s="361" t="s">
        <v>14962</v>
      </c>
      <c r="H85" s="596"/>
      <c r="I85" s="611"/>
      <c r="J85" s="595"/>
      <c r="K85" s="598"/>
      <c r="L85" s="633"/>
      <c r="M85" s="596"/>
      <c r="N85" s="631">
        <v>1800</v>
      </c>
      <c r="O85" s="618"/>
      <c r="P85" s="601"/>
      <c r="Q85" s="601"/>
      <c r="R85" s="601"/>
      <c r="S85" s="616"/>
      <c r="T85" s="611"/>
      <c r="U85" s="611"/>
      <c r="V85" s="617"/>
      <c r="W85" s="14"/>
      <c r="X85" s="14"/>
      <c r="Y85" s="14"/>
      <c r="Z85" s="14"/>
      <c r="AA85" s="14"/>
    </row>
    <row r="86" spans="1:27" s="39" customFormat="1" ht="43.5" customHeight="1" x14ac:dyDescent="0.2">
      <c r="A86" s="268"/>
      <c r="B86" s="594"/>
      <c r="C86" s="121"/>
      <c r="D86" s="255" t="s">
        <v>14957</v>
      </c>
      <c r="E86" s="361">
        <v>1984</v>
      </c>
      <c r="F86" s="586" t="s">
        <v>14963</v>
      </c>
      <c r="G86" s="361" t="s">
        <v>14964</v>
      </c>
      <c r="H86" s="596"/>
      <c r="I86" s="611"/>
      <c r="J86" s="595"/>
      <c r="K86" s="598"/>
      <c r="L86" s="633"/>
      <c r="M86" s="596"/>
      <c r="N86" s="631">
        <v>514</v>
      </c>
      <c r="O86" s="618"/>
      <c r="P86" s="601"/>
      <c r="Q86" s="601"/>
      <c r="R86" s="601"/>
      <c r="S86" s="616"/>
      <c r="T86" s="611"/>
      <c r="U86" s="611"/>
      <c r="V86" s="617"/>
      <c r="W86" s="14"/>
      <c r="X86" s="14"/>
      <c r="Y86" s="14"/>
      <c r="Z86" s="14"/>
      <c r="AA86" s="14"/>
    </row>
    <row r="87" spans="1:27" s="39" customFormat="1" ht="44.25" customHeight="1" x14ac:dyDescent="0.2">
      <c r="A87" s="268"/>
      <c r="B87" s="594"/>
      <c r="C87" s="121"/>
      <c r="D87" s="255" t="s">
        <v>14957</v>
      </c>
      <c r="E87" s="361">
        <v>1984</v>
      </c>
      <c r="F87" s="586" t="s">
        <v>14965</v>
      </c>
      <c r="G87" s="361" t="s">
        <v>14966</v>
      </c>
      <c r="H87" s="596"/>
      <c r="I87" s="611"/>
      <c r="J87" s="595"/>
      <c r="K87" s="598"/>
      <c r="L87" s="633"/>
      <c r="M87" s="596"/>
      <c r="N87" s="631">
        <v>510</v>
      </c>
      <c r="O87" s="618"/>
      <c r="P87" s="601"/>
      <c r="Q87" s="601"/>
      <c r="R87" s="601"/>
      <c r="S87" s="616"/>
      <c r="T87" s="611"/>
      <c r="U87" s="611"/>
      <c r="V87" s="617"/>
      <c r="W87" s="14"/>
      <c r="X87" s="14"/>
      <c r="Y87" s="14"/>
      <c r="Z87" s="14"/>
      <c r="AA87" s="14"/>
    </row>
    <row r="88" spans="1:27" s="39" customFormat="1" ht="45" customHeight="1" x14ac:dyDescent="0.2">
      <c r="A88" s="268"/>
      <c r="B88" s="594"/>
      <c r="C88" s="121"/>
      <c r="D88" s="255" t="s">
        <v>14967</v>
      </c>
      <c r="E88" s="361">
        <v>1978</v>
      </c>
      <c r="F88" s="586" t="s">
        <v>14968</v>
      </c>
      <c r="G88" s="361" t="s">
        <v>14969</v>
      </c>
      <c r="H88" s="596"/>
      <c r="I88" s="611"/>
      <c r="J88" s="595"/>
      <c r="K88" s="598"/>
      <c r="L88" s="633"/>
      <c r="M88" s="596"/>
      <c r="N88" s="631">
        <v>645</v>
      </c>
      <c r="O88" s="618"/>
      <c r="P88" s="601"/>
      <c r="Q88" s="601"/>
      <c r="R88" s="601"/>
      <c r="S88" s="616"/>
      <c r="T88" s="611"/>
      <c r="U88" s="611"/>
      <c r="V88" s="617"/>
      <c r="W88" s="14"/>
      <c r="X88" s="14"/>
      <c r="Y88" s="14"/>
      <c r="Z88" s="14"/>
      <c r="AA88" s="14"/>
    </row>
    <row r="89" spans="1:27" s="39" customFormat="1" ht="49.5" customHeight="1" x14ac:dyDescent="0.2">
      <c r="A89" s="268"/>
      <c r="B89" s="594"/>
      <c r="C89" s="121"/>
      <c r="D89" s="255" t="s">
        <v>14970</v>
      </c>
      <c r="E89" s="361">
        <v>1982</v>
      </c>
      <c r="F89" s="586" t="s">
        <v>14971</v>
      </c>
      <c r="G89" s="361" t="s">
        <v>14972</v>
      </c>
      <c r="H89" s="596"/>
      <c r="I89" s="611"/>
      <c r="J89" s="595"/>
      <c r="K89" s="598"/>
      <c r="L89" s="633"/>
      <c r="M89" s="596"/>
      <c r="N89" s="631">
        <v>560</v>
      </c>
      <c r="O89" s="618"/>
      <c r="P89" s="601"/>
      <c r="Q89" s="601"/>
      <c r="R89" s="601"/>
      <c r="S89" s="616"/>
      <c r="T89" s="611"/>
      <c r="U89" s="611"/>
      <c r="V89" s="617"/>
      <c r="W89" s="14"/>
      <c r="X89" s="14"/>
      <c r="Y89" s="14"/>
      <c r="Z89" s="14"/>
      <c r="AA89" s="14"/>
    </row>
    <row r="90" spans="1:27" s="39" customFormat="1" ht="44.25" customHeight="1" x14ac:dyDescent="0.2">
      <c r="A90" s="268"/>
      <c r="B90" s="594"/>
      <c r="C90" s="121"/>
      <c r="D90" s="255" t="s">
        <v>14957</v>
      </c>
      <c r="E90" s="361">
        <v>1976</v>
      </c>
      <c r="F90" s="586" t="s">
        <v>14973</v>
      </c>
      <c r="G90" s="361" t="s">
        <v>14974</v>
      </c>
      <c r="H90" s="596"/>
      <c r="I90" s="611"/>
      <c r="J90" s="595"/>
      <c r="K90" s="598"/>
      <c r="L90" s="633"/>
      <c r="M90" s="596"/>
      <c r="N90" s="631">
        <v>200</v>
      </c>
      <c r="O90" s="618"/>
      <c r="P90" s="601"/>
      <c r="Q90" s="601"/>
      <c r="R90" s="601"/>
      <c r="S90" s="616"/>
      <c r="T90" s="611"/>
      <c r="U90" s="611"/>
      <c r="V90" s="617"/>
      <c r="W90" s="14"/>
      <c r="X90" s="14"/>
      <c r="Y90" s="14"/>
      <c r="Z90" s="14"/>
      <c r="AA90" s="14"/>
    </row>
    <row r="91" spans="1:27" s="39" customFormat="1" ht="38.25" customHeight="1" x14ac:dyDescent="0.2">
      <c r="A91" s="268"/>
      <c r="B91" s="594"/>
      <c r="C91" s="121"/>
      <c r="D91" s="255" t="s">
        <v>14957</v>
      </c>
      <c r="E91" s="361">
        <v>1981</v>
      </c>
      <c r="F91" s="586" t="s">
        <v>14975</v>
      </c>
      <c r="G91" s="361" t="s">
        <v>14976</v>
      </c>
      <c r="H91" s="596"/>
      <c r="I91" s="611"/>
      <c r="J91" s="595"/>
      <c r="K91" s="598"/>
      <c r="L91" s="633"/>
      <c r="M91" s="596"/>
      <c r="N91" s="631">
        <v>600</v>
      </c>
      <c r="O91" s="618"/>
      <c r="P91" s="601"/>
      <c r="Q91" s="601"/>
      <c r="R91" s="601"/>
      <c r="S91" s="616"/>
      <c r="T91" s="611"/>
      <c r="U91" s="611"/>
      <c r="V91" s="617"/>
      <c r="W91" s="14"/>
      <c r="X91" s="14"/>
      <c r="Y91" s="14"/>
      <c r="Z91" s="14"/>
      <c r="AA91" s="14"/>
    </row>
    <row r="92" spans="1:27" s="39" customFormat="1" ht="98.25" customHeight="1" x14ac:dyDescent="0.2">
      <c r="A92" s="268"/>
      <c r="B92" s="594"/>
      <c r="C92" s="121"/>
      <c r="D92" s="255" t="s">
        <v>14957</v>
      </c>
      <c r="E92" s="361">
        <v>1976</v>
      </c>
      <c r="F92" s="586" t="s">
        <v>14977</v>
      </c>
      <c r="G92" s="361" t="s">
        <v>14978</v>
      </c>
      <c r="H92" s="596"/>
      <c r="I92" s="611"/>
      <c r="J92" s="595"/>
      <c r="K92" s="598"/>
      <c r="L92" s="633"/>
      <c r="M92" s="596"/>
      <c r="N92" s="631">
        <v>1960</v>
      </c>
      <c r="O92" s="618"/>
      <c r="P92" s="601"/>
      <c r="Q92" s="601"/>
      <c r="R92" s="601"/>
      <c r="S92" s="616"/>
      <c r="T92" s="611"/>
      <c r="U92" s="611"/>
      <c r="V92" s="617"/>
      <c r="W92" s="14"/>
      <c r="X92" s="14"/>
      <c r="Y92" s="14"/>
      <c r="Z92" s="14"/>
      <c r="AA92" s="14"/>
    </row>
    <row r="93" spans="1:27" s="39" customFormat="1" ht="45" customHeight="1" x14ac:dyDescent="0.2">
      <c r="A93" s="268"/>
      <c r="B93" s="594"/>
      <c r="C93" s="121"/>
      <c r="D93" s="255" t="s">
        <v>14979</v>
      </c>
      <c r="E93" s="361">
        <v>1965</v>
      </c>
      <c r="F93" s="586" t="s">
        <v>14980</v>
      </c>
      <c r="G93" s="361" t="s">
        <v>14981</v>
      </c>
      <c r="H93" s="596"/>
      <c r="I93" s="611"/>
      <c r="J93" s="595"/>
      <c r="K93" s="598"/>
      <c r="L93" s="633"/>
      <c r="M93" s="596"/>
      <c r="N93" s="631">
        <v>1020</v>
      </c>
      <c r="O93" s="618"/>
      <c r="P93" s="601"/>
      <c r="Q93" s="601"/>
      <c r="R93" s="601"/>
      <c r="S93" s="616"/>
      <c r="T93" s="611"/>
      <c r="U93" s="611"/>
      <c r="V93" s="617"/>
      <c r="W93" s="14"/>
      <c r="X93" s="14"/>
      <c r="Y93" s="14"/>
      <c r="Z93" s="14"/>
      <c r="AA93" s="14"/>
    </row>
    <row r="94" spans="1:27" s="39" customFormat="1" ht="72" x14ac:dyDescent="0.2">
      <c r="A94" s="268"/>
      <c r="B94" s="594"/>
      <c r="C94" s="121"/>
      <c r="D94" s="255" t="s">
        <v>14957</v>
      </c>
      <c r="E94" s="361">
        <v>1969</v>
      </c>
      <c r="F94" s="586" t="s">
        <v>14982</v>
      </c>
      <c r="G94" s="361" t="s">
        <v>14983</v>
      </c>
      <c r="H94" s="596"/>
      <c r="I94" s="611"/>
      <c r="J94" s="595"/>
      <c r="K94" s="598"/>
      <c r="L94" s="633"/>
      <c r="M94" s="596"/>
      <c r="N94" s="631">
        <v>2102</v>
      </c>
      <c r="O94" s="618"/>
      <c r="P94" s="601"/>
      <c r="Q94" s="601"/>
      <c r="R94" s="601"/>
      <c r="S94" s="616"/>
      <c r="T94" s="611"/>
      <c r="U94" s="611"/>
      <c r="V94" s="617"/>
      <c r="W94" s="14"/>
      <c r="X94" s="14"/>
      <c r="Y94" s="14"/>
      <c r="Z94" s="14"/>
      <c r="AA94" s="14"/>
    </row>
    <row r="95" spans="1:27" s="39" customFormat="1" ht="45" customHeight="1" x14ac:dyDescent="0.2">
      <c r="A95" s="20"/>
      <c r="B95" s="247"/>
      <c r="C95" s="54"/>
      <c r="D95" s="255" t="s">
        <v>14984</v>
      </c>
      <c r="E95" s="361"/>
      <c r="F95" s="586" t="s">
        <v>14985</v>
      </c>
      <c r="G95" s="361" t="s">
        <v>14986</v>
      </c>
      <c r="H95" s="603"/>
      <c r="I95" s="332"/>
      <c r="J95" s="602"/>
      <c r="K95" s="86"/>
      <c r="L95" s="634"/>
      <c r="M95" s="603"/>
      <c r="N95" s="562">
        <v>1000</v>
      </c>
      <c r="O95" s="635"/>
      <c r="P95" s="607"/>
      <c r="Q95" s="607"/>
      <c r="R95" s="607"/>
      <c r="S95" s="414"/>
      <c r="T95" s="332"/>
      <c r="U95" s="332"/>
      <c r="V95" s="636"/>
      <c r="W95" s="14"/>
      <c r="X95" s="14"/>
      <c r="Y95" s="14"/>
      <c r="Z95" s="14"/>
      <c r="AA95" s="14"/>
    </row>
    <row r="96" spans="1:27" s="39" customFormat="1" ht="69.75" customHeight="1" x14ac:dyDescent="0.2">
      <c r="A96" s="30">
        <v>37</v>
      </c>
      <c r="B96" s="245" t="s">
        <v>14987</v>
      </c>
      <c r="C96" s="46" t="s">
        <v>14988</v>
      </c>
      <c r="D96" s="623" t="s">
        <v>14989</v>
      </c>
      <c r="E96" s="361"/>
      <c r="F96" s="586"/>
      <c r="G96" s="361"/>
      <c r="H96" s="49" t="s">
        <v>14825</v>
      </c>
      <c r="I96" s="327" t="s">
        <v>7606</v>
      </c>
      <c r="J96" s="587"/>
      <c r="K96" s="98" t="s">
        <v>7610</v>
      </c>
      <c r="L96" s="53" t="s">
        <v>14990</v>
      </c>
      <c r="M96" s="49" t="s">
        <v>14991</v>
      </c>
      <c r="N96" s="637">
        <v>243.6</v>
      </c>
      <c r="O96" s="638" t="s">
        <v>14992</v>
      </c>
      <c r="P96" s="639">
        <v>15</v>
      </c>
      <c r="Q96" s="639">
        <v>15</v>
      </c>
      <c r="R96" s="639">
        <v>0</v>
      </c>
      <c r="S96" s="100">
        <v>9822604</v>
      </c>
      <c r="T96" s="327" t="s">
        <v>14853</v>
      </c>
      <c r="U96" s="46" t="s">
        <v>14993</v>
      </c>
      <c r="V96" s="46" t="s">
        <v>14994</v>
      </c>
      <c r="W96" s="14"/>
      <c r="X96" s="14"/>
      <c r="Y96" s="14"/>
      <c r="Z96" s="14"/>
      <c r="AA96" s="14"/>
    </row>
    <row r="97" spans="1:29" ht="42" customHeight="1" x14ac:dyDescent="0.2">
      <c r="A97" s="268"/>
      <c r="B97" s="594"/>
      <c r="C97" s="121"/>
      <c r="D97" s="9" t="s">
        <v>14995</v>
      </c>
      <c r="E97" s="12"/>
      <c r="F97" s="13" t="s">
        <v>14996</v>
      </c>
      <c r="G97" s="285" t="s">
        <v>14997</v>
      </c>
      <c r="H97" s="71"/>
      <c r="I97" s="611"/>
      <c r="J97" s="595"/>
      <c r="K97" s="598"/>
      <c r="L97" s="599"/>
      <c r="M97" s="71"/>
      <c r="N97" s="640"/>
      <c r="O97" s="638"/>
      <c r="P97" s="641"/>
      <c r="Q97" s="641"/>
      <c r="R97" s="641"/>
      <c r="S97" s="618"/>
      <c r="T97" s="611"/>
      <c r="U97" s="121"/>
      <c r="V97" s="121"/>
      <c r="W97" s="289"/>
      <c r="X97" s="289"/>
      <c r="Y97" s="289"/>
      <c r="Z97" s="289"/>
      <c r="AA97" s="28"/>
      <c r="AB97" s="18"/>
      <c r="AC97" s="18"/>
    </row>
    <row r="98" spans="1:29" ht="45.75" customHeight="1" x14ac:dyDescent="0.2">
      <c r="A98" s="268"/>
      <c r="B98" s="594"/>
      <c r="C98" s="121"/>
      <c r="D98" s="13" t="s">
        <v>14998</v>
      </c>
      <c r="E98" s="289"/>
      <c r="F98" s="13"/>
      <c r="G98" s="13" t="s">
        <v>14999</v>
      </c>
      <c r="H98" s="71"/>
      <c r="I98" s="611"/>
      <c r="J98" s="595"/>
      <c r="K98" s="598"/>
      <c r="L98" s="599"/>
      <c r="M98" s="71"/>
      <c r="N98" s="640"/>
      <c r="O98" s="638"/>
      <c r="P98" s="641"/>
      <c r="Q98" s="641"/>
      <c r="R98" s="641"/>
      <c r="S98" s="618"/>
      <c r="T98" s="611"/>
      <c r="U98" s="121"/>
      <c r="V98" s="121"/>
      <c r="W98" s="15"/>
      <c r="X98" s="14"/>
      <c r="Y98" s="18"/>
      <c r="Z98" s="18"/>
      <c r="AA98" s="18"/>
      <c r="AB98" s="18"/>
      <c r="AC98" s="18"/>
    </row>
    <row r="99" spans="1:29" ht="38.25" customHeight="1" x14ac:dyDescent="0.2">
      <c r="A99" s="268"/>
      <c r="B99" s="594"/>
      <c r="C99" s="121"/>
      <c r="D99" s="13" t="s">
        <v>15000</v>
      </c>
      <c r="E99" s="289"/>
      <c r="F99" s="13" t="s">
        <v>15001</v>
      </c>
      <c r="G99" s="13" t="s">
        <v>14999</v>
      </c>
      <c r="H99" s="71"/>
      <c r="I99" s="611"/>
      <c r="J99" s="595"/>
      <c r="K99" s="598"/>
      <c r="L99" s="599"/>
      <c r="M99" s="71"/>
      <c r="N99" s="642"/>
      <c r="O99" s="638"/>
      <c r="P99" s="641"/>
      <c r="Q99" s="641"/>
      <c r="R99" s="641"/>
      <c r="S99" s="618"/>
      <c r="T99" s="611"/>
      <c r="U99" s="121"/>
      <c r="V99" s="121"/>
      <c r="W99" s="15"/>
      <c r="X99" s="14"/>
      <c r="Y99" s="18"/>
      <c r="Z99" s="18"/>
      <c r="AA99" s="18"/>
      <c r="AB99" s="18"/>
      <c r="AC99" s="18"/>
    </row>
    <row r="100" spans="1:29" s="645" customFormat="1" ht="12.75" x14ac:dyDescent="0.2">
      <c r="A100" s="268"/>
      <c r="B100" s="594"/>
      <c r="C100" s="121"/>
      <c r="D100" s="13"/>
      <c r="E100" s="289"/>
      <c r="F100" s="13"/>
      <c r="G100" s="13"/>
      <c r="H100" s="71"/>
      <c r="I100" s="611"/>
      <c r="J100" s="595"/>
      <c r="K100" s="598"/>
      <c r="L100" s="599"/>
      <c r="M100" s="71"/>
      <c r="N100" s="643" t="s">
        <v>15002</v>
      </c>
      <c r="O100" s="644"/>
      <c r="P100" s="641"/>
      <c r="Q100" s="641"/>
      <c r="R100" s="641"/>
      <c r="S100" s="618"/>
      <c r="T100" s="71"/>
      <c r="U100" s="121"/>
      <c r="V100" s="121"/>
      <c r="W100" s="15"/>
      <c r="X100" s="14"/>
      <c r="Y100" s="18"/>
      <c r="Z100" s="18"/>
      <c r="AA100" s="18"/>
    </row>
    <row r="101" spans="1:29" s="39" customFormat="1" ht="45" customHeight="1" x14ac:dyDescent="0.2">
      <c r="A101" s="268"/>
      <c r="B101" s="594"/>
      <c r="C101" s="121"/>
      <c r="D101" s="255" t="s">
        <v>15003</v>
      </c>
      <c r="E101" s="361"/>
      <c r="F101" s="646" t="s">
        <v>15004</v>
      </c>
      <c r="G101" s="361" t="s">
        <v>15005</v>
      </c>
      <c r="H101" s="71"/>
      <c r="I101" s="611"/>
      <c r="J101" s="595"/>
      <c r="K101" s="598"/>
      <c r="L101" s="599"/>
      <c r="M101" s="71"/>
      <c r="N101" s="631">
        <v>108</v>
      </c>
      <c r="O101" s="647">
        <v>41984</v>
      </c>
      <c r="P101" s="641"/>
      <c r="Q101" s="641"/>
      <c r="R101" s="641"/>
      <c r="S101" s="618"/>
      <c r="T101" s="121"/>
      <c r="U101" s="121"/>
      <c r="V101" s="121"/>
      <c r="W101" s="14"/>
      <c r="X101" s="14"/>
      <c r="Y101" s="14"/>
      <c r="Z101" s="14"/>
      <c r="AA101" s="14"/>
    </row>
    <row r="102" spans="1:29" s="39" customFormat="1" ht="44.25" customHeight="1" x14ac:dyDescent="0.2">
      <c r="A102" s="268"/>
      <c r="B102" s="594"/>
      <c r="C102" s="121"/>
      <c r="D102" s="255" t="s">
        <v>15006</v>
      </c>
      <c r="E102" s="361"/>
      <c r="F102" s="586" t="s">
        <v>15007</v>
      </c>
      <c r="G102" s="361" t="s">
        <v>15008</v>
      </c>
      <c r="H102" s="71"/>
      <c r="I102" s="611"/>
      <c r="J102" s="595"/>
      <c r="K102" s="598"/>
      <c r="L102" s="599"/>
      <c r="M102" s="71"/>
      <c r="N102" s="631">
        <v>286</v>
      </c>
      <c r="O102" s="618"/>
      <c r="P102" s="641"/>
      <c r="Q102" s="641"/>
      <c r="R102" s="641"/>
      <c r="S102" s="618"/>
      <c r="T102" s="121"/>
      <c r="U102" s="121"/>
      <c r="V102" s="121"/>
      <c r="W102" s="14"/>
      <c r="X102" s="14"/>
      <c r="Y102" s="14"/>
      <c r="Z102" s="14"/>
      <c r="AA102" s="14"/>
    </row>
    <row r="103" spans="1:29" s="39" customFormat="1" ht="45" customHeight="1" x14ac:dyDescent="0.2">
      <c r="A103" s="268"/>
      <c r="B103" s="594"/>
      <c r="C103" s="121"/>
      <c r="D103" s="255" t="s">
        <v>14957</v>
      </c>
      <c r="E103" s="361"/>
      <c r="F103" s="586" t="s">
        <v>15009</v>
      </c>
      <c r="G103" s="361" t="s">
        <v>15010</v>
      </c>
      <c r="H103" s="71"/>
      <c r="I103" s="611"/>
      <c r="J103" s="595"/>
      <c r="K103" s="598"/>
      <c r="L103" s="599"/>
      <c r="M103" s="71"/>
      <c r="N103" s="631">
        <v>800</v>
      </c>
      <c r="O103" s="618"/>
      <c r="P103" s="641"/>
      <c r="Q103" s="641"/>
      <c r="R103" s="641"/>
      <c r="S103" s="618"/>
      <c r="T103" s="121"/>
      <c r="U103" s="121"/>
      <c r="V103" s="121"/>
      <c r="W103" s="14"/>
      <c r="X103" s="14"/>
      <c r="Y103" s="14"/>
      <c r="Z103" s="14"/>
      <c r="AA103" s="14"/>
    </row>
    <row r="104" spans="1:29" s="39" customFormat="1" ht="55.5" customHeight="1" x14ac:dyDescent="0.2">
      <c r="A104" s="268"/>
      <c r="B104" s="594"/>
      <c r="C104" s="121"/>
      <c r="D104" s="255" t="s">
        <v>15011</v>
      </c>
      <c r="E104" s="361"/>
      <c r="F104" s="646" t="s">
        <v>15012</v>
      </c>
      <c r="G104" s="361" t="s">
        <v>15013</v>
      </c>
      <c r="H104" s="71"/>
      <c r="I104" s="611"/>
      <c r="J104" s="595"/>
      <c r="K104" s="598"/>
      <c r="L104" s="599"/>
      <c r="M104" s="71"/>
      <c r="N104" s="631">
        <v>3056</v>
      </c>
      <c r="O104" s="618"/>
      <c r="P104" s="641"/>
      <c r="Q104" s="641"/>
      <c r="R104" s="641"/>
      <c r="S104" s="618"/>
      <c r="T104" s="121"/>
      <c r="U104" s="121"/>
      <c r="V104" s="121"/>
      <c r="W104" s="14"/>
      <c r="X104" s="14"/>
      <c r="Y104" s="14"/>
      <c r="Z104" s="14"/>
      <c r="AA104" s="14"/>
    </row>
    <row r="105" spans="1:29" s="39" customFormat="1" ht="42" customHeight="1" x14ac:dyDescent="0.2">
      <c r="A105" s="268"/>
      <c r="B105" s="594"/>
      <c r="C105" s="121"/>
      <c r="D105" s="255" t="s">
        <v>14957</v>
      </c>
      <c r="E105" s="361"/>
      <c r="F105" s="586" t="s">
        <v>15014</v>
      </c>
      <c r="G105" s="361" t="s">
        <v>15015</v>
      </c>
      <c r="H105" s="71"/>
      <c r="I105" s="611"/>
      <c r="J105" s="595"/>
      <c r="K105" s="598"/>
      <c r="L105" s="599"/>
      <c r="M105" s="71"/>
      <c r="N105" s="631">
        <v>650</v>
      </c>
      <c r="O105" s="618"/>
      <c r="P105" s="641"/>
      <c r="Q105" s="641"/>
      <c r="R105" s="641"/>
      <c r="S105" s="618"/>
      <c r="T105" s="121"/>
      <c r="U105" s="121"/>
      <c r="V105" s="121"/>
      <c r="W105" s="14"/>
      <c r="X105" s="14"/>
      <c r="Y105" s="14"/>
      <c r="Z105" s="14"/>
      <c r="AA105" s="14"/>
    </row>
    <row r="106" spans="1:29" s="39" customFormat="1" ht="44.25" customHeight="1" x14ac:dyDescent="0.2">
      <c r="A106" s="268"/>
      <c r="B106" s="594"/>
      <c r="C106" s="121"/>
      <c r="D106" s="255" t="s">
        <v>14957</v>
      </c>
      <c r="E106" s="361"/>
      <c r="F106" s="586" t="s">
        <v>15016</v>
      </c>
      <c r="G106" s="361" t="s">
        <v>15017</v>
      </c>
      <c r="H106" s="71"/>
      <c r="I106" s="611"/>
      <c r="J106" s="595"/>
      <c r="K106" s="598"/>
      <c r="L106" s="599"/>
      <c r="M106" s="71"/>
      <c r="N106" s="631">
        <v>3560</v>
      </c>
      <c r="O106" s="618"/>
      <c r="P106" s="641"/>
      <c r="Q106" s="641"/>
      <c r="R106" s="641"/>
      <c r="S106" s="618"/>
      <c r="T106" s="121"/>
      <c r="U106" s="121"/>
      <c r="V106" s="121"/>
      <c r="W106" s="14"/>
      <c r="X106" s="14"/>
      <c r="Y106" s="14"/>
      <c r="Z106" s="14"/>
      <c r="AA106" s="14"/>
    </row>
    <row r="107" spans="1:29" s="39" customFormat="1" ht="49.5" customHeight="1" x14ac:dyDescent="0.2">
      <c r="A107" s="268"/>
      <c r="B107" s="594"/>
      <c r="C107" s="121"/>
      <c r="D107" s="255" t="s">
        <v>14957</v>
      </c>
      <c r="E107" s="361"/>
      <c r="F107" s="586" t="s">
        <v>14963</v>
      </c>
      <c r="G107" s="361" t="s">
        <v>15018</v>
      </c>
      <c r="H107" s="71"/>
      <c r="I107" s="611"/>
      <c r="J107" s="595"/>
      <c r="K107" s="598"/>
      <c r="L107" s="599"/>
      <c r="M107" s="71"/>
      <c r="N107" s="631">
        <v>2080</v>
      </c>
      <c r="O107" s="618"/>
      <c r="P107" s="641"/>
      <c r="Q107" s="641"/>
      <c r="R107" s="641"/>
      <c r="S107" s="618"/>
      <c r="T107" s="121"/>
      <c r="U107" s="121"/>
      <c r="V107" s="121"/>
      <c r="W107" s="14"/>
      <c r="X107" s="14"/>
      <c r="Y107" s="14"/>
      <c r="Z107" s="14"/>
      <c r="AA107" s="14"/>
    </row>
    <row r="108" spans="1:29" s="39" customFormat="1" ht="42" customHeight="1" x14ac:dyDescent="0.2">
      <c r="A108" s="268"/>
      <c r="B108" s="594"/>
      <c r="C108" s="121"/>
      <c r="D108" s="255" t="s">
        <v>14957</v>
      </c>
      <c r="E108" s="361"/>
      <c r="F108" s="586" t="s">
        <v>15019</v>
      </c>
      <c r="G108" s="361" t="s">
        <v>15020</v>
      </c>
      <c r="H108" s="71"/>
      <c r="I108" s="611"/>
      <c r="J108" s="595"/>
      <c r="K108" s="598"/>
      <c r="L108" s="599"/>
      <c r="M108" s="71"/>
      <c r="N108" s="631">
        <v>700</v>
      </c>
      <c r="O108" s="618"/>
      <c r="P108" s="641"/>
      <c r="Q108" s="641"/>
      <c r="R108" s="641"/>
      <c r="S108" s="618"/>
      <c r="T108" s="121"/>
      <c r="U108" s="121"/>
      <c r="V108" s="121"/>
      <c r="W108" s="14"/>
      <c r="X108" s="14"/>
      <c r="Y108" s="14"/>
      <c r="Z108" s="14"/>
      <c r="AA108" s="14"/>
    </row>
    <row r="109" spans="1:29" s="39" customFormat="1" ht="45" customHeight="1" x14ac:dyDescent="0.2">
      <c r="A109" s="268"/>
      <c r="B109" s="594"/>
      <c r="C109" s="121"/>
      <c r="D109" s="255" t="s">
        <v>15021</v>
      </c>
      <c r="E109" s="361"/>
      <c r="F109" s="586" t="s">
        <v>14955</v>
      </c>
      <c r="G109" s="361" t="s">
        <v>15022</v>
      </c>
      <c r="H109" s="71"/>
      <c r="I109" s="611"/>
      <c r="J109" s="595"/>
      <c r="K109" s="598"/>
      <c r="L109" s="599"/>
      <c r="M109" s="71"/>
      <c r="N109" s="631">
        <v>530</v>
      </c>
      <c r="O109" s="618"/>
      <c r="P109" s="641"/>
      <c r="Q109" s="641"/>
      <c r="R109" s="641"/>
      <c r="S109" s="618"/>
      <c r="T109" s="121"/>
      <c r="U109" s="121"/>
      <c r="V109" s="121"/>
      <c r="W109" s="14"/>
      <c r="X109" s="14"/>
      <c r="Y109" s="14"/>
      <c r="Z109" s="14"/>
      <c r="AA109" s="14"/>
    </row>
    <row r="110" spans="1:29" s="39" customFormat="1" ht="48.75" customHeight="1" x14ac:dyDescent="0.2">
      <c r="A110" s="268"/>
      <c r="B110" s="594"/>
      <c r="C110" s="121"/>
      <c r="D110" s="255" t="s">
        <v>14698</v>
      </c>
      <c r="E110" s="361"/>
      <c r="F110" s="586" t="s">
        <v>14975</v>
      </c>
      <c r="G110" s="361" t="s">
        <v>15023</v>
      </c>
      <c r="H110" s="71"/>
      <c r="I110" s="611"/>
      <c r="J110" s="595"/>
      <c r="K110" s="598"/>
      <c r="L110" s="599"/>
      <c r="M110" s="71"/>
      <c r="N110" s="631">
        <v>830</v>
      </c>
      <c r="O110" s="618"/>
      <c r="P110" s="641"/>
      <c r="Q110" s="641"/>
      <c r="R110" s="641"/>
      <c r="S110" s="618"/>
      <c r="T110" s="121"/>
      <c r="U110" s="121"/>
      <c r="V110" s="121"/>
      <c r="W110" s="14"/>
      <c r="X110" s="14"/>
      <c r="Y110" s="14"/>
      <c r="Z110" s="14"/>
      <c r="AA110" s="14"/>
    </row>
    <row r="111" spans="1:29" s="39" customFormat="1" ht="44.25" customHeight="1" x14ac:dyDescent="0.2">
      <c r="A111" s="268"/>
      <c r="B111" s="594"/>
      <c r="C111" s="121"/>
      <c r="D111" s="255" t="s">
        <v>14698</v>
      </c>
      <c r="E111" s="361"/>
      <c r="F111" s="586" t="s">
        <v>14963</v>
      </c>
      <c r="G111" s="361" t="s">
        <v>15024</v>
      </c>
      <c r="H111" s="71"/>
      <c r="I111" s="611"/>
      <c r="J111" s="595"/>
      <c r="K111" s="598"/>
      <c r="L111" s="599"/>
      <c r="M111" s="71"/>
      <c r="N111" s="631">
        <v>700</v>
      </c>
      <c r="O111" s="618"/>
      <c r="P111" s="641"/>
      <c r="Q111" s="641"/>
      <c r="R111" s="641"/>
      <c r="S111" s="618"/>
      <c r="T111" s="121"/>
      <c r="U111" s="121"/>
      <c r="V111" s="121"/>
      <c r="W111" s="14"/>
      <c r="X111" s="14"/>
      <c r="Y111" s="14"/>
      <c r="Z111" s="14"/>
      <c r="AA111" s="14"/>
    </row>
    <row r="112" spans="1:29" s="39" customFormat="1" ht="60" customHeight="1" x14ac:dyDescent="0.2">
      <c r="A112" s="20"/>
      <c r="B112" s="247"/>
      <c r="C112" s="54"/>
      <c r="D112" s="255" t="s">
        <v>14957</v>
      </c>
      <c r="E112" s="361"/>
      <c r="F112" s="586" t="s">
        <v>15025</v>
      </c>
      <c r="G112" s="361" t="s">
        <v>15026</v>
      </c>
      <c r="H112" s="37"/>
      <c r="I112" s="332"/>
      <c r="J112" s="602"/>
      <c r="K112" s="86"/>
      <c r="L112" s="605"/>
      <c r="M112" s="37"/>
      <c r="N112" s="631">
        <v>2110</v>
      </c>
      <c r="O112" s="635"/>
      <c r="P112" s="648"/>
      <c r="Q112" s="648"/>
      <c r="R112" s="648"/>
      <c r="S112" s="635"/>
      <c r="T112" s="54"/>
      <c r="U112" s="54"/>
      <c r="V112" s="54"/>
      <c r="W112" s="14"/>
      <c r="X112" s="14"/>
      <c r="Y112" s="14"/>
      <c r="Z112" s="14"/>
      <c r="AA112" s="14"/>
    </row>
    <row r="113" spans="1:29" s="39" customFormat="1" ht="36.75" customHeight="1" x14ac:dyDescent="0.2">
      <c r="A113" s="326">
        <v>38</v>
      </c>
      <c r="B113" s="649" t="s">
        <v>15027</v>
      </c>
      <c r="C113" s="327" t="s">
        <v>15028</v>
      </c>
      <c r="D113" s="608" t="s">
        <v>15029</v>
      </c>
      <c r="E113" s="12"/>
      <c r="F113" s="13"/>
      <c r="G113" s="426" t="s">
        <v>13548</v>
      </c>
      <c r="H113" s="49" t="s">
        <v>14825</v>
      </c>
      <c r="I113" s="327" t="s">
        <v>7606</v>
      </c>
      <c r="J113" s="590"/>
      <c r="K113" s="328" t="s">
        <v>7610</v>
      </c>
      <c r="L113" s="329" t="s">
        <v>15030</v>
      </c>
      <c r="M113" s="327" t="s">
        <v>15031</v>
      </c>
      <c r="N113" s="650"/>
      <c r="O113" s="330">
        <v>41984</v>
      </c>
      <c r="P113" s="413">
        <v>5</v>
      </c>
      <c r="Q113" s="413">
        <v>5</v>
      </c>
      <c r="R113" s="413">
        <f>P113-Q113</f>
        <v>0</v>
      </c>
      <c r="S113" s="40">
        <v>2443671</v>
      </c>
      <c r="T113" s="285"/>
      <c r="U113" s="14"/>
      <c r="V113" s="289"/>
      <c r="W113" s="14"/>
      <c r="X113" s="14"/>
      <c r="Y113" s="14"/>
      <c r="Z113" s="14"/>
      <c r="AA113" s="14"/>
    </row>
    <row r="114" spans="1:29" s="18" customFormat="1" ht="35.25" customHeight="1" x14ac:dyDescent="0.2">
      <c r="A114" s="432"/>
      <c r="B114" s="651"/>
      <c r="C114" s="611"/>
      <c r="D114" s="13" t="s">
        <v>15032</v>
      </c>
      <c r="E114" s="289"/>
      <c r="F114" s="13"/>
      <c r="G114" s="13" t="s">
        <v>14999</v>
      </c>
      <c r="H114" s="71"/>
      <c r="I114" s="611"/>
      <c r="J114" s="597"/>
      <c r="K114" s="612"/>
      <c r="L114" s="613"/>
      <c r="M114" s="611"/>
      <c r="N114" s="652"/>
      <c r="O114" s="653"/>
      <c r="P114" s="616"/>
      <c r="Q114" s="616"/>
      <c r="R114" s="616"/>
      <c r="S114" s="40"/>
      <c r="T114" s="327" t="s">
        <v>15033</v>
      </c>
      <c r="U114" s="327" t="s">
        <v>15034</v>
      </c>
      <c r="V114" s="610" t="s">
        <v>15035</v>
      </c>
      <c r="W114" s="15"/>
      <c r="X114" s="14"/>
      <c r="AB114" s="19"/>
      <c r="AC114" s="19"/>
    </row>
    <row r="115" spans="1:29" ht="35.25" customHeight="1" x14ac:dyDescent="0.2">
      <c r="A115" s="432"/>
      <c r="B115" s="651"/>
      <c r="C115" s="611"/>
      <c r="D115" s="13"/>
      <c r="E115" s="289"/>
      <c r="F115" s="13"/>
      <c r="G115" s="13"/>
      <c r="H115" s="71"/>
      <c r="I115" s="611"/>
      <c r="J115" s="597"/>
      <c r="K115" s="612"/>
      <c r="L115" s="613"/>
      <c r="M115" s="611"/>
      <c r="N115" s="654">
        <v>3860</v>
      </c>
      <c r="O115" s="653"/>
      <c r="P115" s="616"/>
      <c r="Q115" s="616"/>
      <c r="R115" s="616"/>
      <c r="S115" s="40"/>
      <c r="T115" s="611"/>
      <c r="U115" s="611"/>
      <c r="V115" s="617"/>
      <c r="W115" s="15"/>
      <c r="X115" s="14"/>
      <c r="Y115" s="18"/>
      <c r="Z115" s="18"/>
      <c r="AA115" s="18"/>
    </row>
    <row r="116" spans="1:29" s="39" customFormat="1" ht="40.5" customHeight="1" x14ac:dyDescent="0.2">
      <c r="A116" s="432"/>
      <c r="B116" s="651"/>
      <c r="C116" s="611"/>
      <c r="D116" s="255" t="s">
        <v>15006</v>
      </c>
      <c r="E116" s="361"/>
      <c r="F116" s="255"/>
      <c r="G116" s="361" t="s">
        <v>15036</v>
      </c>
      <c r="H116" s="71"/>
      <c r="I116" s="611"/>
      <c r="J116" s="597"/>
      <c r="K116" s="612"/>
      <c r="L116" s="613"/>
      <c r="M116" s="611"/>
      <c r="N116" s="562">
        <v>900</v>
      </c>
      <c r="O116" s="653"/>
      <c r="P116" s="616"/>
      <c r="Q116" s="616"/>
      <c r="R116" s="616"/>
      <c r="S116" s="15"/>
      <c r="T116" s="611"/>
      <c r="U116" s="611"/>
      <c r="V116" s="617"/>
      <c r="W116" s="14"/>
      <c r="X116" s="14"/>
      <c r="Y116" s="14"/>
      <c r="Z116" s="14"/>
      <c r="AA116" s="14"/>
    </row>
    <row r="117" spans="1:29" s="39" customFormat="1" ht="39" customHeight="1" x14ac:dyDescent="0.2">
      <c r="A117" s="432"/>
      <c r="B117" s="651"/>
      <c r="C117" s="611"/>
      <c r="D117" s="255" t="s">
        <v>15037</v>
      </c>
      <c r="E117" s="361"/>
      <c r="F117" s="646"/>
      <c r="G117" s="361" t="s">
        <v>15038</v>
      </c>
      <c r="H117" s="71"/>
      <c r="I117" s="611"/>
      <c r="J117" s="597"/>
      <c r="K117" s="612"/>
      <c r="L117" s="613"/>
      <c r="M117" s="611"/>
      <c r="N117" s="562">
        <v>985</v>
      </c>
      <c r="O117" s="653"/>
      <c r="P117" s="616"/>
      <c r="Q117" s="616"/>
      <c r="R117" s="616"/>
      <c r="S117" s="15"/>
      <c r="T117" s="611"/>
      <c r="U117" s="611"/>
      <c r="V117" s="617"/>
      <c r="W117" s="14"/>
      <c r="X117" s="14"/>
      <c r="Y117" s="14"/>
      <c r="Z117" s="14"/>
      <c r="AA117" s="14"/>
    </row>
    <row r="118" spans="1:29" s="39" customFormat="1" ht="39" customHeight="1" x14ac:dyDescent="0.2">
      <c r="A118" s="432"/>
      <c r="B118" s="651"/>
      <c r="C118" s="611"/>
      <c r="D118" s="255" t="s">
        <v>14957</v>
      </c>
      <c r="E118" s="361"/>
      <c r="F118" s="586" t="s">
        <v>15039</v>
      </c>
      <c r="G118" s="361" t="s">
        <v>15040</v>
      </c>
      <c r="H118" s="71"/>
      <c r="I118" s="611"/>
      <c r="J118" s="597"/>
      <c r="K118" s="612"/>
      <c r="L118" s="613"/>
      <c r="M118" s="611"/>
      <c r="N118" s="562">
        <v>985</v>
      </c>
      <c r="O118" s="653"/>
      <c r="P118" s="616"/>
      <c r="Q118" s="616"/>
      <c r="R118" s="616"/>
      <c r="S118" s="15"/>
      <c r="T118" s="611"/>
      <c r="U118" s="611"/>
      <c r="V118" s="617"/>
      <c r="W118" s="14"/>
      <c r="X118" s="14"/>
      <c r="Y118" s="14"/>
      <c r="Z118" s="14"/>
      <c r="AA118" s="14"/>
    </row>
    <row r="119" spans="1:29" s="39" customFormat="1" ht="39" customHeight="1" x14ac:dyDescent="0.2">
      <c r="A119" s="331"/>
      <c r="B119" s="655"/>
      <c r="C119" s="332"/>
      <c r="D119" s="255" t="s">
        <v>15041</v>
      </c>
      <c r="E119" s="361"/>
      <c r="F119" s="586" t="s">
        <v>15042</v>
      </c>
      <c r="G119" s="361" t="s">
        <v>15038</v>
      </c>
      <c r="H119" s="37"/>
      <c r="I119" s="332"/>
      <c r="J119" s="604"/>
      <c r="K119" s="333"/>
      <c r="L119" s="334"/>
      <c r="M119" s="332"/>
      <c r="N119" s="562">
        <v>990</v>
      </c>
      <c r="O119" s="335"/>
      <c r="P119" s="414"/>
      <c r="Q119" s="414"/>
      <c r="R119" s="414"/>
      <c r="S119" s="15"/>
      <c r="T119" s="332"/>
      <c r="U119" s="332"/>
      <c r="V119" s="636"/>
      <c r="W119" s="14"/>
      <c r="X119" s="14"/>
      <c r="Y119" s="14"/>
      <c r="Z119" s="14"/>
      <c r="AA119" s="14"/>
    </row>
    <row r="120" spans="1:29" s="39" customFormat="1" ht="63" customHeight="1" x14ac:dyDescent="0.2">
      <c r="A120" s="30">
        <v>39</v>
      </c>
      <c r="B120" s="30" t="s">
        <v>15043</v>
      </c>
      <c r="C120" s="46"/>
      <c r="D120" s="656" t="s">
        <v>15044</v>
      </c>
      <c r="E120" s="361"/>
      <c r="F120" s="586"/>
      <c r="G120" s="361"/>
      <c r="H120" s="589" t="s">
        <v>14825</v>
      </c>
      <c r="I120" s="587" t="s">
        <v>7613</v>
      </c>
      <c r="J120" s="587"/>
      <c r="K120" s="98" t="s">
        <v>7610</v>
      </c>
      <c r="L120" s="591" t="s">
        <v>15045</v>
      </c>
      <c r="M120" s="49" t="s">
        <v>15046</v>
      </c>
      <c r="N120" s="179"/>
      <c r="O120" s="57"/>
      <c r="P120" s="568" t="s">
        <v>15047</v>
      </c>
      <c r="Q120" s="568" t="s">
        <v>15048</v>
      </c>
      <c r="R120" s="568" t="s">
        <v>15049</v>
      </c>
      <c r="S120" s="15"/>
      <c r="T120" s="37"/>
      <c r="U120" s="37"/>
      <c r="V120" s="136"/>
      <c r="W120" s="14"/>
      <c r="X120" s="14"/>
      <c r="Y120" s="14"/>
      <c r="Z120" s="14"/>
      <c r="AA120" s="14"/>
    </row>
    <row r="121" spans="1:29" s="39" customFormat="1" ht="46.5" customHeight="1" x14ac:dyDescent="0.2">
      <c r="A121" s="268"/>
      <c r="B121" s="268"/>
      <c r="C121" s="121"/>
      <c r="D121" s="13" t="s">
        <v>15050</v>
      </c>
      <c r="E121" s="289" t="s">
        <v>967</v>
      </c>
      <c r="F121" s="13" t="s">
        <v>15051</v>
      </c>
      <c r="G121" s="13" t="s">
        <v>15052</v>
      </c>
      <c r="H121" s="589" t="s">
        <v>14825</v>
      </c>
      <c r="I121" s="595"/>
      <c r="J121" s="595"/>
      <c r="K121" s="598"/>
      <c r="L121" s="599"/>
      <c r="M121" s="71"/>
      <c r="N121" s="17">
        <v>60</v>
      </c>
      <c r="O121" s="15">
        <v>39448</v>
      </c>
      <c r="P121" s="40">
        <v>42412.47</v>
      </c>
      <c r="Q121" s="40">
        <v>42412.47</v>
      </c>
      <c r="R121" s="40">
        <f>P121-Q121</f>
        <v>0</v>
      </c>
      <c r="S121" s="15"/>
      <c r="T121" s="285" t="s">
        <v>3136</v>
      </c>
      <c r="U121" s="285">
        <v>309</v>
      </c>
      <c r="V121" s="15">
        <v>40995</v>
      </c>
      <c r="W121" s="15"/>
      <c r="X121" s="15"/>
      <c r="Y121" s="15"/>
      <c r="Z121" s="15"/>
      <c r="AA121" s="15"/>
    </row>
    <row r="122" spans="1:29" s="39" customFormat="1" ht="63" customHeight="1" x14ac:dyDescent="0.2">
      <c r="A122" s="268"/>
      <c r="B122" s="268"/>
      <c r="C122" s="121"/>
      <c r="D122" s="13" t="s">
        <v>15053</v>
      </c>
      <c r="E122" s="12" t="s">
        <v>13676</v>
      </c>
      <c r="F122" s="13" t="s">
        <v>15054</v>
      </c>
      <c r="G122" s="285" t="s">
        <v>15055</v>
      </c>
      <c r="H122" s="589" t="s">
        <v>14825</v>
      </c>
      <c r="I122" s="595"/>
      <c r="J122" s="595"/>
      <c r="K122" s="598"/>
      <c r="L122" s="599"/>
      <c r="M122" s="71"/>
      <c r="N122" s="17">
        <v>350</v>
      </c>
      <c r="O122" s="15">
        <v>40464</v>
      </c>
      <c r="P122" s="40">
        <v>13773.3</v>
      </c>
      <c r="Q122" s="40">
        <v>13773.3</v>
      </c>
      <c r="R122" s="40">
        <v>0</v>
      </c>
      <c r="S122" s="15"/>
      <c r="T122" s="285" t="s">
        <v>14712</v>
      </c>
      <c r="U122" s="285">
        <v>576</v>
      </c>
      <c r="V122" s="285" t="s">
        <v>15056</v>
      </c>
      <c r="W122" s="285"/>
      <c r="X122" s="285"/>
      <c r="Y122" s="285"/>
      <c r="Z122" s="285"/>
      <c r="AA122" s="285"/>
    </row>
    <row r="123" spans="1:29" s="39" customFormat="1" ht="62.25" customHeight="1" x14ac:dyDescent="0.2">
      <c r="A123" s="268"/>
      <c r="B123" s="268"/>
      <c r="C123" s="121"/>
      <c r="D123" s="13" t="s">
        <v>15057</v>
      </c>
      <c r="E123" s="12" t="s">
        <v>2827</v>
      </c>
      <c r="F123" s="13" t="s">
        <v>15058</v>
      </c>
      <c r="G123" s="285" t="s">
        <v>15059</v>
      </c>
      <c r="H123" s="589" t="s">
        <v>14825</v>
      </c>
      <c r="I123" s="595"/>
      <c r="J123" s="595"/>
      <c r="K123" s="598"/>
      <c r="L123" s="599"/>
      <c r="M123" s="71"/>
      <c r="N123" s="17">
        <v>210</v>
      </c>
      <c r="O123" s="15">
        <v>40464</v>
      </c>
      <c r="P123" s="40">
        <v>20245.599999999999</v>
      </c>
      <c r="Q123" s="40">
        <f>P123-R123</f>
        <v>20245.599999999999</v>
      </c>
      <c r="R123" s="40">
        <v>0</v>
      </c>
      <c r="S123" s="15"/>
      <c r="T123" s="285" t="s">
        <v>14712</v>
      </c>
      <c r="U123" s="285">
        <v>576</v>
      </c>
      <c r="V123" s="285" t="s">
        <v>15056</v>
      </c>
      <c r="W123" s="285"/>
      <c r="X123" s="285"/>
      <c r="Y123" s="285"/>
      <c r="Z123" s="285"/>
      <c r="AA123" s="285"/>
    </row>
    <row r="124" spans="1:29" s="39" customFormat="1" ht="51" customHeight="1" x14ac:dyDescent="0.2">
      <c r="A124" s="268"/>
      <c r="B124" s="268"/>
      <c r="C124" s="121"/>
      <c r="D124" s="13" t="s">
        <v>15053</v>
      </c>
      <c r="E124" s="12" t="s">
        <v>3746</v>
      </c>
      <c r="F124" s="13" t="s">
        <v>15060</v>
      </c>
      <c r="G124" s="285" t="s">
        <v>15061</v>
      </c>
      <c r="H124" s="589" t="s">
        <v>14825</v>
      </c>
      <c r="I124" s="595"/>
      <c r="J124" s="595"/>
      <c r="K124" s="598"/>
      <c r="L124" s="599"/>
      <c r="M124" s="71"/>
      <c r="N124" s="17">
        <v>20</v>
      </c>
      <c r="O124" s="15">
        <v>40464</v>
      </c>
      <c r="P124" s="40">
        <v>2268.94</v>
      </c>
      <c r="Q124" s="40">
        <v>1986.32</v>
      </c>
      <c r="R124" s="40">
        <f>P124-Q124</f>
        <v>282.62000000000012</v>
      </c>
      <c r="S124" s="15"/>
      <c r="T124" s="285" t="s">
        <v>14712</v>
      </c>
      <c r="U124" s="285">
        <v>576</v>
      </c>
      <c r="V124" s="285" t="s">
        <v>15056</v>
      </c>
      <c r="W124" s="285"/>
      <c r="X124" s="285"/>
      <c r="Y124" s="285"/>
      <c r="Z124" s="285"/>
      <c r="AA124" s="285"/>
    </row>
    <row r="125" spans="1:29" s="39" customFormat="1" ht="49.5" customHeight="1" x14ac:dyDescent="0.2">
      <c r="A125" s="268"/>
      <c r="B125" s="268"/>
      <c r="C125" s="121"/>
      <c r="D125" s="13" t="s">
        <v>15053</v>
      </c>
      <c r="E125" s="22" t="s">
        <v>3746</v>
      </c>
      <c r="F125" s="13" t="s">
        <v>15062</v>
      </c>
      <c r="G125" s="285" t="s">
        <v>15063</v>
      </c>
      <c r="H125" s="589" t="s">
        <v>14825</v>
      </c>
      <c r="I125" s="595"/>
      <c r="J125" s="595"/>
      <c r="K125" s="598"/>
      <c r="L125" s="599"/>
      <c r="M125" s="71"/>
      <c r="N125" s="17">
        <v>85</v>
      </c>
      <c r="O125" s="15">
        <v>40464</v>
      </c>
      <c r="P125" s="40">
        <v>10970.31</v>
      </c>
      <c r="Q125" s="40">
        <v>9605.31</v>
      </c>
      <c r="R125" s="40">
        <f>P125-Q125</f>
        <v>1365</v>
      </c>
      <c r="S125" s="15"/>
      <c r="T125" s="285" t="s">
        <v>14712</v>
      </c>
      <c r="U125" s="285">
        <v>576</v>
      </c>
      <c r="V125" s="285" t="s">
        <v>15056</v>
      </c>
      <c r="W125" s="285"/>
      <c r="X125" s="285"/>
      <c r="Y125" s="285"/>
      <c r="Z125" s="285"/>
      <c r="AA125" s="285"/>
    </row>
    <row r="126" spans="1:29" s="39" customFormat="1" ht="52.5" customHeight="1" x14ac:dyDescent="0.2">
      <c r="A126" s="268"/>
      <c r="B126" s="268"/>
      <c r="C126" s="121"/>
      <c r="D126" s="13" t="s">
        <v>15064</v>
      </c>
      <c r="E126" s="285">
        <v>1970</v>
      </c>
      <c r="F126" s="13" t="s">
        <v>15065</v>
      </c>
      <c r="G126" s="285" t="s">
        <v>15066</v>
      </c>
      <c r="H126" s="589" t="s">
        <v>14825</v>
      </c>
      <c r="I126" s="595"/>
      <c r="J126" s="595"/>
      <c r="K126" s="598"/>
      <c r="L126" s="599"/>
      <c r="M126" s="71"/>
      <c r="N126" s="17">
        <v>180</v>
      </c>
      <c r="O126" s="15">
        <v>40464</v>
      </c>
      <c r="P126" s="40">
        <v>1761.26</v>
      </c>
      <c r="Q126" s="40">
        <v>1761.26</v>
      </c>
      <c r="R126" s="40">
        <v>0</v>
      </c>
      <c r="S126" s="15"/>
      <c r="T126" s="285" t="s">
        <v>14712</v>
      </c>
      <c r="U126" s="285">
        <v>576</v>
      </c>
      <c r="V126" s="285" t="s">
        <v>15056</v>
      </c>
      <c r="W126" s="285"/>
      <c r="X126" s="285"/>
      <c r="Y126" s="285"/>
      <c r="Z126" s="285"/>
      <c r="AA126" s="285"/>
    </row>
    <row r="127" spans="1:29" s="39" customFormat="1" ht="123.75" customHeight="1" x14ac:dyDescent="0.2">
      <c r="A127" s="268"/>
      <c r="B127" s="268"/>
      <c r="C127" s="121"/>
      <c r="D127" s="255" t="s">
        <v>15067</v>
      </c>
      <c r="E127" s="516">
        <v>2015</v>
      </c>
      <c r="F127" s="586" t="s">
        <v>15068</v>
      </c>
      <c r="G127" s="361" t="s">
        <v>15069</v>
      </c>
      <c r="H127" s="589" t="s">
        <v>14825</v>
      </c>
      <c r="I127" s="595"/>
      <c r="J127" s="595"/>
      <c r="K127" s="598"/>
      <c r="L127" s="599"/>
      <c r="M127" s="71"/>
      <c r="N127" s="178">
        <v>335</v>
      </c>
      <c r="O127" s="15">
        <v>42369</v>
      </c>
      <c r="P127" s="40">
        <v>126442</v>
      </c>
      <c r="Q127" s="40">
        <v>59006.64</v>
      </c>
      <c r="R127" s="40">
        <f>P127-Q127</f>
        <v>67435.360000000001</v>
      </c>
      <c r="S127" s="15"/>
      <c r="T127" s="285" t="s">
        <v>15070</v>
      </c>
      <c r="U127" s="14">
        <v>42303</v>
      </c>
      <c r="V127" s="289" t="s">
        <v>1029</v>
      </c>
      <c r="W127" s="14"/>
      <c r="X127" s="14"/>
      <c r="Y127" s="14"/>
      <c r="Z127" s="14"/>
      <c r="AA127" s="14"/>
    </row>
    <row r="128" spans="1:29" s="39" customFormat="1" ht="90" customHeight="1" x14ac:dyDescent="0.2">
      <c r="A128" s="20"/>
      <c r="B128" s="20"/>
      <c r="C128" s="54"/>
      <c r="D128" s="255" t="s">
        <v>15071</v>
      </c>
      <c r="E128" s="516" t="s">
        <v>4834</v>
      </c>
      <c r="F128" s="586" t="s">
        <v>15072</v>
      </c>
      <c r="G128" s="361" t="s">
        <v>15073</v>
      </c>
      <c r="H128" s="589" t="s">
        <v>14825</v>
      </c>
      <c r="I128" s="602"/>
      <c r="J128" s="602"/>
      <c r="K128" s="86"/>
      <c r="L128" s="605"/>
      <c r="M128" s="37"/>
      <c r="N128" s="178">
        <v>150</v>
      </c>
      <c r="O128" s="15">
        <v>42369</v>
      </c>
      <c r="P128" s="40">
        <v>34444</v>
      </c>
      <c r="Q128" s="40">
        <v>34444</v>
      </c>
      <c r="R128" s="40">
        <f>P128-Q128</f>
        <v>0</v>
      </c>
      <c r="S128" s="15"/>
      <c r="T128" s="285" t="s">
        <v>15070</v>
      </c>
      <c r="U128" s="14">
        <v>42303</v>
      </c>
      <c r="V128" s="289" t="s">
        <v>1029</v>
      </c>
      <c r="W128" s="14"/>
      <c r="X128" s="14"/>
      <c r="Y128" s="14"/>
      <c r="Z128" s="14"/>
      <c r="AA128" s="14"/>
    </row>
    <row r="129" spans="1:28" s="39" customFormat="1" ht="66.75" customHeight="1" x14ac:dyDescent="0.2">
      <c r="A129" s="30">
        <v>40</v>
      </c>
      <c r="B129" s="30" t="s">
        <v>15074</v>
      </c>
      <c r="C129" s="46"/>
      <c r="D129" s="424" t="s">
        <v>15075</v>
      </c>
      <c r="E129" s="516"/>
      <c r="F129" s="586"/>
      <c r="G129" s="361"/>
      <c r="H129" s="589" t="s">
        <v>14825</v>
      </c>
      <c r="I129" s="590" t="s">
        <v>7613</v>
      </c>
      <c r="J129" s="587"/>
      <c r="K129" s="98" t="s">
        <v>7610</v>
      </c>
      <c r="L129" s="632" t="s">
        <v>15076</v>
      </c>
      <c r="M129" s="589" t="s">
        <v>15077</v>
      </c>
      <c r="N129" s="178"/>
      <c r="O129" s="15"/>
      <c r="P129" s="40"/>
      <c r="Q129" s="40"/>
      <c r="R129" s="40"/>
      <c r="S129" s="15"/>
      <c r="T129" s="285"/>
      <c r="U129" s="14"/>
      <c r="V129" s="289"/>
      <c r="W129" s="14"/>
      <c r="X129" s="14"/>
      <c r="Y129" s="14"/>
      <c r="Z129" s="14"/>
      <c r="AA129" s="14"/>
    </row>
    <row r="130" spans="1:28" s="39" customFormat="1" ht="51.75" customHeight="1" x14ac:dyDescent="0.2">
      <c r="A130" s="268"/>
      <c r="B130" s="268"/>
      <c r="C130" s="121"/>
      <c r="D130" s="13" t="s">
        <v>14683</v>
      </c>
      <c r="E130" s="289" t="s">
        <v>15078</v>
      </c>
      <c r="F130" s="13" t="s">
        <v>15079</v>
      </c>
      <c r="G130" s="285" t="s">
        <v>15080</v>
      </c>
      <c r="H130" s="589" t="s">
        <v>14825</v>
      </c>
      <c r="I130" s="597"/>
      <c r="J130" s="595"/>
      <c r="K130" s="598"/>
      <c r="L130" s="633"/>
      <c r="M130" s="596"/>
      <c r="N130" s="17">
        <v>150</v>
      </c>
      <c r="O130" s="15">
        <v>41464</v>
      </c>
      <c r="P130" s="40">
        <v>26117.9</v>
      </c>
      <c r="Q130" s="40">
        <v>26117.9</v>
      </c>
      <c r="R130" s="40">
        <f t="shared" ref="R130:R144" si="1">P130-Q130</f>
        <v>0</v>
      </c>
      <c r="S130" s="15"/>
      <c r="T130" s="285"/>
      <c r="U130" s="285"/>
      <c r="V130" s="289"/>
      <c r="W130" s="289"/>
      <c r="X130" s="289"/>
      <c r="Y130" s="289"/>
      <c r="Z130" s="289"/>
      <c r="AA130" s="289"/>
      <c r="AB130" s="284"/>
    </row>
    <row r="131" spans="1:28" s="39" customFormat="1" ht="161.25" customHeight="1" x14ac:dyDescent="0.2">
      <c r="A131" s="268"/>
      <c r="B131" s="268"/>
      <c r="C131" s="121"/>
      <c r="D131" s="13" t="s">
        <v>15081</v>
      </c>
      <c r="E131" s="289" t="s">
        <v>4957</v>
      </c>
      <c r="F131" s="13" t="s">
        <v>15082</v>
      </c>
      <c r="G131" s="285" t="s">
        <v>15083</v>
      </c>
      <c r="H131" s="589" t="s">
        <v>14825</v>
      </c>
      <c r="I131" s="597"/>
      <c r="J131" s="595"/>
      <c r="K131" s="598"/>
      <c r="L131" s="633"/>
      <c r="M131" s="596"/>
      <c r="N131" s="17">
        <v>1020</v>
      </c>
      <c r="O131" s="15">
        <v>39448</v>
      </c>
      <c r="P131" s="40">
        <v>114858.09</v>
      </c>
      <c r="Q131" s="40">
        <v>114216.89</v>
      </c>
      <c r="R131" s="40">
        <f t="shared" si="1"/>
        <v>641.19999999999709</v>
      </c>
      <c r="S131" s="15"/>
      <c r="T131" s="285"/>
      <c r="U131" s="285"/>
      <c r="V131" s="289"/>
      <c r="W131" s="289"/>
      <c r="X131" s="289"/>
      <c r="Y131" s="289"/>
      <c r="Z131" s="289"/>
      <c r="AA131" s="289"/>
      <c r="AB131" s="284"/>
    </row>
    <row r="132" spans="1:28" s="39" customFormat="1" ht="53.25" customHeight="1" x14ac:dyDescent="0.2">
      <c r="A132" s="268"/>
      <c r="B132" s="268"/>
      <c r="C132" s="121"/>
      <c r="D132" s="13" t="s">
        <v>14683</v>
      </c>
      <c r="E132" s="289" t="s">
        <v>15084</v>
      </c>
      <c r="F132" s="13" t="s">
        <v>15085</v>
      </c>
      <c r="G132" s="285" t="s">
        <v>15086</v>
      </c>
      <c r="H132" s="589" t="s">
        <v>14825</v>
      </c>
      <c r="I132" s="597"/>
      <c r="J132" s="595"/>
      <c r="K132" s="598"/>
      <c r="L132" s="633"/>
      <c r="M132" s="596"/>
      <c r="N132" s="17">
        <v>260</v>
      </c>
      <c r="O132" s="15">
        <v>39448</v>
      </c>
      <c r="P132" s="40">
        <v>37755.33</v>
      </c>
      <c r="Q132" s="40">
        <v>37157.410000000003</v>
      </c>
      <c r="R132" s="40">
        <f t="shared" si="1"/>
        <v>597.91999999999825</v>
      </c>
      <c r="S132" s="15"/>
      <c r="T132" s="285"/>
      <c r="U132" s="285"/>
      <c r="V132" s="289"/>
      <c r="W132" s="289"/>
      <c r="X132" s="289"/>
      <c r="Y132" s="289"/>
      <c r="Z132" s="289"/>
      <c r="AA132" s="289"/>
      <c r="AB132" s="284"/>
    </row>
    <row r="133" spans="1:28" s="39" customFormat="1" ht="51" customHeight="1" x14ac:dyDescent="0.2">
      <c r="A133" s="268"/>
      <c r="B133" s="268"/>
      <c r="C133" s="121"/>
      <c r="D133" s="13" t="s">
        <v>14683</v>
      </c>
      <c r="E133" s="289" t="s">
        <v>15087</v>
      </c>
      <c r="F133" s="13" t="s">
        <v>15088</v>
      </c>
      <c r="G133" s="285" t="s">
        <v>15089</v>
      </c>
      <c r="H133" s="589" t="s">
        <v>14825</v>
      </c>
      <c r="I133" s="597"/>
      <c r="J133" s="595"/>
      <c r="K133" s="598"/>
      <c r="L133" s="633"/>
      <c r="M133" s="596"/>
      <c r="N133" s="17">
        <v>420</v>
      </c>
      <c r="O133" s="15">
        <v>39448</v>
      </c>
      <c r="P133" s="40">
        <v>49127.42</v>
      </c>
      <c r="Q133" s="40">
        <v>47547.7</v>
      </c>
      <c r="R133" s="40">
        <f t="shared" si="1"/>
        <v>1579.7200000000012</v>
      </c>
      <c r="S133" s="15"/>
      <c r="T133" s="285"/>
      <c r="U133" s="285"/>
      <c r="V133" s="289"/>
      <c r="W133" s="289"/>
      <c r="X133" s="289"/>
      <c r="Y133" s="289"/>
      <c r="Z133" s="289"/>
      <c r="AA133" s="289"/>
      <c r="AB133" s="284"/>
    </row>
    <row r="134" spans="1:28" s="39" customFormat="1" ht="67.5" customHeight="1" x14ac:dyDescent="0.2">
      <c r="A134" s="268"/>
      <c r="B134" s="268"/>
      <c r="C134" s="121"/>
      <c r="D134" s="13" t="s">
        <v>14683</v>
      </c>
      <c r="E134" s="289" t="s">
        <v>15087</v>
      </c>
      <c r="F134" s="13" t="s">
        <v>15090</v>
      </c>
      <c r="G134" s="285" t="s">
        <v>15091</v>
      </c>
      <c r="H134" s="589" t="s">
        <v>14825</v>
      </c>
      <c r="I134" s="597"/>
      <c r="J134" s="595"/>
      <c r="K134" s="598"/>
      <c r="L134" s="633"/>
      <c r="M134" s="596"/>
      <c r="N134" s="17">
        <v>280</v>
      </c>
      <c r="O134" s="15">
        <v>39448</v>
      </c>
      <c r="P134" s="40">
        <v>31083.71</v>
      </c>
      <c r="Q134" s="40">
        <v>30083.35</v>
      </c>
      <c r="R134" s="40">
        <f t="shared" si="1"/>
        <v>1000.3600000000006</v>
      </c>
      <c r="S134" s="15"/>
      <c r="T134" s="285"/>
      <c r="U134" s="285"/>
      <c r="V134" s="289"/>
      <c r="W134" s="289"/>
      <c r="X134" s="289"/>
      <c r="Y134" s="289"/>
      <c r="Z134" s="289"/>
      <c r="AA134" s="289"/>
      <c r="AB134" s="284"/>
    </row>
    <row r="135" spans="1:28" s="39" customFormat="1" ht="102" customHeight="1" x14ac:dyDescent="0.2">
      <c r="A135" s="268"/>
      <c r="B135" s="268"/>
      <c r="C135" s="121"/>
      <c r="D135" s="13" t="s">
        <v>15081</v>
      </c>
      <c r="E135" s="289" t="s">
        <v>15087</v>
      </c>
      <c r="F135" s="13" t="s">
        <v>15092</v>
      </c>
      <c r="G135" s="285" t="s">
        <v>15093</v>
      </c>
      <c r="H135" s="589" t="s">
        <v>14825</v>
      </c>
      <c r="I135" s="597"/>
      <c r="J135" s="595"/>
      <c r="K135" s="598"/>
      <c r="L135" s="633"/>
      <c r="M135" s="596"/>
      <c r="N135" s="17">
        <v>3040</v>
      </c>
      <c r="O135" s="15">
        <v>39448</v>
      </c>
      <c r="P135" s="40">
        <v>64983.360000000001</v>
      </c>
      <c r="Q135" s="40">
        <v>62893.04</v>
      </c>
      <c r="R135" s="40">
        <f t="shared" si="1"/>
        <v>2090.3199999999997</v>
      </c>
      <c r="S135" s="15"/>
      <c r="T135" s="285"/>
      <c r="U135" s="285"/>
      <c r="V135" s="289"/>
      <c r="W135" s="289"/>
      <c r="X135" s="289"/>
      <c r="Y135" s="289"/>
      <c r="Z135" s="289"/>
      <c r="AA135" s="289"/>
      <c r="AB135" s="284"/>
    </row>
    <row r="136" spans="1:28" s="39" customFormat="1" ht="64.5" customHeight="1" x14ac:dyDescent="0.2">
      <c r="A136" s="268"/>
      <c r="B136" s="268"/>
      <c r="C136" s="121"/>
      <c r="D136" s="13" t="s">
        <v>15081</v>
      </c>
      <c r="E136" s="289" t="s">
        <v>15087</v>
      </c>
      <c r="F136" s="13" t="s">
        <v>15094</v>
      </c>
      <c r="G136" s="285" t="s">
        <v>15095</v>
      </c>
      <c r="H136" s="589" t="s">
        <v>14825</v>
      </c>
      <c r="I136" s="597"/>
      <c r="J136" s="595"/>
      <c r="K136" s="598"/>
      <c r="L136" s="633"/>
      <c r="M136" s="596"/>
      <c r="N136" s="17">
        <v>700</v>
      </c>
      <c r="O136" s="15">
        <v>39448</v>
      </c>
      <c r="P136" s="40">
        <v>79063.09</v>
      </c>
      <c r="Q136" s="40">
        <v>76553.009999999995</v>
      </c>
      <c r="R136" s="40">
        <f t="shared" si="1"/>
        <v>2510.0800000000017</v>
      </c>
      <c r="S136" s="15"/>
      <c r="T136" s="285"/>
      <c r="U136" s="285"/>
      <c r="V136" s="289"/>
      <c r="W136" s="289"/>
      <c r="X136" s="289"/>
      <c r="Y136" s="289"/>
      <c r="Z136" s="289"/>
      <c r="AA136" s="289"/>
      <c r="AB136" s="284"/>
    </row>
    <row r="137" spans="1:28" s="39" customFormat="1" ht="66.75" customHeight="1" x14ac:dyDescent="0.2">
      <c r="A137" s="268"/>
      <c r="B137" s="268"/>
      <c r="C137" s="121"/>
      <c r="D137" s="13" t="s">
        <v>14683</v>
      </c>
      <c r="E137" s="289" t="s">
        <v>15087</v>
      </c>
      <c r="F137" s="13" t="s">
        <v>15096</v>
      </c>
      <c r="G137" s="285" t="s">
        <v>15097</v>
      </c>
      <c r="H137" s="589" t="s">
        <v>14825</v>
      </c>
      <c r="I137" s="597"/>
      <c r="J137" s="595"/>
      <c r="K137" s="598"/>
      <c r="L137" s="633"/>
      <c r="M137" s="596"/>
      <c r="N137" s="17">
        <v>1080</v>
      </c>
      <c r="O137" s="15">
        <v>39448</v>
      </c>
      <c r="P137" s="40">
        <v>59568.08</v>
      </c>
      <c r="Q137" s="40">
        <v>57652.12</v>
      </c>
      <c r="R137" s="40">
        <f t="shared" si="1"/>
        <v>1915.9599999999991</v>
      </c>
      <c r="S137" s="15"/>
      <c r="T137" s="285"/>
      <c r="U137" s="285"/>
      <c r="V137" s="289"/>
      <c r="W137" s="289"/>
      <c r="X137" s="289"/>
      <c r="Y137" s="289"/>
      <c r="Z137" s="289"/>
      <c r="AA137" s="289"/>
      <c r="AB137" s="284"/>
    </row>
    <row r="138" spans="1:28" s="39" customFormat="1" ht="66.75" customHeight="1" x14ac:dyDescent="0.2">
      <c r="A138" s="268"/>
      <c r="B138" s="268"/>
      <c r="C138" s="121"/>
      <c r="D138" s="13" t="s">
        <v>14683</v>
      </c>
      <c r="E138" s="289" t="s">
        <v>15098</v>
      </c>
      <c r="F138" s="13" t="s">
        <v>15099</v>
      </c>
      <c r="G138" s="285" t="s">
        <v>15100</v>
      </c>
      <c r="H138" s="589" t="s">
        <v>14825</v>
      </c>
      <c r="I138" s="597"/>
      <c r="J138" s="595"/>
      <c r="K138" s="598"/>
      <c r="L138" s="633"/>
      <c r="M138" s="596"/>
      <c r="N138" s="17">
        <v>720</v>
      </c>
      <c r="O138" s="15">
        <v>39448</v>
      </c>
      <c r="P138" s="40">
        <v>90814.24</v>
      </c>
      <c r="Q138" s="40">
        <v>85211.68</v>
      </c>
      <c r="R138" s="40">
        <f t="shared" si="1"/>
        <v>5602.5600000000122</v>
      </c>
      <c r="S138" s="15"/>
      <c r="T138" s="285"/>
      <c r="U138" s="285"/>
      <c r="V138" s="289"/>
      <c r="W138" s="289"/>
      <c r="X138" s="289"/>
      <c r="Y138" s="289"/>
      <c r="Z138" s="289"/>
      <c r="AA138" s="289"/>
      <c r="AB138" s="284"/>
    </row>
    <row r="139" spans="1:28" s="39" customFormat="1" ht="50.25" customHeight="1" x14ac:dyDescent="0.2">
      <c r="A139" s="268"/>
      <c r="B139" s="268"/>
      <c r="C139" s="121"/>
      <c r="D139" s="13" t="s">
        <v>14683</v>
      </c>
      <c r="E139" s="289" t="s">
        <v>15098</v>
      </c>
      <c r="F139" s="13" t="s">
        <v>15101</v>
      </c>
      <c r="G139" s="285" t="s">
        <v>15102</v>
      </c>
      <c r="H139" s="589" t="s">
        <v>14825</v>
      </c>
      <c r="I139" s="597"/>
      <c r="J139" s="595"/>
      <c r="K139" s="598"/>
      <c r="L139" s="633"/>
      <c r="M139" s="596"/>
      <c r="N139" s="17">
        <v>210</v>
      </c>
      <c r="O139" s="15">
        <v>39448</v>
      </c>
      <c r="P139" s="40">
        <v>16679.060000000001</v>
      </c>
      <c r="Q139" s="40">
        <v>15650.18</v>
      </c>
      <c r="R139" s="40">
        <f t="shared" si="1"/>
        <v>1028.880000000001</v>
      </c>
      <c r="S139" s="15"/>
      <c r="T139" s="285"/>
      <c r="U139" s="285"/>
      <c r="V139" s="289"/>
      <c r="W139" s="289"/>
      <c r="X139" s="289"/>
      <c r="Y139" s="289"/>
      <c r="Z139" s="289"/>
      <c r="AA139" s="289"/>
      <c r="AB139" s="284"/>
    </row>
    <row r="140" spans="1:28" s="39" customFormat="1" ht="75" customHeight="1" x14ac:dyDescent="0.2">
      <c r="A140" s="268"/>
      <c r="B140" s="268"/>
      <c r="C140" s="121"/>
      <c r="D140" s="13" t="s">
        <v>14683</v>
      </c>
      <c r="E140" s="289" t="s">
        <v>14684</v>
      </c>
      <c r="F140" s="13" t="s">
        <v>15103</v>
      </c>
      <c r="G140" s="285" t="s">
        <v>15104</v>
      </c>
      <c r="H140" s="589" t="s">
        <v>14825</v>
      </c>
      <c r="I140" s="597"/>
      <c r="J140" s="595"/>
      <c r="K140" s="598"/>
      <c r="L140" s="633"/>
      <c r="M140" s="596"/>
      <c r="N140" s="17">
        <v>820</v>
      </c>
      <c r="O140" s="15">
        <v>39448</v>
      </c>
      <c r="P140" s="40">
        <v>193867.02</v>
      </c>
      <c r="Q140" s="40">
        <v>180098.02</v>
      </c>
      <c r="R140" s="40">
        <f t="shared" si="1"/>
        <v>13769</v>
      </c>
      <c r="S140" s="15"/>
      <c r="T140" s="285"/>
      <c r="U140" s="285"/>
      <c r="V140" s="289"/>
      <c r="W140" s="289"/>
      <c r="X140" s="289"/>
      <c r="Y140" s="289"/>
      <c r="Z140" s="289"/>
      <c r="AA140" s="289"/>
      <c r="AB140" s="284"/>
    </row>
    <row r="141" spans="1:28" s="39" customFormat="1" ht="49.5" customHeight="1" x14ac:dyDescent="0.2">
      <c r="A141" s="268"/>
      <c r="B141" s="268"/>
      <c r="C141" s="121"/>
      <c r="D141" s="13" t="s">
        <v>14683</v>
      </c>
      <c r="E141" s="289" t="s">
        <v>14684</v>
      </c>
      <c r="F141" s="13" t="s">
        <v>15105</v>
      </c>
      <c r="G141" s="285" t="s">
        <v>15106</v>
      </c>
      <c r="H141" s="589" t="s">
        <v>14825</v>
      </c>
      <c r="I141" s="597"/>
      <c r="J141" s="595"/>
      <c r="K141" s="598"/>
      <c r="L141" s="633"/>
      <c r="M141" s="596"/>
      <c r="N141" s="17">
        <v>160</v>
      </c>
      <c r="O141" s="15">
        <v>39448</v>
      </c>
      <c r="P141" s="40">
        <v>59676.38</v>
      </c>
      <c r="Q141" s="40">
        <v>55438.7</v>
      </c>
      <c r="R141" s="40">
        <f t="shared" si="1"/>
        <v>4237.68</v>
      </c>
      <c r="S141" s="15"/>
      <c r="T141" s="285"/>
      <c r="U141" s="285"/>
      <c r="V141" s="289"/>
      <c r="W141" s="289"/>
      <c r="X141" s="289"/>
      <c r="Y141" s="289"/>
      <c r="Z141" s="289"/>
      <c r="AA141" s="289"/>
      <c r="AB141" s="284"/>
    </row>
    <row r="142" spans="1:28" s="39" customFormat="1" ht="50.25" customHeight="1" x14ac:dyDescent="0.2">
      <c r="A142" s="268"/>
      <c r="B142" s="268"/>
      <c r="C142" s="121"/>
      <c r="D142" s="13" t="s">
        <v>14683</v>
      </c>
      <c r="E142" s="289" t="s">
        <v>15107</v>
      </c>
      <c r="F142" s="13" t="s">
        <v>15108</v>
      </c>
      <c r="G142" s="285" t="s">
        <v>15109</v>
      </c>
      <c r="H142" s="589" t="s">
        <v>14825</v>
      </c>
      <c r="I142" s="597"/>
      <c r="J142" s="595"/>
      <c r="K142" s="598"/>
      <c r="L142" s="633"/>
      <c r="M142" s="596"/>
      <c r="N142" s="17">
        <v>220</v>
      </c>
      <c r="O142" s="15">
        <v>39448</v>
      </c>
      <c r="P142" s="40">
        <v>55495.79</v>
      </c>
      <c r="Q142" s="40">
        <v>51036.91</v>
      </c>
      <c r="R142" s="40">
        <f t="shared" si="1"/>
        <v>4458.8799999999974</v>
      </c>
      <c r="S142" s="15"/>
      <c r="T142" s="285"/>
      <c r="U142" s="285"/>
      <c r="V142" s="289"/>
      <c r="W142" s="289"/>
      <c r="X142" s="289"/>
      <c r="Y142" s="289"/>
      <c r="Z142" s="289"/>
      <c r="AA142" s="289"/>
      <c r="AB142" s="284"/>
    </row>
    <row r="143" spans="1:28" s="39" customFormat="1" ht="76.5" customHeight="1" x14ac:dyDescent="0.2">
      <c r="A143" s="268"/>
      <c r="B143" s="268"/>
      <c r="C143" s="121"/>
      <c r="D143" s="13" t="s">
        <v>14683</v>
      </c>
      <c r="E143" s="289" t="s">
        <v>15110</v>
      </c>
      <c r="F143" s="13" t="s">
        <v>15111</v>
      </c>
      <c r="G143" s="285" t="s">
        <v>15112</v>
      </c>
      <c r="H143" s="589" t="s">
        <v>14825</v>
      </c>
      <c r="I143" s="597"/>
      <c r="J143" s="595"/>
      <c r="K143" s="598"/>
      <c r="L143" s="633"/>
      <c r="M143" s="596"/>
      <c r="N143" s="17">
        <v>410</v>
      </c>
      <c r="O143" s="15">
        <v>39448</v>
      </c>
      <c r="P143" s="40">
        <v>529151.31999999995</v>
      </c>
      <c r="Q143" s="40">
        <v>466662.2</v>
      </c>
      <c r="R143" s="40">
        <f t="shared" si="1"/>
        <v>62489.119999999937</v>
      </c>
      <c r="S143" s="15"/>
      <c r="T143" s="285"/>
      <c r="U143" s="285"/>
      <c r="V143" s="289"/>
      <c r="W143" s="289"/>
      <c r="X143" s="289"/>
      <c r="Y143" s="289"/>
      <c r="Z143" s="289"/>
      <c r="AA143" s="289"/>
      <c r="AB143" s="284"/>
    </row>
    <row r="144" spans="1:28" s="39" customFormat="1" ht="87.75" customHeight="1" x14ac:dyDescent="0.2">
      <c r="A144" s="268"/>
      <c r="B144" s="268"/>
      <c r="C144" s="121"/>
      <c r="D144" s="13" t="s">
        <v>14683</v>
      </c>
      <c r="E144" s="289" t="s">
        <v>14837</v>
      </c>
      <c r="F144" s="13" t="s">
        <v>15113</v>
      </c>
      <c r="G144" s="285" t="s">
        <v>15114</v>
      </c>
      <c r="H144" s="589" t="s">
        <v>14825</v>
      </c>
      <c r="I144" s="597"/>
      <c r="J144" s="595"/>
      <c r="K144" s="598"/>
      <c r="L144" s="633"/>
      <c r="M144" s="596"/>
      <c r="N144" s="17">
        <v>1400</v>
      </c>
      <c r="O144" s="15">
        <v>39448</v>
      </c>
      <c r="P144" s="40">
        <v>332075.21000000002</v>
      </c>
      <c r="Q144" s="40">
        <v>287290.49</v>
      </c>
      <c r="R144" s="40">
        <f t="shared" si="1"/>
        <v>44784.72000000003</v>
      </c>
      <c r="S144" s="15"/>
      <c r="T144" s="285"/>
      <c r="U144" s="285"/>
      <c r="V144" s="289"/>
      <c r="W144" s="289"/>
      <c r="X144" s="289"/>
      <c r="Y144" s="289"/>
      <c r="Z144" s="289"/>
      <c r="AA144" s="289"/>
      <c r="AB144" s="284"/>
    </row>
    <row r="145" spans="1:28" s="39" customFormat="1" ht="96.75" customHeight="1" x14ac:dyDescent="0.2">
      <c r="A145" s="268"/>
      <c r="B145" s="268"/>
      <c r="C145" s="121"/>
      <c r="D145" s="13" t="s">
        <v>15071</v>
      </c>
      <c r="E145" s="289" t="s">
        <v>15115</v>
      </c>
      <c r="F145" s="13" t="s">
        <v>15116</v>
      </c>
      <c r="G145" s="285" t="s">
        <v>15117</v>
      </c>
      <c r="H145" s="589" t="s">
        <v>14825</v>
      </c>
      <c r="I145" s="597"/>
      <c r="J145" s="595"/>
      <c r="K145" s="598"/>
      <c r="L145" s="633"/>
      <c r="M145" s="596"/>
      <c r="N145" s="17">
        <v>3020</v>
      </c>
      <c r="O145" s="15">
        <v>39448</v>
      </c>
      <c r="P145" s="40">
        <v>147.24</v>
      </c>
      <c r="Q145" s="40">
        <v>147.24</v>
      </c>
      <c r="R145" s="40">
        <v>0</v>
      </c>
      <c r="S145" s="15"/>
      <c r="T145" s="285"/>
      <c r="U145" s="285"/>
      <c r="V145" s="289"/>
      <c r="W145" s="289"/>
      <c r="X145" s="289"/>
      <c r="Y145" s="289"/>
      <c r="Z145" s="289"/>
      <c r="AA145" s="289"/>
      <c r="AB145" s="284"/>
    </row>
    <row r="146" spans="1:28" s="39" customFormat="1" ht="99" customHeight="1" x14ac:dyDescent="0.2">
      <c r="A146" s="268"/>
      <c r="B146" s="268"/>
      <c r="C146" s="121"/>
      <c r="D146" s="13" t="s">
        <v>15118</v>
      </c>
      <c r="E146" s="289" t="s">
        <v>6286</v>
      </c>
      <c r="F146" s="13" t="s">
        <v>15119</v>
      </c>
      <c r="G146" s="285" t="s">
        <v>15120</v>
      </c>
      <c r="H146" s="589" t="s">
        <v>14825</v>
      </c>
      <c r="I146" s="597"/>
      <c r="J146" s="595"/>
      <c r="K146" s="598"/>
      <c r="L146" s="633"/>
      <c r="M146" s="596"/>
      <c r="N146" s="17">
        <v>4450</v>
      </c>
      <c r="O146" s="15">
        <v>39448</v>
      </c>
      <c r="P146" s="40">
        <v>81734.19</v>
      </c>
      <c r="Q146" s="40">
        <v>66296.27</v>
      </c>
      <c r="R146" s="40">
        <f>P146-Q146</f>
        <v>15437.919999999998</v>
      </c>
      <c r="S146" s="15"/>
      <c r="T146" s="285"/>
      <c r="U146" s="285"/>
      <c r="V146" s="289"/>
      <c r="W146" s="289"/>
      <c r="X146" s="289"/>
      <c r="Y146" s="289"/>
      <c r="Z146" s="289"/>
      <c r="AA146" s="289"/>
      <c r="AB146" s="284"/>
    </row>
    <row r="147" spans="1:28" s="39" customFormat="1" ht="44.25" customHeight="1" x14ac:dyDescent="0.2">
      <c r="A147" s="268"/>
      <c r="B147" s="268"/>
      <c r="C147" s="121"/>
      <c r="D147" s="13" t="s">
        <v>15071</v>
      </c>
      <c r="E147" s="289" t="s">
        <v>5360</v>
      </c>
      <c r="F147" s="13" t="s">
        <v>15121</v>
      </c>
      <c r="G147" s="285" t="s">
        <v>15122</v>
      </c>
      <c r="H147" s="589" t="s">
        <v>14825</v>
      </c>
      <c r="I147" s="597"/>
      <c r="J147" s="595"/>
      <c r="K147" s="598"/>
      <c r="L147" s="633"/>
      <c r="M147" s="596"/>
      <c r="N147" s="17">
        <v>760</v>
      </c>
      <c r="O147" s="15">
        <v>39448</v>
      </c>
      <c r="P147" s="40">
        <v>100183.96</v>
      </c>
      <c r="Q147" s="40">
        <v>77972.84</v>
      </c>
      <c r="R147" s="40">
        <f>P147-Q147</f>
        <v>22211.12000000001</v>
      </c>
      <c r="S147" s="15"/>
      <c r="T147" s="285"/>
      <c r="U147" s="285"/>
      <c r="V147" s="289"/>
      <c r="W147" s="289"/>
      <c r="X147" s="289"/>
      <c r="Y147" s="289"/>
      <c r="Z147" s="289"/>
      <c r="AA147" s="289"/>
      <c r="AB147" s="284"/>
    </row>
    <row r="148" spans="1:28" s="39" customFormat="1" ht="87" customHeight="1" x14ac:dyDescent="0.2">
      <c r="A148" s="268"/>
      <c r="B148" s="268"/>
      <c r="C148" s="121"/>
      <c r="D148" s="13" t="s">
        <v>15081</v>
      </c>
      <c r="E148" s="289" t="s">
        <v>15123</v>
      </c>
      <c r="F148" s="13" t="s">
        <v>15124</v>
      </c>
      <c r="G148" s="285" t="s">
        <v>15125</v>
      </c>
      <c r="H148" s="589" t="s">
        <v>14825</v>
      </c>
      <c r="I148" s="597"/>
      <c r="J148" s="595"/>
      <c r="K148" s="598"/>
      <c r="L148" s="633"/>
      <c r="M148" s="596"/>
      <c r="N148" s="17">
        <v>4280</v>
      </c>
      <c r="O148" s="15">
        <v>39448</v>
      </c>
      <c r="P148" s="40">
        <v>98105</v>
      </c>
      <c r="Q148" s="40">
        <v>83588.28</v>
      </c>
      <c r="R148" s="40">
        <f>P148-Q148</f>
        <v>14516.720000000001</v>
      </c>
      <c r="S148" s="15"/>
      <c r="T148" s="285"/>
      <c r="U148" s="285"/>
      <c r="V148" s="289"/>
      <c r="W148" s="289"/>
      <c r="X148" s="289"/>
      <c r="Y148" s="289"/>
      <c r="Z148" s="289"/>
      <c r="AA148" s="289"/>
      <c r="AB148" s="284"/>
    </row>
    <row r="149" spans="1:28" s="39" customFormat="1" ht="39.75" customHeight="1" x14ac:dyDescent="0.2">
      <c r="A149" s="268"/>
      <c r="B149" s="268"/>
      <c r="C149" s="121"/>
      <c r="D149" s="13" t="s">
        <v>15126</v>
      </c>
      <c r="E149" s="289" t="s">
        <v>967</v>
      </c>
      <c r="F149" s="13" t="s">
        <v>15127</v>
      </c>
      <c r="G149" s="285" t="s">
        <v>15128</v>
      </c>
      <c r="H149" s="589" t="s">
        <v>14825</v>
      </c>
      <c r="I149" s="597"/>
      <c r="J149" s="595"/>
      <c r="K149" s="598"/>
      <c r="L149" s="633"/>
      <c r="M149" s="596"/>
      <c r="N149" s="17">
        <v>80</v>
      </c>
      <c r="O149" s="15">
        <v>39448</v>
      </c>
      <c r="P149" s="40">
        <v>24910.29</v>
      </c>
      <c r="Q149" s="40">
        <v>24910.29</v>
      </c>
      <c r="R149" s="40">
        <v>0</v>
      </c>
      <c r="S149" s="15"/>
      <c r="T149" s="285"/>
      <c r="U149" s="285"/>
      <c r="V149" s="289"/>
      <c r="W149" s="289"/>
      <c r="X149" s="289"/>
      <c r="Y149" s="289"/>
      <c r="Z149" s="289"/>
      <c r="AA149" s="289"/>
      <c r="AB149" s="284"/>
    </row>
    <row r="150" spans="1:28" s="39" customFormat="1" ht="165.75" customHeight="1" x14ac:dyDescent="0.2">
      <c r="A150" s="268"/>
      <c r="B150" s="268"/>
      <c r="C150" s="121"/>
      <c r="D150" s="13" t="s">
        <v>15071</v>
      </c>
      <c r="E150" s="289" t="s">
        <v>15129</v>
      </c>
      <c r="F150" s="13" t="s">
        <v>15130</v>
      </c>
      <c r="G150" s="285" t="s">
        <v>15131</v>
      </c>
      <c r="H150" s="589" t="s">
        <v>14825</v>
      </c>
      <c r="I150" s="597"/>
      <c r="J150" s="595"/>
      <c r="K150" s="598"/>
      <c r="L150" s="633"/>
      <c r="M150" s="596"/>
      <c r="N150" s="17">
        <v>9000</v>
      </c>
      <c r="O150" s="15">
        <v>39448</v>
      </c>
      <c r="P150" s="40">
        <v>47654.46</v>
      </c>
      <c r="Q150" s="40">
        <v>47086.3</v>
      </c>
      <c r="R150" s="40">
        <f>P150-Q150</f>
        <v>568.15999999999622</v>
      </c>
      <c r="S150" s="15"/>
      <c r="T150" s="285"/>
      <c r="U150" s="285"/>
      <c r="V150" s="289"/>
      <c r="W150" s="289"/>
      <c r="X150" s="289"/>
      <c r="Y150" s="289"/>
      <c r="Z150" s="289"/>
      <c r="AA150" s="289"/>
      <c r="AB150" s="284"/>
    </row>
    <row r="151" spans="1:28" s="39" customFormat="1" ht="55.5" customHeight="1" x14ac:dyDescent="0.2">
      <c r="A151" s="268"/>
      <c r="B151" s="268"/>
      <c r="C151" s="121"/>
      <c r="D151" s="13" t="s">
        <v>15071</v>
      </c>
      <c r="E151" s="289" t="s">
        <v>15129</v>
      </c>
      <c r="F151" s="13" t="s">
        <v>15132</v>
      </c>
      <c r="G151" s="285" t="s">
        <v>15133</v>
      </c>
      <c r="H151" s="589" t="s">
        <v>14825</v>
      </c>
      <c r="I151" s="597"/>
      <c r="J151" s="595"/>
      <c r="K151" s="598"/>
      <c r="L151" s="633"/>
      <c r="M151" s="596"/>
      <c r="N151" s="17">
        <v>860</v>
      </c>
      <c r="O151" s="15">
        <v>39448</v>
      </c>
      <c r="P151" s="40">
        <v>185635.8</v>
      </c>
      <c r="Q151" s="40">
        <v>183418.72</v>
      </c>
      <c r="R151" s="40">
        <f>P151-Q151</f>
        <v>2217.0799999999872</v>
      </c>
      <c r="S151" s="15"/>
      <c r="T151" s="285"/>
      <c r="U151" s="285"/>
      <c r="V151" s="289"/>
      <c r="W151" s="289"/>
      <c r="X151" s="289"/>
      <c r="Y151" s="289"/>
      <c r="Z151" s="289"/>
      <c r="AA151" s="289"/>
      <c r="AB151" s="284"/>
    </row>
    <row r="152" spans="1:28" s="39" customFormat="1" ht="54" customHeight="1" x14ac:dyDescent="0.2">
      <c r="A152" s="268"/>
      <c r="B152" s="268"/>
      <c r="C152" s="121"/>
      <c r="D152" s="13" t="s">
        <v>15071</v>
      </c>
      <c r="E152" s="289" t="s">
        <v>14684</v>
      </c>
      <c r="F152" s="13" t="s">
        <v>15134</v>
      </c>
      <c r="G152" s="285" t="s">
        <v>15135</v>
      </c>
      <c r="H152" s="589" t="s">
        <v>14825</v>
      </c>
      <c r="I152" s="597"/>
      <c r="J152" s="595"/>
      <c r="K152" s="598"/>
      <c r="L152" s="633"/>
      <c r="M152" s="596"/>
      <c r="N152" s="17">
        <v>1800</v>
      </c>
      <c r="O152" s="15">
        <v>39448</v>
      </c>
      <c r="P152" s="40">
        <v>272930.11</v>
      </c>
      <c r="Q152" s="40">
        <v>259489.59</v>
      </c>
      <c r="R152" s="40">
        <f>P152-Q152</f>
        <v>13440.51999999999</v>
      </c>
      <c r="S152" s="15"/>
      <c r="T152" s="285"/>
      <c r="U152" s="285"/>
      <c r="V152" s="289"/>
      <c r="W152" s="289"/>
      <c r="X152" s="289"/>
      <c r="Y152" s="289"/>
      <c r="Z152" s="289"/>
      <c r="AA152" s="289"/>
      <c r="AB152" s="284"/>
    </row>
    <row r="153" spans="1:28" s="39" customFormat="1" ht="51.75" customHeight="1" x14ac:dyDescent="0.2">
      <c r="A153" s="268"/>
      <c r="B153" s="268"/>
      <c r="C153" s="121"/>
      <c r="D153" s="13" t="s">
        <v>15071</v>
      </c>
      <c r="E153" s="289" t="s">
        <v>967</v>
      </c>
      <c r="F153" s="13" t="s">
        <v>15136</v>
      </c>
      <c r="G153" s="285" t="s">
        <v>15137</v>
      </c>
      <c r="H153" s="589" t="s">
        <v>14825</v>
      </c>
      <c r="I153" s="597"/>
      <c r="J153" s="595"/>
      <c r="K153" s="598"/>
      <c r="L153" s="633"/>
      <c r="M153" s="596"/>
      <c r="N153" s="17">
        <v>430</v>
      </c>
      <c r="O153" s="15">
        <v>39448</v>
      </c>
      <c r="P153" s="40">
        <v>66196.38</v>
      </c>
      <c r="Q153" s="40">
        <v>61112.34</v>
      </c>
      <c r="R153" s="40">
        <f>P153-Q153</f>
        <v>5084.0400000000081</v>
      </c>
      <c r="S153" s="15"/>
      <c r="T153" s="285"/>
      <c r="U153" s="285"/>
      <c r="V153" s="289"/>
      <c r="W153" s="289"/>
      <c r="X153" s="289"/>
      <c r="Y153" s="289"/>
      <c r="Z153" s="289"/>
      <c r="AA153" s="289"/>
      <c r="AB153" s="284"/>
    </row>
    <row r="154" spans="1:28" s="39" customFormat="1" ht="39" customHeight="1" x14ac:dyDescent="0.2">
      <c r="A154" s="268"/>
      <c r="B154" s="268"/>
      <c r="C154" s="121"/>
      <c r="D154" s="13" t="s">
        <v>14698</v>
      </c>
      <c r="E154" s="289" t="s">
        <v>15107</v>
      </c>
      <c r="F154" s="13" t="s">
        <v>15138</v>
      </c>
      <c r="G154" s="285" t="s">
        <v>15139</v>
      </c>
      <c r="H154" s="589" t="s">
        <v>14825</v>
      </c>
      <c r="I154" s="597"/>
      <c r="J154" s="595"/>
      <c r="K154" s="598"/>
      <c r="L154" s="633"/>
      <c r="M154" s="596"/>
      <c r="N154" s="17">
        <v>132</v>
      </c>
      <c r="O154" s="15">
        <v>39448</v>
      </c>
      <c r="P154" s="40">
        <v>34896.06</v>
      </c>
      <c r="Q154" s="40">
        <v>34896.06</v>
      </c>
      <c r="R154" s="40">
        <v>0</v>
      </c>
      <c r="S154" s="15"/>
      <c r="T154" s="285"/>
      <c r="U154" s="285"/>
      <c r="V154" s="289"/>
      <c r="W154" s="289"/>
      <c r="X154" s="289"/>
      <c r="Y154" s="289"/>
      <c r="Z154" s="289"/>
      <c r="AA154" s="289"/>
      <c r="AB154" s="284"/>
    </row>
    <row r="155" spans="1:28" s="39" customFormat="1" ht="41.25" customHeight="1" x14ac:dyDescent="0.2">
      <c r="A155" s="268"/>
      <c r="B155" s="268"/>
      <c r="C155" s="121"/>
      <c r="D155" s="13" t="s">
        <v>14698</v>
      </c>
      <c r="E155" s="289" t="s">
        <v>870</v>
      </c>
      <c r="F155" s="13" t="s">
        <v>15140</v>
      </c>
      <c r="G155" s="285" t="s">
        <v>15141</v>
      </c>
      <c r="H155" s="589" t="s">
        <v>14825</v>
      </c>
      <c r="I155" s="597"/>
      <c r="J155" s="595"/>
      <c r="K155" s="598"/>
      <c r="L155" s="633"/>
      <c r="M155" s="596"/>
      <c r="N155" s="17">
        <v>420</v>
      </c>
      <c r="O155" s="15">
        <v>39448</v>
      </c>
      <c r="P155" s="40">
        <v>26534.87</v>
      </c>
      <c r="Q155" s="40">
        <v>26302.71</v>
      </c>
      <c r="R155" s="40">
        <f>P155-Q155</f>
        <v>232.15999999999985</v>
      </c>
      <c r="S155" s="15"/>
      <c r="T155" s="285"/>
      <c r="U155" s="285"/>
      <c r="V155" s="289"/>
      <c r="W155" s="289"/>
      <c r="X155" s="289"/>
      <c r="Y155" s="289"/>
      <c r="Z155" s="289"/>
      <c r="AA155" s="289"/>
      <c r="AB155" s="284"/>
    </row>
    <row r="156" spans="1:28" s="39" customFormat="1" ht="40.5" customHeight="1" x14ac:dyDescent="0.2">
      <c r="A156" s="268"/>
      <c r="B156" s="268"/>
      <c r="C156" s="121"/>
      <c r="D156" s="13" t="s">
        <v>15050</v>
      </c>
      <c r="E156" s="289" t="s">
        <v>967</v>
      </c>
      <c r="F156" s="13" t="s">
        <v>15142</v>
      </c>
      <c r="G156" s="285" t="s">
        <v>15143</v>
      </c>
      <c r="H156" s="589" t="s">
        <v>14825</v>
      </c>
      <c r="I156" s="597"/>
      <c r="J156" s="595"/>
      <c r="K156" s="598"/>
      <c r="L156" s="633"/>
      <c r="M156" s="596"/>
      <c r="N156" s="17">
        <v>65</v>
      </c>
      <c r="O156" s="15">
        <v>39448</v>
      </c>
      <c r="P156" s="40">
        <v>46788.02</v>
      </c>
      <c r="Q156" s="40">
        <v>45194.82</v>
      </c>
      <c r="R156" s="40">
        <f>P156-Q156</f>
        <v>1593.1999999999971</v>
      </c>
      <c r="S156" s="15"/>
      <c r="T156" s="285"/>
      <c r="U156" s="285"/>
      <c r="V156" s="289"/>
      <c r="W156" s="289"/>
      <c r="X156" s="289"/>
      <c r="Y156" s="289"/>
      <c r="Z156" s="289"/>
      <c r="AA156" s="289"/>
      <c r="AB156" s="284"/>
    </row>
    <row r="157" spans="1:28" s="39" customFormat="1" ht="37.5" customHeight="1" x14ac:dyDescent="0.2">
      <c r="A157" s="268"/>
      <c r="B157" s="268"/>
      <c r="C157" s="121"/>
      <c r="D157" s="13" t="s">
        <v>15050</v>
      </c>
      <c r="E157" s="289" t="s">
        <v>967</v>
      </c>
      <c r="F157" s="13" t="s">
        <v>15144</v>
      </c>
      <c r="G157" s="285" t="s">
        <v>15145</v>
      </c>
      <c r="H157" s="589" t="s">
        <v>14825</v>
      </c>
      <c r="I157" s="597"/>
      <c r="J157" s="595"/>
      <c r="K157" s="598"/>
      <c r="L157" s="633"/>
      <c r="M157" s="596"/>
      <c r="N157" s="17">
        <v>80</v>
      </c>
      <c r="O157" s="15">
        <v>39448</v>
      </c>
      <c r="P157" s="40">
        <v>24910.29</v>
      </c>
      <c r="Q157" s="40">
        <v>24381.61</v>
      </c>
      <c r="R157" s="40">
        <f>P157-Q157</f>
        <v>528.68000000000029</v>
      </c>
      <c r="S157" s="15"/>
      <c r="T157" s="285"/>
      <c r="U157" s="285"/>
      <c r="V157" s="289"/>
      <c r="W157" s="289"/>
      <c r="X157" s="289"/>
      <c r="Y157" s="289"/>
      <c r="Z157" s="289"/>
      <c r="AA157" s="289"/>
      <c r="AB157" s="284"/>
    </row>
    <row r="158" spans="1:28" s="268" customFormat="1" ht="49.5" customHeight="1" x14ac:dyDescent="0.2">
      <c r="D158" s="657" t="s">
        <v>15050</v>
      </c>
      <c r="E158" s="268" t="s">
        <v>967</v>
      </c>
      <c r="F158" s="658" t="s">
        <v>15146</v>
      </c>
      <c r="G158" s="71" t="s">
        <v>15147</v>
      </c>
      <c r="H158" s="285" t="s">
        <v>14825</v>
      </c>
      <c r="I158" s="597"/>
      <c r="N158" s="410">
        <v>120</v>
      </c>
      <c r="O158" s="15">
        <v>39448</v>
      </c>
      <c r="P158" s="268">
        <v>37473.74</v>
      </c>
      <c r="Q158" s="268">
        <v>36664.339999999997</v>
      </c>
      <c r="R158" s="268">
        <f>P158-Q158</f>
        <v>809.40000000000146</v>
      </c>
      <c r="T158" s="268" t="s">
        <v>10461</v>
      </c>
      <c r="U158" s="274" t="s">
        <v>15148</v>
      </c>
      <c r="V158" s="268" t="s">
        <v>15149</v>
      </c>
      <c r="Z158" s="285"/>
      <c r="AA158" s="285"/>
    </row>
    <row r="159" spans="1:28" s="39" customFormat="1" ht="39" customHeight="1" x14ac:dyDescent="0.2">
      <c r="A159" s="268"/>
      <c r="B159" s="268"/>
      <c r="C159" s="121"/>
      <c r="D159" s="13" t="s">
        <v>15050</v>
      </c>
      <c r="E159" s="289" t="s">
        <v>15098</v>
      </c>
      <c r="F159" s="13" t="s">
        <v>15150</v>
      </c>
      <c r="G159" s="285" t="s">
        <v>15151</v>
      </c>
      <c r="H159" s="589" t="s">
        <v>14825</v>
      </c>
      <c r="I159" s="597"/>
      <c r="J159" s="595"/>
      <c r="K159" s="598"/>
      <c r="L159" s="633"/>
      <c r="M159" s="596"/>
      <c r="N159" s="17">
        <v>450</v>
      </c>
      <c r="O159" s="15">
        <v>39448</v>
      </c>
      <c r="P159" s="40">
        <v>22484.240000000002</v>
      </c>
      <c r="Q159" s="40">
        <v>22484.240000000002</v>
      </c>
      <c r="R159" s="40">
        <v>0</v>
      </c>
      <c r="S159" s="15"/>
      <c r="T159" s="285"/>
      <c r="U159" s="285"/>
      <c r="V159" s="289"/>
      <c r="W159" s="289"/>
      <c r="X159" s="289"/>
      <c r="Y159" s="289"/>
      <c r="Z159" s="289"/>
      <c r="AA159" s="289"/>
      <c r="AB159" s="284"/>
    </row>
    <row r="160" spans="1:28" s="39" customFormat="1" ht="39.75" customHeight="1" x14ac:dyDescent="0.2">
      <c r="A160" s="268"/>
      <c r="B160" s="268"/>
      <c r="C160" s="121"/>
      <c r="D160" s="13" t="s">
        <v>15050</v>
      </c>
      <c r="E160" s="289" t="s">
        <v>15152</v>
      </c>
      <c r="F160" s="13" t="s">
        <v>15153</v>
      </c>
      <c r="G160" s="285" t="s">
        <v>15154</v>
      </c>
      <c r="H160" s="589" t="s">
        <v>14825</v>
      </c>
      <c r="I160" s="597"/>
      <c r="J160" s="595"/>
      <c r="K160" s="598"/>
      <c r="L160" s="633"/>
      <c r="M160" s="596"/>
      <c r="N160" s="17">
        <v>140</v>
      </c>
      <c r="O160" s="15">
        <v>39448</v>
      </c>
      <c r="P160" s="40">
        <v>46695.92</v>
      </c>
      <c r="Q160" s="40">
        <v>45097.88</v>
      </c>
      <c r="R160" s="40">
        <f t="shared" ref="R160:R170" si="2">P160-Q160</f>
        <v>1598.0400000000009</v>
      </c>
      <c r="S160" s="15"/>
      <c r="T160" s="285"/>
      <c r="U160" s="285"/>
      <c r="V160" s="289"/>
      <c r="W160" s="289"/>
      <c r="X160" s="289"/>
      <c r="Y160" s="289"/>
      <c r="Z160" s="289"/>
      <c r="AA160" s="289"/>
      <c r="AB160" s="284"/>
    </row>
    <row r="161" spans="1:28" s="39" customFormat="1" ht="38.25" customHeight="1" x14ac:dyDescent="0.2">
      <c r="A161" s="268"/>
      <c r="B161" s="268"/>
      <c r="C161" s="121"/>
      <c r="D161" s="13" t="s">
        <v>15050</v>
      </c>
      <c r="E161" s="289" t="s">
        <v>15110</v>
      </c>
      <c r="F161" s="13" t="s">
        <v>15155</v>
      </c>
      <c r="G161" s="285" t="s">
        <v>15156</v>
      </c>
      <c r="H161" s="589" t="s">
        <v>14825</v>
      </c>
      <c r="I161" s="597"/>
      <c r="J161" s="595"/>
      <c r="K161" s="598"/>
      <c r="L161" s="633"/>
      <c r="M161" s="596"/>
      <c r="N161" s="17">
        <v>70</v>
      </c>
      <c r="O161" s="15">
        <v>39448</v>
      </c>
      <c r="P161" s="40">
        <v>73094.77</v>
      </c>
      <c r="Q161" s="40">
        <v>69683.850000000006</v>
      </c>
      <c r="R161" s="40">
        <f t="shared" si="2"/>
        <v>3410.9199999999983</v>
      </c>
      <c r="S161" s="15"/>
      <c r="T161" s="285"/>
      <c r="U161" s="285"/>
      <c r="V161" s="289"/>
      <c r="W161" s="289"/>
      <c r="X161" s="289"/>
      <c r="Y161" s="289"/>
      <c r="Z161" s="289"/>
      <c r="AA161" s="289"/>
      <c r="AB161" s="284"/>
    </row>
    <row r="162" spans="1:28" s="39" customFormat="1" ht="46.5" customHeight="1" x14ac:dyDescent="0.2">
      <c r="A162" s="268"/>
      <c r="B162" s="268"/>
      <c r="C162" s="121"/>
      <c r="D162" s="13" t="s">
        <v>15050</v>
      </c>
      <c r="E162" s="289" t="s">
        <v>15110</v>
      </c>
      <c r="F162" s="13" t="s">
        <v>15157</v>
      </c>
      <c r="G162" s="285" t="s">
        <v>15158</v>
      </c>
      <c r="H162" s="589" t="s">
        <v>14825</v>
      </c>
      <c r="I162" s="597"/>
      <c r="J162" s="595"/>
      <c r="K162" s="598"/>
      <c r="L162" s="633"/>
      <c r="M162" s="596"/>
      <c r="N162" s="17">
        <v>80</v>
      </c>
      <c r="O162" s="15">
        <v>39448</v>
      </c>
      <c r="P162" s="40">
        <v>23566.7</v>
      </c>
      <c r="Q162" s="40">
        <v>22466.06</v>
      </c>
      <c r="R162" s="40">
        <f t="shared" si="2"/>
        <v>1100.6399999999994</v>
      </c>
      <c r="S162" s="15"/>
      <c r="T162" s="285"/>
      <c r="U162" s="285"/>
      <c r="V162" s="289"/>
      <c r="W162" s="289"/>
      <c r="X162" s="289"/>
      <c r="Y162" s="289"/>
      <c r="Z162" s="289"/>
      <c r="AA162" s="289"/>
      <c r="AB162" s="284"/>
    </row>
    <row r="163" spans="1:28" s="39" customFormat="1" ht="42" customHeight="1" x14ac:dyDescent="0.2">
      <c r="A163" s="268"/>
      <c r="B163" s="268"/>
      <c r="C163" s="121"/>
      <c r="D163" s="13" t="s">
        <v>15050</v>
      </c>
      <c r="E163" s="289" t="s">
        <v>15110</v>
      </c>
      <c r="F163" s="13" t="s">
        <v>15159</v>
      </c>
      <c r="G163" s="285" t="s">
        <v>15160</v>
      </c>
      <c r="H163" s="589" t="s">
        <v>14825</v>
      </c>
      <c r="I163" s="597"/>
      <c r="J163" s="595"/>
      <c r="K163" s="598"/>
      <c r="L163" s="633"/>
      <c r="M163" s="596"/>
      <c r="N163" s="17">
        <v>85</v>
      </c>
      <c r="O163" s="15">
        <v>39448</v>
      </c>
      <c r="P163" s="40">
        <v>30393.79</v>
      </c>
      <c r="Q163" s="40">
        <v>28975.71</v>
      </c>
      <c r="R163" s="40">
        <f t="shared" si="2"/>
        <v>1418.0800000000017</v>
      </c>
      <c r="S163" s="15"/>
      <c r="T163" s="285"/>
      <c r="U163" s="285"/>
      <c r="V163" s="289"/>
      <c r="W163" s="289"/>
      <c r="X163" s="289"/>
      <c r="Y163" s="289"/>
      <c r="Z163" s="289"/>
      <c r="AA163" s="289"/>
      <c r="AB163" s="284"/>
    </row>
    <row r="164" spans="1:28" s="39" customFormat="1" ht="39.75" customHeight="1" x14ac:dyDescent="0.2">
      <c r="A164" s="268"/>
      <c r="B164" s="268"/>
      <c r="C164" s="121"/>
      <c r="D164" s="13" t="s">
        <v>15071</v>
      </c>
      <c r="E164" s="12" t="s">
        <v>15161</v>
      </c>
      <c r="F164" s="13" t="s">
        <v>15162</v>
      </c>
      <c r="G164" s="285" t="s">
        <v>15163</v>
      </c>
      <c r="H164" s="589" t="s">
        <v>14825</v>
      </c>
      <c r="I164" s="597"/>
      <c r="J164" s="595"/>
      <c r="K164" s="598"/>
      <c r="L164" s="633"/>
      <c r="M164" s="596"/>
      <c r="N164" s="17">
        <v>600</v>
      </c>
      <c r="O164" s="15">
        <v>40464</v>
      </c>
      <c r="P164" s="40">
        <v>230830.53</v>
      </c>
      <c r="Q164" s="40">
        <v>205708.83</v>
      </c>
      <c r="R164" s="40">
        <f t="shared" si="2"/>
        <v>25121.700000000012</v>
      </c>
      <c r="S164" s="15"/>
      <c r="T164" s="285" t="s">
        <v>14712</v>
      </c>
      <c r="U164" s="285">
        <v>576</v>
      </c>
      <c r="V164" s="285" t="s">
        <v>15056</v>
      </c>
      <c r="W164" s="285"/>
      <c r="X164" s="285"/>
      <c r="Y164" s="285"/>
      <c r="Z164" s="285"/>
      <c r="AA164" s="285"/>
    </row>
    <row r="165" spans="1:28" s="39" customFormat="1" ht="52.5" customHeight="1" x14ac:dyDescent="0.2">
      <c r="A165" s="268"/>
      <c r="B165" s="268"/>
      <c r="C165" s="121"/>
      <c r="D165" s="13" t="s">
        <v>15053</v>
      </c>
      <c r="E165" s="12" t="s">
        <v>4758</v>
      </c>
      <c r="F165" s="13" t="s">
        <v>15164</v>
      </c>
      <c r="G165" s="285" t="s">
        <v>15165</v>
      </c>
      <c r="H165" s="589" t="s">
        <v>14825</v>
      </c>
      <c r="I165" s="597"/>
      <c r="J165" s="595"/>
      <c r="K165" s="598"/>
      <c r="L165" s="633"/>
      <c r="M165" s="596"/>
      <c r="N165" s="17">
        <v>390</v>
      </c>
      <c r="O165" s="15">
        <v>40464</v>
      </c>
      <c r="P165" s="40">
        <v>43664.7</v>
      </c>
      <c r="Q165" s="40">
        <v>36600.42</v>
      </c>
      <c r="R165" s="40">
        <f t="shared" si="2"/>
        <v>7064.2799999999988</v>
      </c>
      <c r="S165" s="15"/>
      <c r="T165" s="285" t="s">
        <v>14712</v>
      </c>
      <c r="U165" s="285">
        <v>576</v>
      </c>
      <c r="V165" s="285" t="s">
        <v>15056</v>
      </c>
      <c r="W165" s="285"/>
      <c r="X165" s="285"/>
      <c r="Y165" s="285"/>
      <c r="Z165" s="285"/>
      <c r="AA165" s="285"/>
    </row>
    <row r="166" spans="1:28" s="39" customFormat="1" ht="71.25" customHeight="1" x14ac:dyDescent="0.2">
      <c r="A166" s="268"/>
      <c r="B166" s="268"/>
      <c r="C166" s="121"/>
      <c r="D166" s="13" t="s">
        <v>15053</v>
      </c>
      <c r="E166" s="12" t="s">
        <v>5027</v>
      </c>
      <c r="F166" s="13" t="s">
        <v>15166</v>
      </c>
      <c r="G166" s="285" t="s">
        <v>15167</v>
      </c>
      <c r="H166" s="589" t="s">
        <v>14825</v>
      </c>
      <c r="I166" s="597"/>
      <c r="J166" s="595"/>
      <c r="K166" s="598"/>
      <c r="L166" s="633"/>
      <c r="M166" s="596"/>
      <c r="N166" s="17">
        <v>75</v>
      </c>
      <c r="O166" s="15">
        <v>40464</v>
      </c>
      <c r="P166" s="40">
        <v>6834.73</v>
      </c>
      <c r="Q166" s="40">
        <v>6673.04</v>
      </c>
      <c r="R166" s="40">
        <f t="shared" si="2"/>
        <v>161.6899999999996</v>
      </c>
      <c r="S166" s="15"/>
      <c r="T166" s="285" t="s">
        <v>14712</v>
      </c>
      <c r="U166" s="285">
        <v>576</v>
      </c>
      <c r="V166" s="285" t="s">
        <v>15056</v>
      </c>
      <c r="W166" s="285"/>
      <c r="X166" s="285"/>
      <c r="Y166" s="285"/>
      <c r="Z166" s="285"/>
      <c r="AA166" s="285"/>
    </row>
    <row r="167" spans="1:28" s="39" customFormat="1" ht="73.5" customHeight="1" x14ac:dyDescent="0.2">
      <c r="A167" s="268"/>
      <c r="B167" s="268"/>
      <c r="C167" s="121"/>
      <c r="D167" s="13" t="s">
        <v>15168</v>
      </c>
      <c r="E167" s="12" t="s">
        <v>2467</v>
      </c>
      <c r="F167" s="13" t="s">
        <v>15169</v>
      </c>
      <c r="G167" s="285" t="s">
        <v>15170</v>
      </c>
      <c r="H167" s="589" t="s">
        <v>14825</v>
      </c>
      <c r="I167" s="597"/>
      <c r="J167" s="595"/>
      <c r="K167" s="598"/>
      <c r="L167" s="633"/>
      <c r="M167" s="596"/>
      <c r="N167" s="17">
        <v>70</v>
      </c>
      <c r="O167" s="15">
        <v>40464</v>
      </c>
      <c r="P167" s="40">
        <v>8278.27</v>
      </c>
      <c r="Q167" s="40">
        <v>7763.42</v>
      </c>
      <c r="R167" s="40">
        <f t="shared" si="2"/>
        <v>514.85000000000036</v>
      </c>
      <c r="S167" s="15"/>
      <c r="T167" s="285" t="s">
        <v>14712</v>
      </c>
      <c r="U167" s="285">
        <v>576</v>
      </c>
      <c r="V167" s="285" t="s">
        <v>15056</v>
      </c>
      <c r="W167" s="285"/>
      <c r="X167" s="285"/>
      <c r="Y167" s="285"/>
      <c r="Z167" s="285"/>
      <c r="AA167" s="285"/>
    </row>
    <row r="168" spans="1:28" s="39" customFormat="1" ht="57" customHeight="1" x14ac:dyDescent="0.2">
      <c r="A168" s="268"/>
      <c r="B168" s="268"/>
      <c r="C168" s="121"/>
      <c r="D168" s="13" t="s">
        <v>15168</v>
      </c>
      <c r="E168" s="12" t="s">
        <v>3274</v>
      </c>
      <c r="F168" s="13" t="s">
        <v>15171</v>
      </c>
      <c r="G168" s="285" t="s">
        <v>15172</v>
      </c>
      <c r="H168" s="589" t="s">
        <v>14825</v>
      </c>
      <c r="I168" s="597"/>
      <c r="J168" s="595"/>
      <c r="K168" s="598"/>
      <c r="L168" s="633"/>
      <c r="M168" s="596"/>
      <c r="N168" s="17">
        <v>73</v>
      </c>
      <c r="O168" s="15">
        <v>40464</v>
      </c>
      <c r="P168" s="40">
        <v>8521.74</v>
      </c>
      <c r="Q168" s="40">
        <v>8096.94</v>
      </c>
      <c r="R168" s="40">
        <f t="shared" si="2"/>
        <v>424.80000000000018</v>
      </c>
      <c r="S168" s="15"/>
      <c r="T168" s="285" t="s">
        <v>14712</v>
      </c>
      <c r="U168" s="285">
        <v>576</v>
      </c>
      <c r="V168" s="285" t="s">
        <v>15056</v>
      </c>
      <c r="W168" s="285"/>
      <c r="X168" s="285"/>
      <c r="Y168" s="285"/>
      <c r="Z168" s="285"/>
      <c r="AA168" s="285"/>
    </row>
    <row r="169" spans="1:28" s="39" customFormat="1" ht="47.25" customHeight="1" x14ac:dyDescent="0.2">
      <c r="A169" s="268"/>
      <c r="B169" s="268"/>
      <c r="C169" s="121"/>
      <c r="D169" s="13" t="s">
        <v>15168</v>
      </c>
      <c r="E169" s="12" t="s">
        <v>1823</v>
      </c>
      <c r="F169" s="13" t="s">
        <v>15173</v>
      </c>
      <c r="G169" s="285" t="s">
        <v>15174</v>
      </c>
      <c r="H169" s="589" t="s">
        <v>14825</v>
      </c>
      <c r="I169" s="597"/>
      <c r="J169" s="595"/>
      <c r="K169" s="598"/>
      <c r="L169" s="633"/>
      <c r="M169" s="596"/>
      <c r="N169" s="17">
        <v>205</v>
      </c>
      <c r="O169" s="15">
        <v>40464</v>
      </c>
      <c r="P169" s="40">
        <v>24956.54</v>
      </c>
      <c r="Q169" s="40">
        <v>23093.69</v>
      </c>
      <c r="R169" s="40">
        <f t="shared" si="2"/>
        <v>1862.8500000000022</v>
      </c>
      <c r="S169" s="15"/>
      <c r="T169" s="285" t="s">
        <v>14712</v>
      </c>
      <c r="U169" s="285">
        <v>576</v>
      </c>
      <c r="V169" s="285" t="s">
        <v>15056</v>
      </c>
      <c r="W169" s="285"/>
      <c r="X169" s="285"/>
      <c r="Y169" s="285"/>
      <c r="Z169" s="285"/>
      <c r="AA169" s="285"/>
    </row>
    <row r="170" spans="1:28" s="39" customFormat="1" ht="65.25" customHeight="1" x14ac:dyDescent="0.2">
      <c r="A170" s="268"/>
      <c r="B170" s="268"/>
      <c r="C170" s="121"/>
      <c r="D170" s="13" t="s">
        <v>15053</v>
      </c>
      <c r="E170" s="12" t="s">
        <v>2223</v>
      </c>
      <c r="F170" s="13" t="s">
        <v>15175</v>
      </c>
      <c r="G170" s="285" t="s">
        <v>15176</v>
      </c>
      <c r="H170" s="589" t="s">
        <v>14825</v>
      </c>
      <c r="I170" s="597"/>
      <c r="J170" s="595"/>
      <c r="K170" s="598"/>
      <c r="L170" s="633"/>
      <c r="M170" s="596"/>
      <c r="N170" s="17">
        <v>315</v>
      </c>
      <c r="O170" s="15">
        <v>40464</v>
      </c>
      <c r="P170" s="40">
        <v>38347.85</v>
      </c>
      <c r="Q170" s="40">
        <v>37870.42</v>
      </c>
      <c r="R170" s="40">
        <f t="shared" si="2"/>
        <v>477.43000000000029</v>
      </c>
      <c r="S170" s="15"/>
      <c r="T170" s="285" t="s">
        <v>14712</v>
      </c>
      <c r="U170" s="285">
        <v>576</v>
      </c>
      <c r="V170" s="285" t="s">
        <v>15056</v>
      </c>
      <c r="W170" s="285"/>
      <c r="X170" s="285"/>
      <c r="Y170" s="285"/>
      <c r="Z170" s="285"/>
      <c r="AA170" s="285"/>
    </row>
    <row r="171" spans="1:28" s="39" customFormat="1" ht="51.75" customHeight="1" x14ac:dyDescent="0.2">
      <c r="A171" s="268"/>
      <c r="B171" s="268"/>
      <c r="C171" s="121"/>
      <c r="D171" s="13" t="s">
        <v>15177</v>
      </c>
      <c r="E171" s="12" t="s">
        <v>2466</v>
      </c>
      <c r="F171" s="13" t="s">
        <v>15178</v>
      </c>
      <c r="G171" s="285" t="s">
        <v>15179</v>
      </c>
      <c r="H171" s="589" t="s">
        <v>14825</v>
      </c>
      <c r="I171" s="597"/>
      <c r="J171" s="595"/>
      <c r="K171" s="598"/>
      <c r="L171" s="633"/>
      <c r="M171" s="596"/>
      <c r="N171" s="17">
        <v>90</v>
      </c>
      <c r="O171" s="15">
        <v>40464</v>
      </c>
      <c r="P171" s="40">
        <v>13566.7</v>
      </c>
      <c r="Q171" s="40">
        <v>13566.7</v>
      </c>
      <c r="R171" s="40">
        <v>0</v>
      </c>
      <c r="S171" s="15"/>
      <c r="T171" s="285" t="s">
        <v>14712</v>
      </c>
      <c r="U171" s="285">
        <v>576</v>
      </c>
      <c r="V171" s="285" t="s">
        <v>15056</v>
      </c>
      <c r="W171" s="285"/>
      <c r="X171" s="285"/>
      <c r="Y171" s="285"/>
      <c r="Z171" s="285"/>
      <c r="AA171" s="285"/>
    </row>
    <row r="172" spans="1:28" s="39" customFormat="1" ht="51.75" customHeight="1" x14ac:dyDescent="0.2">
      <c r="A172" s="268"/>
      <c r="B172" s="268"/>
      <c r="C172" s="121"/>
      <c r="D172" s="13" t="s">
        <v>15180</v>
      </c>
      <c r="E172" s="12" t="s">
        <v>2203</v>
      </c>
      <c r="F172" s="13" t="s">
        <v>15181</v>
      </c>
      <c r="G172" s="285" t="s">
        <v>15182</v>
      </c>
      <c r="H172" s="589" t="s">
        <v>14825</v>
      </c>
      <c r="I172" s="597"/>
      <c r="J172" s="595"/>
      <c r="K172" s="598"/>
      <c r="L172" s="633"/>
      <c r="M172" s="596"/>
      <c r="N172" s="17">
        <v>252</v>
      </c>
      <c r="O172" s="15">
        <v>40464</v>
      </c>
      <c r="P172" s="40">
        <v>23347.96</v>
      </c>
      <c r="Q172" s="40">
        <v>23347.96</v>
      </c>
      <c r="R172" s="40">
        <v>0</v>
      </c>
      <c r="S172" s="15"/>
      <c r="T172" s="285" t="s">
        <v>14712</v>
      </c>
      <c r="U172" s="285">
        <v>576</v>
      </c>
      <c r="V172" s="285" t="s">
        <v>15056</v>
      </c>
      <c r="W172" s="285"/>
      <c r="X172" s="285"/>
      <c r="Y172" s="285"/>
      <c r="Z172" s="285"/>
      <c r="AA172" s="285"/>
    </row>
    <row r="173" spans="1:28" s="39" customFormat="1" ht="49.5" customHeight="1" x14ac:dyDescent="0.2">
      <c r="A173" s="268"/>
      <c r="B173" s="268"/>
      <c r="C173" s="121"/>
      <c r="D173" s="13" t="s">
        <v>15053</v>
      </c>
      <c r="E173" s="12" t="s">
        <v>9655</v>
      </c>
      <c r="F173" s="13" t="s">
        <v>15183</v>
      </c>
      <c r="G173" s="285" t="s">
        <v>15184</v>
      </c>
      <c r="H173" s="589" t="s">
        <v>14825</v>
      </c>
      <c r="I173" s="597"/>
      <c r="J173" s="595"/>
      <c r="K173" s="598"/>
      <c r="L173" s="633"/>
      <c r="M173" s="596"/>
      <c r="N173" s="17">
        <v>210</v>
      </c>
      <c r="O173" s="15">
        <v>40464</v>
      </c>
      <c r="P173" s="40">
        <v>30944.49</v>
      </c>
      <c r="Q173" s="40">
        <v>30944.49</v>
      </c>
      <c r="R173" s="40">
        <v>0</v>
      </c>
      <c r="S173" s="15"/>
      <c r="T173" s="285" t="s">
        <v>14712</v>
      </c>
      <c r="U173" s="285">
        <v>576</v>
      </c>
      <c r="V173" s="285" t="s">
        <v>15056</v>
      </c>
      <c r="W173" s="285"/>
      <c r="X173" s="285"/>
      <c r="Y173" s="285"/>
      <c r="Z173" s="285"/>
      <c r="AA173" s="285"/>
    </row>
    <row r="174" spans="1:28" s="39" customFormat="1" ht="49.5" customHeight="1" x14ac:dyDescent="0.2">
      <c r="A174" s="268"/>
      <c r="B174" s="268"/>
      <c r="C174" s="121"/>
      <c r="D174" s="13" t="s">
        <v>15053</v>
      </c>
      <c r="E174" s="12" t="s">
        <v>6173</v>
      </c>
      <c r="F174" s="13" t="s">
        <v>15185</v>
      </c>
      <c r="G174" s="285" t="s">
        <v>15186</v>
      </c>
      <c r="H174" s="589" t="s">
        <v>14825</v>
      </c>
      <c r="I174" s="597"/>
      <c r="J174" s="595"/>
      <c r="K174" s="598"/>
      <c r="L174" s="633"/>
      <c r="M174" s="596"/>
      <c r="N174" s="17">
        <v>208</v>
      </c>
      <c r="O174" s="15">
        <v>40464</v>
      </c>
      <c r="P174" s="40">
        <v>28944.49</v>
      </c>
      <c r="Q174" s="40">
        <v>28944.49</v>
      </c>
      <c r="R174" s="40">
        <v>0</v>
      </c>
      <c r="S174" s="15"/>
      <c r="T174" s="285" t="s">
        <v>14712</v>
      </c>
      <c r="U174" s="285">
        <v>576</v>
      </c>
      <c r="V174" s="285" t="s">
        <v>15056</v>
      </c>
      <c r="W174" s="285"/>
      <c r="X174" s="285"/>
      <c r="Y174" s="285"/>
      <c r="Z174" s="285"/>
      <c r="AA174" s="285"/>
    </row>
    <row r="175" spans="1:28" s="39" customFormat="1" ht="50.25" customHeight="1" x14ac:dyDescent="0.2">
      <c r="A175" s="268"/>
      <c r="B175" s="268"/>
      <c r="C175" s="121"/>
      <c r="D175" s="13" t="s">
        <v>15053</v>
      </c>
      <c r="E175" s="12" t="s">
        <v>2827</v>
      </c>
      <c r="F175" s="13" t="s">
        <v>15187</v>
      </c>
      <c r="G175" s="285" t="s">
        <v>15188</v>
      </c>
      <c r="H175" s="589" t="s">
        <v>14825</v>
      </c>
      <c r="I175" s="597"/>
      <c r="J175" s="595"/>
      <c r="K175" s="598"/>
      <c r="L175" s="633"/>
      <c r="M175" s="596"/>
      <c r="N175" s="17">
        <v>202</v>
      </c>
      <c r="O175" s="15">
        <v>40464</v>
      </c>
      <c r="P175" s="40">
        <v>21227.040000000001</v>
      </c>
      <c r="Q175" s="40">
        <f>P175-R175</f>
        <v>21227.040000000001</v>
      </c>
      <c r="R175" s="40">
        <v>0</v>
      </c>
      <c r="S175" s="15"/>
      <c r="T175" s="285" t="s">
        <v>14712</v>
      </c>
      <c r="U175" s="285">
        <v>576</v>
      </c>
      <c r="V175" s="285" t="s">
        <v>15056</v>
      </c>
      <c r="W175" s="285"/>
      <c r="X175" s="285"/>
      <c r="Y175" s="285"/>
      <c r="Z175" s="285"/>
      <c r="AA175" s="285"/>
    </row>
    <row r="176" spans="1:28" s="39" customFormat="1" ht="49.5" customHeight="1" x14ac:dyDescent="0.2">
      <c r="A176" s="268"/>
      <c r="B176" s="268"/>
      <c r="C176" s="121"/>
      <c r="D176" s="13" t="s">
        <v>15180</v>
      </c>
      <c r="E176" s="12" t="s">
        <v>2466</v>
      </c>
      <c r="F176" s="13" t="s">
        <v>15189</v>
      </c>
      <c r="G176" s="285" t="s">
        <v>15190</v>
      </c>
      <c r="H176" s="589" t="s">
        <v>14825</v>
      </c>
      <c r="I176" s="597"/>
      <c r="J176" s="595"/>
      <c r="K176" s="598"/>
      <c r="L176" s="633"/>
      <c r="M176" s="596"/>
      <c r="N176" s="17">
        <v>180</v>
      </c>
      <c r="O176" s="15">
        <v>40464</v>
      </c>
      <c r="P176" s="40">
        <v>17978.93</v>
      </c>
      <c r="Q176" s="40">
        <f>P176-R176</f>
        <v>17978.93</v>
      </c>
      <c r="R176" s="40">
        <v>0</v>
      </c>
      <c r="S176" s="15"/>
      <c r="T176" s="285" t="s">
        <v>14712</v>
      </c>
      <c r="U176" s="285">
        <v>576</v>
      </c>
      <c r="V176" s="285" t="s">
        <v>15056</v>
      </c>
      <c r="W176" s="285"/>
      <c r="X176" s="285"/>
      <c r="Y176" s="285"/>
      <c r="Z176" s="285"/>
      <c r="AA176" s="285"/>
    </row>
    <row r="177" spans="1:27" s="39" customFormat="1" ht="51" customHeight="1" x14ac:dyDescent="0.2">
      <c r="A177" s="268"/>
      <c r="B177" s="268"/>
      <c r="C177" s="121"/>
      <c r="D177" s="13" t="s">
        <v>15053</v>
      </c>
      <c r="E177" s="12" t="s">
        <v>6173</v>
      </c>
      <c r="F177" s="13" t="s">
        <v>15191</v>
      </c>
      <c r="G177" s="285" t="s">
        <v>15192</v>
      </c>
      <c r="H177" s="589" t="s">
        <v>14825</v>
      </c>
      <c r="I177" s="597"/>
      <c r="J177" s="595"/>
      <c r="K177" s="598"/>
      <c r="L177" s="633"/>
      <c r="M177" s="596"/>
      <c r="N177" s="17">
        <v>72</v>
      </c>
      <c r="O177" s="15">
        <v>40464</v>
      </c>
      <c r="P177" s="40">
        <v>6305.27</v>
      </c>
      <c r="Q177" s="40">
        <f>P177-R177</f>
        <v>6305.27</v>
      </c>
      <c r="R177" s="40">
        <v>0</v>
      </c>
      <c r="S177" s="15"/>
      <c r="T177" s="285" t="s">
        <v>14712</v>
      </c>
      <c r="U177" s="285">
        <v>576</v>
      </c>
      <c r="V177" s="285" t="s">
        <v>15056</v>
      </c>
      <c r="W177" s="285"/>
      <c r="X177" s="285"/>
      <c r="Y177" s="285"/>
      <c r="Z177" s="285"/>
      <c r="AA177" s="285"/>
    </row>
    <row r="178" spans="1:27" s="39" customFormat="1" ht="49.5" customHeight="1" x14ac:dyDescent="0.2">
      <c r="A178" s="268"/>
      <c r="B178" s="268"/>
      <c r="C178" s="121"/>
      <c r="D178" s="13" t="s">
        <v>15053</v>
      </c>
      <c r="E178" s="12" t="s">
        <v>9655</v>
      </c>
      <c r="F178" s="13" t="s">
        <v>15193</v>
      </c>
      <c r="G178" s="285" t="s">
        <v>15194</v>
      </c>
      <c r="H178" s="589" t="s">
        <v>14825</v>
      </c>
      <c r="I178" s="597"/>
      <c r="J178" s="595"/>
      <c r="K178" s="598"/>
      <c r="L178" s="633"/>
      <c r="M178" s="596"/>
      <c r="N178" s="17">
        <v>170</v>
      </c>
      <c r="O178" s="15">
        <v>40464</v>
      </c>
      <c r="P178" s="40">
        <v>4786.38</v>
      </c>
      <c r="Q178" s="40">
        <f>P178-R178</f>
        <v>4786.38</v>
      </c>
      <c r="R178" s="40">
        <v>0</v>
      </c>
      <c r="S178" s="15"/>
      <c r="T178" s="285" t="s">
        <v>14712</v>
      </c>
      <c r="U178" s="285">
        <v>576</v>
      </c>
      <c r="V178" s="285" t="s">
        <v>15056</v>
      </c>
      <c r="W178" s="285"/>
      <c r="X178" s="285"/>
      <c r="Y178" s="285"/>
      <c r="Z178" s="285"/>
      <c r="AA178" s="285"/>
    </row>
    <row r="179" spans="1:27" s="39" customFormat="1" ht="51" customHeight="1" x14ac:dyDescent="0.2">
      <c r="A179" s="268"/>
      <c r="B179" s="268"/>
      <c r="C179" s="121"/>
      <c r="D179" s="13" t="s">
        <v>15053</v>
      </c>
      <c r="E179" s="12" t="s">
        <v>2467</v>
      </c>
      <c r="F179" s="13" t="s">
        <v>15195</v>
      </c>
      <c r="G179" s="285" t="s">
        <v>15196</v>
      </c>
      <c r="H179" s="589" t="s">
        <v>14825</v>
      </c>
      <c r="I179" s="597"/>
      <c r="J179" s="595"/>
      <c r="K179" s="598"/>
      <c r="L179" s="633"/>
      <c r="M179" s="596"/>
      <c r="N179" s="17">
        <v>45</v>
      </c>
      <c r="O179" s="15">
        <v>40464</v>
      </c>
      <c r="P179" s="40">
        <v>6847.83</v>
      </c>
      <c r="Q179" s="40">
        <v>6421.9</v>
      </c>
      <c r="R179" s="40">
        <f>P179-Q179</f>
        <v>425.93000000000029</v>
      </c>
      <c r="S179" s="15"/>
      <c r="T179" s="285" t="s">
        <v>14712</v>
      </c>
      <c r="U179" s="285">
        <v>576</v>
      </c>
      <c r="V179" s="285" t="s">
        <v>15056</v>
      </c>
      <c r="W179" s="285"/>
      <c r="X179" s="285"/>
      <c r="Y179" s="285"/>
      <c r="Z179" s="285"/>
      <c r="AA179" s="285"/>
    </row>
    <row r="180" spans="1:27" s="39" customFormat="1" ht="51.75" customHeight="1" x14ac:dyDescent="0.2">
      <c r="A180" s="268"/>
      <c r="B180" s="268"/>
      <c r="C180" s="121"/>
      <c r="D180" s="13" t="s">
        <v>15053</v>
      </c>
      <c r="E180" s="12" t="s">
        <v>2467</v>
      </c>
      <c r="F180" s="13" t="s">
        <v>15197</v>
      </c>
      <c r="G180" s="285" t="s">
        <v>15198</v>
      </c>
      <c r="H180" s="589" t="s">
        <v>14825</v>
      </c>
      <c r="I180" s="597"/>
      <c r="J180" s="595"/>
      <c r="K180" s="598"/>
      <c r="L180" s="633"/>
      <c r="M180" s="596"/>
      <c r="N180" s="17">
        <v>45</v>
      </c>
      <c r="O180" s="15">
        <v>40464</v>
      </c>
      <c r="P180" s="40">
        <v>6847.83</v>
      </c>
      <c r="Q180" s="40">
        <v>6421.9</v>
      </c>
      <c r="R180" s="40">
        <f>P180-Q180</f>
        <v>425.93000000000029</v>
      </c>
      <c r="S180" s="15"/>
      <c r="T180" s="285" t="s">
        <v>14712</v>
      </c>
      <c r="U180" s="285">
        <v>576</v>
      </c>
      <c r="V180" s="285" t="s">
        <v>15056</v>
      </c>
      <c r="W180" s="285"/>
      <c r="X180" s="285"/>
      <c r="Y180" s="285"/>
      <c r="Z180" s="285"/>
      <c r="AA180" s="285"/>
    </row>
    <row r="181" spans="1:27" s="39" customFormat="1" ht="51" customHeight="1" x14ac:dyDescent="0.2">
      <c r="A181" s="268"/>
      <c r="B181" s="268"/>
      <c r="C181" s="121"/>
      <c r="D181" s="13" t="s">
        <v>15053</v>
      </c>
      <c r="E181" s="12" t="s">
        <v>3274</v>
      </c>
      <c r="F181" s="13" t="s">
        <v>15199</v>
      </c>
      <c r="G181" s="285" t="s">
        <v>15200</v>
      </c>
      <c r="H181" s="589" t="s">
        <v>14825</v>
      </c>
      <c r="I181" s="597"/>
      <c r="J181" s="595"/>
      <c r="K181" s="598"/>
      <c r="L181" s="633"/>
      <c r="M181" s="596"/>
      <c r="N181" s="17">
        <v>75</v>
      </c>
      <c r="O181" s="15">
        <v>40464</v>
      </c>
      <c r="P181" s="40">
        <v>9130.44</v>
      </c>
      <c r="Q181" s="40">
        <v>8448.2099999999991</v>
      </c>
      <c r="R181" s="40">
        <f>P181-Q181</f>
        <v>682.23000000000138</v>
      </c>
      <c r="S181" s="15"/>
      <c r="T181" s="285" t="s">
        <v>14712</v>
      </c>
      <c r="U181" s="285">
        <v>576</v>
      </c>
      <c r="V181" s="285" t="s">
        <v>15056</v>
      </c>
      <c r="W181" s="285"/>
      <c r="X181" s="285"/>
      <c r="Y181" s="285"/>
      <c r="Z181" s="285"/>
      <c r="AA181" s="285"/>
    </row>
    <row r="182" spans="1:27" s="39" customFormat="1" ht="46.5" customHeight="1" x14ac:dyDescent="0.2">
      <c r="A182" s="268"/>
      <c r="B182" s="268"/>
      <c r="C182" s="121"/>
      <c r="D182" s="13" t="s">
        <v>15053</v>
      </c>
      <c r="E182" s="12" t="s">
        <v>3274</v>
      </c>
      <c r="F182" s="13" t="s">
        <v>15201</v>
      </c>
      <c r="G182" s="285" t="s">
        <v>15202</v>
      </c>
      <c r="H182" s="589" t="s">
        <v>14825</v>
      </c>
      <c r="I182" s="597"/>
      <c r="J182" s="595"/>
      <c r="K182" s="598"/>
      <c r="L182" s="633"/>
      <c r="M182" s="596"/>
      <c r="N182" s="17">
        <v>75</v>
      </c>
      <c r="O182" s="15">
        <v>40464</v>
      </c>
      <c r="P182" s="40">
        <v>9130.44</v>
      </c>
      <c r="Q182" s="40">
        <v>8448.2099999999991</v>
      </c>
      <c r="R182" s="16">
        <f>P182-Q182</f>
        <v>682.23000000000138</v>
      </c>
      <c r="S182" s="15"/>
      <c r="T182" s="285" t="s">
        <v>14712</v>
      </c>
      <c r="U182" s="285">
        <v>576</v>
      </c>
      <c r="V182" s="285" t="s">
        <v>15056</v>
      </c>
      <c r="W182" s="285"/>
      <c r="X182" s="285"/>
      <c r="Y182" s="285"/>
      <c r="Z182" s="285"/>
      <c r="AA182" s="285"/>
    </row>
    <row r="183" spans="1:27" s="39" customFormat="1" ht="48" customHeight="1" x14ac:dyDescent="0.2">
      <c r="A183" s="268"/>
      <c r="B183" s="268"/>
      <c r="C183" s="121"/>
      <c r="D183" s="13" t="s">
        <v>15053</v>
      </c>
      <c r="E183" s="12" t="s">
        <v>2827</v>
      </c>
      <c r="F183" s="13" t="s">
        <v>15203</v>
      </c>
      <c r="G183" s="285" t="s">
        <v>15204</v>
      </c>
      <c r="H183" s="589" t="s">
        <v>14825</v>
      </c>
      <c r="I183" s="597"/>
      <c r="J183" s="595"/>
      <c r="K183" s="598"/>
      <c r="L183" s="633"/>
      <c r="M183" s="596"/>
      <c r="N183" s="17">
        <v>70</v>
      </c>
      <c r="O183" s="15">
        <v>40464</v>
      </c>
      <c r="P183" s="40">
        <v>13401.86</v>
      </c>
      <c r="Q183" s="40">
        <v>13401.86</v>
      </c>
      <c r="R183" s="16">
        <v>0</v>
      </c>
      <c r="S183" s="15"/>
      <c r="T183" s="285" t="s">
        <v>14712</v>
      </c>
      <c r="U183" s="285">
        <v>576</v>
      </c>
      <c r="V183" s="285" t="s">
        <v>15056</v>
      </c>
      <c r="W183" s="285"/>
      <c r="X183" s="285"/>
      <c r="Y183" s="285"/>
      <c r="Z183" s="285"/>
      <c r="AA183" s="285"/>
    </row>
    <row r="184" spans="1:27" s="39" customFormat="1" ht="52.5" customHeight="1" x14ac:dyDescent="0.2">
      <c r="A184" s="268"/>
      <c r="B184" s="268"/>
      <c r="C184" s="121"/>
      <c r="D184" s="13" t="s">
        <v>15053</v>
      </c>
      <c r="E184" s="12" t="s">
        <v>2827</v>
      </c>
      <c r="F184" s="13" t="s">
        <v>15205</v>
      </c>
      <c r="G184" s="285" t="s">
        <v>15206</v>
      </c>
      <c r="H184" s="589" t="s">
        <v>14825</v>
      </c>
      <c r="I184" s="597"/>
      <c r="J184" s="595"/>
      <c r="K184" s="598"/>
      <c r="L184" s="633"/>
      <c r="M184" s="596"/>
      <c r="N184" s="17">
        <v>250</v>
      </c>
      <c r="O184" s="15">
        <v>40464</v>
      </c>
      <c r="P184" s="40">
        <v>24552.42</v>
      </c>
      <c r="Q184" s="40">
        <v>24552.42</v>
      </c>
      <c r="R184" s="16">
        <v>0</v>
      </c>
      <c r="S184" s="15"/>
      <c r="T184" s="285" t="s">
        <v>14712</v>
      </c>
      <c r="U184" s="285">
        <v>576</v>
      </c>
      <c r="V184" s="285" t="s">
        <v>15056</v>
      </c>
      <c r="W184" s="285"/>
      <c r="X184" s="285"/>
      <c r="Y184" s="285"/>
      <c r="Z184" s="285"/>
      <c r="AA184" s="285"/>
    </row>
    <row r="185" spans="1:27" s="39" customFormat="1" ht="52.5" customHeight="1" x14ac:dyDescent="0.2">
      <c r="A185" s="268"/>
      <c r="B185" s="268"/>
      <c r="C185" s="121"/>
      <c r="D185" s="13" t="s">
        <v>15053</v>
      </c>
      <c r="E185" s="12" t="s">
        <v>5027</v>
      </c>
      <c r="F185" s="13" t="s">
        <v>15207</v>
      </c>
      <c r="G185" s="285" t="s">
        <v>15208</v>
      </c>
      <c r="H185" s="589" t="s">
        <v>14825</v>
      </c>
      <c r="I185" s="597"/>
      <c r="J185" s="595"/>
      <c r="K185" s="598"/>
      <c r="L185" s="633"/>
      <c r="M185" s="596"/>
      <c r="N185" s="17">
        <v>255</v>
      </c>
      <c r="O185" s="15">
        <v>40464</v>
      </c>
      <c r="P185" s="40">
        <v>31043.51</v>
      </c>
      <c r="Q185" s="40">
        <v>30271.23</v>
      </c>
      <c r="R185" s="16">
        <f>P185-Q185</f>
        <v>772.27999999999884</v>
      </c>
      <c r="S185" s="15"/>
      <c r="T185" s="285" t="s">
        <v>14712</v>
      </c>
      <c r="U185" s="285">
        <v>576</v>
      </c>
      <c r="V185" s="285" t="s">
        <v>15056</v>
      </c>
      <c r="W185" s="285"/>
      <c r="X185" s="285"/>
      <c r="Y185" s="285"/>
      <c r="Z185" s="285"/>
      <c r="AA185" s="285"/>
    </row>
    <row r="186" spans="1:27" s="39" customFormat="1" ht="52.5" customHeight="1" x14ac:dyDescent="0.2">
      <c r="A186" s="268"/>
      <c r="B186" s="268"/>
      <c r="C186" s="121"/>
      <c r="D186" s="13" t="s">
        <v>15053</v>
      </c>
      <c r="E186" s="12" t="s">
        <v>5027</v>
      </c>
      <c r="F186" s="13" t="s">
        <v>15209</v>
      </c>
      <c r="G186" s="285" t="s">
        <v>15210</v>
      </c>
      <c r="H186" s="589" t="s">
        <v>14825</v>
      </c>
      <c r="I186" s="597"/>
      <c r="J186" s="595"/>
      <c r="K186" s="598"/>
      <c r="L186" s="633"/>
      <c r="M186" s="596"/>
      <c r="N186" s="17">
        <v>255</v>
      </c>
      <c r="O186" s="15">
        <v>40464</v>
      </c>
      <c r="P186" s="40">
        <v>31043.51</v>
      </c>
      <c r="Q186" s="40">
        <v>30271.23</v>
      </c>
      <c r="R186" s="16">
        <f>P186-Q186</f>
        <v>772.27999999999884</v>
      </c>
      <c r="S186" s="15"/>
      <c r="T186" s="285" t="s">
        <v>14712</v>
      </c>
      <c r="U186" s="285">
        <v>576</v>
      </c>
      <c r="V186" s="285" t="s">
        <v>15056</v>
      </c>
      <c r="W186" s="285"/>
      <c r="X186" s="285"/>
      <c r="Y186" s="285"/>
      <c r="Z186" s="285"/>
      <c r="AA186" s="285"/>
    </row>
    <row r="187" spans="1:27" s="39" customFormat="1" ht="52.5" customHeight="1" x14ac:dyDescent="0.2">
      <c r="A187" s="268"/>
      <c r="B187" s="268"/>
      <c r="C187" s="121"/>
      <c r="D187" s="13" t="s">
        <v>15053</v>
      </c>
      <c r="E187" s="12" t="s">
        <v>9655</v>
      </c>
      <c r="F187" s="13" t="s">
        <v>15211</v>
      </c>
      <c r="G187" s="285" t="s">
        <v>15184</v>
      </c>
      <c r="H187" s="589" t="s">
        <v>14825</v>
      </c>
      <c r="I187" s="597"/>
      <c r="J187" s="595"/>
      <c r="K187" s="598"/>
      <c r="L187" s="633"/>
      <c r="M187" s="596"/>
      <c r="N187" s="17">
        <v>315</v>
      </c>
      <c r="O187" s="15">
        <v>40464</v>
      </c>
      <c r="P187" s="40">
        <v>30936.05</v>
      </c>
      <c r="Q187" s="40">
        <f t="shared" ref="Q187:Q214" si="3">P187-R187</f>
        <v>30936.05</v>
      </c>
      <c r="R187" s="16">
        <v>0</v>
      </c>
      <c r="S187" s="15"/>
      <c r="T187" s="285" t="s">
        <v>14712</v>
      </c>
      <c r="U187" s="285">
        <v>576</v>
      </c>
      <c r="V187" s="285" t="s">
        <v>15056</v>
      </c>
      <c r="W187" s="285"/>
      <c r="X187" s="285"/>
      <c r="Y187" s="285"/>
      <c r="Z187" s="285"/>
      <c r="AA187" s="285"/>
    </row>
    <row r="188" spans="1:27" s="39" customFormat="1" ht="52.5" customHeight="1" x14ac:dyDescent="0.2">
      <c r="A188" s="268"/>
      <c r="B188" s="268"/>
      <c r="C188" s="121"/>
      <c r="D188" s="13" t="s">
        <v>15053</v>
      </c>
      <c r="E188" s="12" t="s">
        <v>6173</v>
      </c>
      <c r="F188" s="13" t="s">
        <v>15212</v>
      </c>
      <c r="G188" s="285" t="s">
        <v>15213</v>
      </c>
      <c r="H188" s="589" t="s">
        <v>14825</v>
      </c>
      <c r="I188" s="597"/>
      <c r="J188" s="595"/>
      <c r="K188" s="598"/>
      <c r="L188" s="633"/>
      <c r="M188" s="596"/>
      <c r="N188" s="17">
        <v>163</v>
      </c>
      <c r="O188" s="15">
        <v>40464</v>
      </c>
      <c r="P188" s="40">
        <v>11207.18</v>
      </c>
      <c r="Q188" s="40">
        <f t="shared" si="3"/>
        <v>11207.18</v>
      </c>
      <c r="R188" s="16">
        <v>0</v>
      </c>
      <c r="S188" s="15"/>
      <c r="T188" s="285" t="s">
        <v>14712</v>
      </c>
      <c r="U188" s="285">
        <v>576</v>
      </c>
      <c r="V188" s="285" t="s">
        <v>15056</v>
      </c>
      <c r="W188" s="285"/>
      <c r="X188" s="285"/>
      <c r="Y188" s="285"/>
      <c r="Z188" s="285"/>
      <c r="AA188" s="285"/>
    </row>
    <row r="189" spans="1:27" s="39" customFormat="1" ht="52.5" customHeight="1" x14ac:dyDescent="0.2">
      <c r="A189" s="268"/>
      <c r="B189" s="268"/>
      <c r="C189" s="121"/>
      <c r="D189" s="13" t="s">
        <v>15053</v>
      </c>
      <c r="E189" s="12" t="s">
        <v>6173</v>
      </c>
      <c r="F189" s="13" t="s">
        <v>15214</v>
      </c>
      <c r="G189" s="285" t="s">
        <v>15215</v>
      </c>
      <c r="H189" s="589" t="s">
        <v>14825</v>
      </c>
      <c r="I189" s="597"/>
      <c r="J189" s="595"/>
      <c r="K189" s="598"/>
      <c r="L189" s="633"/>
      <c r="M189" s="596"/>
      <c r="N189" s="17">
        <v>163</v>
      </c>
      <c r="O189" s="15">
        <v>40464</v>
      </c>
      <c r="P189" s="40">
        <v>11207.18</v>
      </c>
      <c r="Q189" s="40">
        <f t="shared" si="3"/>
        <v>11207.18</v>
      </c>
      <c r="R189" s="16">
        <v>0</v>
      </c>
      <c r="S189" s="15"/>
      <c r="T189" s="285" t="s">
        <v>14712</v>
      </c>
      <c r="U189" s="285">
        <v>576</v>
      </c>
      <c r="V189" s="285" t="s">
        <v>15056</v>
      </c>
      <c r="W189" s="285"/>
      <c r="X189" s="285"/>
      <c r="Y189" s="285"/>
      <c r="Z189" s="285"/>
      <c r="AA189" s="285"/>
    </row>
    <row r="190" spans="1:27" s="39" customFormat="1" ht="50.25" customHeight="1" x14ac:dyDescent="0.2">
      <c r="A190" s="268"/>
      <c r="B190" s="268"/>
      <c r="C190" s="121"/>
      <c r="D190" s="13" t="s">
        <v>15177</v>
      </c>
      <c r="E190" s="12" t="s">
        <v>2468</v>
      </c>
      <c r="F190" s="13" t="s">
        <v>15216</v>
      </c>
      <c r="G190" s="285" t="s">
        <v>15217</v>
      </c>
      <c r="H190" s="589" t="s">
        <v>14825</v>
      </c>
      <c r="I190" s="597"/>
      <c r="J190" s="595"/>
      <c r="K190" s="598"/>
      <c r="L190" s="633"/>
      <c r="M190" s="596"/>
      <c r="N190" s="17">
        <v>85</v>
      </c>
      <c r="O190" s="15">
        <v>40464</v>
      </c>
      <c r="P190" s="40">
        <v>18736.87</v>
      </c>
      <c r="Q190" s="40">
        <f t="shared" si="3"/>
        <v>18736.87</v>
      </c>
      <c r="R190" s="16">
        <v>0</v>
      </c>
      <c r="S190" s="15"/>
      <c r="T190" s="285" t="s">
        <v>14712</v>
      </c>
      <c r="U190" s="285">
        <v>576</v>
      </c>
      <c r="V190" s="285" t="s">
        <v>15056</v>
      </c>
      <c r="W190" s="285"/>
      <c r="X190" s="285"/>
      <c r="Y190" s="285"/>
      <c r="Z190" s="285"/>
      <c r="AA190" s="285"/>
    </row>
    <row r="191" spans="1:27" s="39" customFormat="1" ht="50.25" customHeight="1" x14ac:dyDescent="0.2">
      <c r="A191" s="268"/>
      <c r="B191" s="268"/>
      <c r="C191" s="121"/>
      <c r="D191" s="13" t="s">
        <v>15177</v>
      </c>
      <c r="E191" s="12" t="s">
        <v>14776</v>
      </c>
      <c r="F191" s="13" t="s">
        <v>15218</v>
      </c>
      <c r="G191" s="285" t="s">
        <v>15219</v>
      </c>
      <c r="H191" s="589" t="s">
        <v>14825</v>
      </c>
      <c r="I191" s="597"/>
      <c r="J191" s="595"/>
      <c r="K191" s="598"/>
      <c r="L191" s="633"/>
      <c r="M191" s="596"/>
      <c r="N191" s="17">
        <v>83</v>
      </c>
      <c r="O191" s="15">
        <v>40464</v>
      </c>
      <c r="P191" s="40">
        <v>3217.57</v>
      </c>
      <c r="Q191" s="40">
        <f t="shared" si="3"/>
        <v>3217.57</v>
      </c>
      <c r="R191" s="16">
        <v>0</v>
      </c>
      <c r="S191" s="15"/>
      <c r="T191" s="285" t="s">
        <v>14712</v>
      </c>
      <c r="U191" s="285">
        <v>576</v>
      </c>
      <c r="V191" s="285" t="s">
        <v>15056</v>
      </c>
      <c r="W191" s="285"/>
      <c r="X191" s="285"/>
      <c r="Y191" s="285"/>
      <c r="Z191" s="285"/>
      <c r="AA191" s="285"/>
    </row>
    <row r="192" spans="1:27" s="39" customFormat="1" ht="50.25" customHeight="1" x14ac:dyDescent="0.2">
      <c r="A192" s="268"/>
      <c r="B192" s="268"/>
      <c r="C192" s="121"/>
      <c r="D192" s="13" t="s">
        <v>15177</v>
      </c>
      <c r="E192" s="12" t="s">
        <v>14776</v>
      </c>
      <c r="F192" s="13" t="s">
        <v>15220</v>
      </c>
      <c r="G192" s="285" t="s">
        <v>15221</v>
      </c>
      <c r="H192" s="589" t="s">
        <v>14825</v>
      </c>
      <c r="I192" s="597"/>
      <c r="J192" s="595"/>
      <c r="K192" s="598"/>
      <c r="L192" s="633"/>
      <c r="M192" s="596"/>
      <c r="N192" s="17">
        <v>83</v>
      </c>
      <c r="O192" s="15">
        <v>40464</v>
      </c>
      <c r="P192" s="40">
        <v>3217.57</v>
      </c>
      <c r="Q192" s="40">
        <f t="shared" si="3"/>
        <v>3217.57</v>
      </c>
      <c r="R192" s="16">
        <v>0</v>
      </c>
      <c r="S192" s="15"/>
      <c r="T192" s="285" t="s">
        <v>14712</v>
      </c>
      <c r="U192" s="285">
        <v>576</v>
      </c>
      <c r="V192" s="285" t="s">
        <v>15056</v>
      </c>
      <c r="W192" s="285"/>
      <c r="X192" s="285"/>
      <c r="Y192" s="285"/>
      <c r="Z192" s="285"/>
      <c r="AA192" s="285"/>
    </row>
    <row r="193" spans="1:27" s="39" customFormat="1" ht="50.25" customHeight="1" x14ac:dyDescent="0.2">
      <c r="A193" s="268"/>
      <c r="B193" s="268"/>
      <c r="C193" s="121"/>
      <c r="D193" s="13" t="s">
        <v>15177</v>
      </c>
      <c r="E193" s="12" t="s">
        <v>15222</v>
      </c>
      <c r="F193" s="13" t="s">
        <v>15223</v>
      </c>
      <c r="G193" s="285" t="s">
        <v>15224</v>
      </c>
      <c r="H193" s="589" t="s">
        <v>14825</v>
      </c>
      <c r="I193" s="597"/>
      <c r="J193" s="595"/>
      <c r="K193" s="598"/>
      <c r="L193" s="633"/>
      <c r="M193" s="596"/>
      <c r="N193" s="17">
        <v>65</v>
      </c>
      <c r="O193" s="15">
        <v>40464</v>
      </c>
      <c r="P193" s="40">
        <v>2141.2800000000002</v>
      </c>
      <c r="Q193" s="40">
        <f t="shared" si="3"/>
        <v>2141.2800000000002</v>
      </c>
      <c r="R193" s="16">
        <v>0</v>
      </c>
      <c r="S193" s="15"/>
      <c r="T193" s="285" t="s">
        <v>14712</v>
      </c>
      <c r="U193" s="285">
        <v>576</v>
      </c>
      <c r="V193" s="285" t="s">
        <v>15056</v>
      </c>
      <c r="W193" s="285"/>
      <c r="X193" s="285"/>
      <c r="Y193" s="285"/>
      <c r="Z193" s="285"/>
      <c r="AA193" s="285"/>
    </row>
    <row r="194" spans="1:27" s="39" customFormat="1" ht="50.25" customHeight="1" x14ac:dyDescent="0.2">
      <c r="A194" s="268"/>
      <c r="B194" s="268"/>
      <c r="C194" s="121"/>
      <c r="D194" s="13" t="s">
        <v>15225</v>
      </c>
      <c r="E194" s="22" t="s">
        <v>15226</v>
      </c>
      <c r="F194" s="13" t="s">
        <v>15227</v>
      </c>
      <c r="G194" s="285" t="s">
        <v>15228</v>
      </c>
      <c r="H194" s="589" t="s">
        <v>14825</v>
      </c>
      <c r="I194" s="597"/>
      <c r="J194" s="595"/>
      <c r="K194" s="598"/>
      <c r="L194" s="633"/>
      <c r="M194" s="596"/>
      <c r="N194" s="17">
        <v>60</v>
      </c>
      <c r="O194" s="15">
        <v>40464</v>
      </c>
      <c r="P194" s="40">
        <v>1818.63</v>
      </c>
      <c r="Q194" s="40">
        <f t="shared" si="3"/>
        <v>1818.63</v>
      </c>
      <c r="R194" s="16">
        <v>0</v>
      </c>
      <c r="S194" s="15"/>
      <c r="T194" s="285" t="s">
        <v>14712</v>
      </c>
      <c r="U194" s="285">
        <v>576</v>
      </c>
      <c r="V194" s="285" t="s">
        <v>15056</v>
      </c>
      <c r="W194" s="285"/>
      <c r="X194" s="285"/>
      <c r="Y194" s="285"/>
      <c r="Z194" s="285"/>
      <c r="AA194" s="285"/>
    </row>
    <row r="195" spans="1:27" s="39" customFormat="1" ht="50.25" customHeight="1" x14ac:dyDescent="0.2">
      <c r="A195" s="268"/>
      <c r="B195" s="268"/>
      <c r="C195" s="121"/>
      <c r="D195" s="13" t="s">
        <v>15229</v>
      </c>
      <c r="E195" s="22" t="s">
        <v>13406</v>
      </c>
      <c r="F195" s="13" t="s">
        <v>15230</v>
      </c>
      <c r="G195" s="285" t="s">
        <v>15231</v>
      </c>
      <c r="H195" s="589" t="s">
        <v>14825</v>
      </c>
      <c r="I195" s="597"/>
      <c r="J195" s="595"/>
      <c r="K195" s="598"/>
      <c r="L195" s="633"/>
      <c r="M195" s="596"/>
      <c r="N195" s="17">
        <v>85</v>
      </c>
      <c r="O195" s="15">
        <v>40464</v>
      </c>
      <c r="P195" s="40">
        <v>2800.14</v>
      </c>
      <c r="Q195" s="40">
        <f t="shared" si="3"/>
        <v>2800.14</v>
      </c>
      <c r="R195" s="16">
        <v>0</v>
      </c>
      <c r="S195" s="15"/>
      <c r="T195" s="285" t="s">
        <v>14712</v>
      </c>
      <c r="U195" s="285">
        <v>576</v>
      </c>
      <c r="V195" s="285" t="s">
        <v>15056</v>
      </c>
      <c r="W195" s="285"/>
      <c r="X195" s="285"/>
      <c r="Y195" s="285"/>
      <c r="Z195" s="285"/>
      <c r="AA195" s="285"/>
    </row>
    <row r="196" spans="1:27" s="39" customFormat="1" ht="50.25" customHeight="1" x14ac:dyDescent="0.2">
      <c r="A196" s="268"/>
      <c r="B196" s="268"/>
      <c r="C196" s="121"/>
      <c r="D196" s="13" t="s">
        <v>15229</v>
      </c>
      <c r="E196" s="22" t="s">
        <v>15232</v>
      </c>
      <c r="F196" s="13" t="s">
        <v>15233</v>
      </c>
      <c r="G196" s="285" t="s">
        <v>15234</v>
      </c>
      <c r="H196" s="589" t="s">
        <v>14825</v>
      </c>
      <c r="I196" s="597"/>
      <c r="J196" s="595"/>
      <c r="K196" s="598"/>
      <c r="L196" s="633"/>
      <c r="M196" s="596"/>
      <c r="N196" s="17">
        <v>25</v>
      </c>
      <c r="O196" s="15">
        <v>40464</v>
      </c>
      <c r="P196" s="40">
        <v>887.45</v>
      </c>
      <c r="Q196" s="40">
        <f t="shared" si="3"/>
        <v>887.45</v>
      </c>
      <c r="R196" s="16">
        <v>0</v>
      </c>
      <c r="S196" s="15"/>
      <c r="T196" s="285" t="s">
        <v>14712</v>
      </c>
      <c r="U196" s="285">
        <v>576</v>
      </c>
      <c r="V196" s="285" t="s">
        <v>15056</v>
      </c>
      <c r="W196" s="285"/>
      <c r="X196" s="285"/>
      <c r="Y196" s="285"/>
      <c r="Z196" s="285"/>
      <c r="AA196" s="285"/>
    </row>
    <row r="197" spans="1:27" s="39" customFormat="1" ht="50.25" customHeight="1" x14ac:dyDescent="0.2">
      <c r="A197" s="268"/>
      <c r="B197" s="268"/>
      <c r="C197" s="121"/>
      <c r="D197" s="13" t="s">
        <v>15235</v>
      </c>
      <c r="E197" s="22" t="s">
        <v>13701</v>
      </c>
      <c r="F197" s="13" t="s">
        <v>15236</v>
      </c>
      <c r="G197" s="285" t="s">
        <v>15237</v>
      </c>
      <c r="H197" s="589" t="s">
        <v>14825</v>
      </c>
      <c r="I197" s="597"/>
      <c r="J197" s="595"/>
      <c r="K197" s="598"/>
      <c r="L197" s="633"/>
      <c r="M197" s="596"/>
      <c r="N197" s="17">
        <v>75</v>
      </c>
      <c r="O197" s="15">
        <v>40464</v>
      </c>
      <c r="P197" s="40">
        <v>730.28</v>
      </c>
      <c r="Q197" s="40">
        <f t="shared" si="3"/>
        <v>730.28</v>
      </c>
      <c r="R197" s="16">
        <v>0</v>
      </c>
      <c r="S197" s="15"/>
      <c r="T197" s="285" t="s">
        <v>14712</v>
      </c>
      <c r="U197" s="285">
        <v>576</v>
      </c>
      <c r="V197" s="285" t="s">
        <v>15056</v>
      </c>
      <c r="W197" s="285"/>
      <c r="X197" s="285"/>
      <c r="Y197" s="285"/>
      <c r="Z197" s="285"/>
      <c r="AA197" s="285"/>
    </row>
    <row r="198" spans="1:27" s="39" customFormat="1" ht="50.25" customHeight="1" x14ac:dyDescent="0.2">
      <c r="A198" s="268"/>
      <c r="B198" s="268"/>
      <c r="C198" s="121"/>
      <c r="D198" s="13" t="s">
        <v>15177</v>
      </c>
      <c r="E198" s="22" t="s">
        <v>14787</v>
      </c>
      <c r="F198" s="13" t="s">
        <v>15238</v>
      </c>
      <c r="G198" s="285" t="s">
        <v>15239</v>
      </c>
      <c r="H198" s="589" t="s">
        <v>14825</v>
      </c>
      <c r="I198" s="597"/>
      <c r="J198" s="595"/>
      <c r="K198" s="598"/>
      <c r="L198" s="633"/>
      <c r="M198" s="596"/>
      <c r="N198" s="17">
        <v>225</v>
      </c>
      <c r="O198" s="15">
        <v>40464</v>
      </c>
      <c r="P198" s="40">
        <v>2458.12</v>
      </c>
      <c r="Q198" s="40">
        <f t="shared" si="3"/>
        <v>2458.12</v>
      </c>
      <c r="R198" s="16">
        <v>0</v>
      </c>
      <c r="S198" s="15"/>
      <c r="T198" s="285" t="s">
        <v>14712</v>
      </c>
      <c r="U198" s="285">
        <v>576</v>
      </c>
      <c r="V198" s="285" t="s">
        <v>15056</v>
      </c>
      <c r="W198" s="285"/>
      <c r="X198" s="285"/>
      <c r="Y198" s="285"/>
      <c r="Z198" s="285"/>
      <c r="AA198" s="285"/>
    </row>
    <row r="199" spans="1:27" s="39" customFormat="1" ht="51" customHeight="1" x14ac:dyDescent="0.2">
      <c r="A199" s="268"/>
      <c r="B199" s="268"/>
      <c r="C199" s="121"/>
      <c r="D199" s="13" t="s">
        <v>15053</v>
      </c>
      <c r="E199" s="22" t="s">
        <v>14787</v>
      </c>
      <c r="F199" s="13" t="s">
        <v>15240</v>
      </c>
      <c r="G199" s="285" t="s">
        <v>15241</v>
      </c>
      <c r="H199" s="589" t="s">
        <v>14825</v>
      </c>
      <c r="I199" s="597"/>
      <c r="J199" s="595"/>
      <c r="K199" s="598"/>
      <c r="L199" s="633"/>
      <c r="M199" s="596"/>
      <c r="N199" s="17">
        <v>90</v>
      </c>
      <c r="O199" s="15">
        <v>40464</v>
      </c>
      <c r="P199" s="40">
        <v>893.86</v>
      </c>
      <c r="Q199" s="40">
        <f t="shared" si="3"/>
        <v>893.86</v>
      </c>
      <c r="R199" s="16">
        <v>0</v>
      </c>
      <c r="S199" s="15"/>
      <c r="T199" s="285" t="s">
        <v>14712</v>
      </c>
      <c r="U199" s="285">
        <v>576</v>
      </c>
      <c r="V199" s="285" t="s">
        <v>15056</v>
      </c>
      <c r="W199" s="285"/>
      <c r="X199" s="285"/>
      <c r="Y199" s="285"/>
      <c r="Z199" s="285"/>
      <c r="AA199" s="285"/>
    </row>
    <row r="200" spans="1:27" s="39" customFormat="1" ht="51" customHeight="1" x14ac:dyDescent="0.2">
      <c r="A200" s="268"/>
      <c r="B200" s="268"/>
      <c r="C200" s="121"/>
      <c r="D200" s="13" t="s">
        <v>15053</v>
      </c>
      <c r="E200" s="22" t="s">
        <v>13546</v>
      </c>
      <c r="F200" s="13" t="s">
        <v>15242</v>
      </c>
      <c r="G200" s="285" t="s">
        <v>15243</v>
      </c>
      <c r="H200" s="589" t="s">
        <v>14825</v>
      </c>
      <c r="I200" s="597"/>
      <c r="J200" s="595"/>
      <c r="K200" s="598"/>
      <c r="L200" s="633"/>
      <c r="M200" s="596"/>
      <c r="N200" s="17">
        <v>55</v>
      </c>
      <c r="O200" s="15">
        <v>40464</v>
      </c>
      <c r="P200" s="40">
        <v>498.49</v>
      </c>
      <c r="Q200" s="40">
        <f t="shared" si="3"/>
        <v>498.49</v>
      </c>
      <c r="R200" s="16">
        <v>0</v>
      </c>
      <c r="S200" s="15"/>
      <c r="T200" s="285" t="s">
        <v>14712</v>
      </c>
      <c r="U200" s="285">
        <v>576</v>
      </c>
      <c r="V200" s="285" t="s">
        <v>15056</v>
      </c>
      <c r="W200" s="285"/>
      <c r="X200" s="285"/>
      <c r="Y200" s="285"/>
      <c r="Z200" s="285"/>
      <c r="AA200" s="285"/>
    </row>
    <row r="201" spans="1:27" s="39" customFormat="1" ht="42" customHeight="1" x14ac:dyDescent="0.2">
      <c r="A201" s="268"/>
      <c r="B201" s="268"/>
      <c r="C201" s="121"/>
      <c r="D201" s="13" t="s">
        <v>15053</v>
      </c>
      <c r="E201" s="22" t="s">
        <v>13701</v>
      </c>
      <c r="F201" s="13" t="s">
        <v>15244</v>
      </c>
      <c r="G201" s="285" t="s">
        <v>15245</v>
      </c>
      <c r="H201" s="589" t="s">
        <v>14825</v>
      </c>
      <c r="I201" s="597"/>
      <c r="J201" s="595"/>
      <c r="K201" s="598"/>
      <c r="L201" s="633"/>
      <c r="M201" s="596"/>
      <c r="N201" s="17">
        <v>65</v>
      </c>
      <c r="O201" s="15">
        <v>40464</v>
      </c>
      <c r="P201" s="40">
        <v>632.91</v>
      </c>
      <c r="Q201" s="40">
        <f t="shared" si="3"/>
        <v>632.91</v>
      </c>
      <c r="R201" s="16">
        <v>0</v>
      </c>
      <c r="S201" s="15"/>
      <c r="T201" s="285" t="s">
        <v>14712</v>
      </c>
      <c r="U201" s="285">
        <v>576</v>
      </c>
      <c r="V201" s="285" t="s">
        <v>15056</v>
      </c>
      <c r="W201" s="285"/>
      <c r="X201" s="285"/>
      <c r="Y201" s="285"/>
      <c r="Z201" s="285"/>
      <c r="AA201" s="285"/>
    </row>
    <row r="202" spans="1:27" s="39" customFormat="1" ht="51" customHeight="1" x14ac:dyDescent="0.2">
      <c r="A202" s="268"/>
      <c r="B202" s="268"/>
      <c r="C202" s="121"/>
      <c r="D202" s="13" t="s">
        <v>15053</v>
      </c>
      <c r="E202" s="22" t="s">
        <v>13546</v>
      </c>
      <c r="F202" s="13" t="s">
        <v>15246</v>
      </c>
      <c r="G202" s="285" t="s">
        <v>15247</v>
      </c>
      <c r="H202" s="589" t="s">
        <v>14825</v>
      </c>
      <c r="I202" s="597"/>
      <c r="J202" s="595"/>
      <c r="K202" s="598"/>
      <c r="L202" s="633"/>
      <c r="M202" s="596"/>
      <c r="N202" s="17">
        <v>120</v>
      </c>
      <c r="O202" s="15">
        <v>40464</v>
      </c>
      <c r="P202" s="40">
        <v>1191.81</v>
      </c>
      <c r="Q202" s="40">
        <f t="shared" si="3"/>
        <v>1191.81</v>
      </c>
      <c r="R202" s="16">
        <v>0</v>
      </c>
      <c r="S202" s="15"/>
      <c r="T202" s="285" t="s">
        <v>14712</v>
      </c>
      <c r="U202" s="285">
        <v>576</v>
      </c>
      <c r="V202" s="285" t="s">
        <v>15056</v>
      </c>
      <c r="W202" s="285"/>
      <c r="X202" s="285"/>
      <c r="Y202" s="285"/>
      <c r="Z202" s="285"/>
      <c r="AA202" s="285"/>
    </row>
    <row r="203" spans="1:27" s="39" customFormat="1" ht="41.25" customHeight="1" x14ac:dyDescent="0.2">
      <c r="A203" s="268"/>
      <c r="B203" s="268"/>
      <c r="C203" s="121"/>
      <c r="D203" s="13" t="s">
        <v>15177</v>
      </c>
      <c r="E203" s="22" t="s">
        <v>13371</v>
      </c>
      <c r="F203" s="13" t="s">
        <v>15248</v>
      </c>
      <c r="G203" s="285" t="s">
        <v>15249</v>
      </c>
      <c r="H203" s="589" t="s">
        <v>14825</v>
      </c>
      <c r="I203" s="597"/>
      <c r="J203" s="595"/>
      <c r="K203" s="598"/>
      <c r="L203" s="633"/>
      <c r="M203" s="596"/>
      <c r="N203" s="17">
        <v>103</v>
      </c>
      <c r="O203" s="15">
        <v>40464</v>
      </c>
      <c r="P203" s="40">
        <v>2192.3200000000002</v>
      </c>
      <c r="Q203" s="40">
        <f t="shared" si="3"/>
        <v>2192.3200000000002</v>
      </c>
      <c r="R203" s="16">
        <v>0</v>
      </c>
      <c r="S203" s="15"/>
      <c r="T203" s="285" t="s">
        <v>14712</v>
      </c>
      <c r="U203" s="285">
        <v>576</v>
      </c>
      <c r="V203" s="285" t="s">
        <v>15056</v>
      </c>
      <c r="W203" s="285"/>
      <c r="X203" s="285"/>
      <c r="Y203" s="285"/>
      <c r="Z203" s="285"/>
      <c r="AA203" s="285"/>
    </row>
    <row r="204" spans="1:27" s="39" customFormat="1" ht="51" customHeight="1" x14ac:dyDescent="0.2">
      <c r="A204" s="268"/>
      <c r="B204" s="268"/>
      <c r="C204" s="121"/>
      <c r="D204" s="13" t="s">
        <v>15177</v>
      </c>
      <c r="E204" s="22" t="s">
        <v>13676</v>
      </c>
      <c r="F204" s="13" t="s">
        <v>15250</v>
      </c>
      <c r="G204" s="285" t="s">
        <v>15251</v>
      </c>
      <c r="H204" s="589" t="s">
        <v>14825</v>
      </c>
      <c r="I204" s="597"/>
      <c r="J204" s="595"/>
      <c r="K204" s="598"/>
      <c r="L204" s="633"/>
      <c r="M204" s="596"/>
      <c r="N204" s="17">
        <v>156</v>
      </c>
      <c r="O204" s="15">
        <v>40464</v>
      </c>
      <c r="P204" s="40">
        <v>1657.81</v>
      </c>
      <c r="Q204" s="40">
        <f t="shared" si="3"/>
        <v>1657.81</v>
      </c>
      <c r="R204" s="16">
        <v>0</v>
      </c>
      <c r="S204" s="15"/>
      <c r="T204" s="285" t="s">
        <v>14712</v>
      </c>
      <c r="U204" s="285">
        <v>576</v>
      </c>
      <c r="V204" s="285" t="s">
        <v>15056</v>
      </c>
      <c r="W204" s="285"/>
      <c r="X204" s="285"/>
      <c r="Y204" s="285"/>
      <c r="Z204" s="285"/>
      <c r="AA204" s="285"/>
    </row>
    <row r="205" spans="1:27" s="39" customFormat="1" ht="51" customHeight="1" x14ac:dyDescent="0.2">
      <c r="A205" s="268"/>
      <c r="B205" s="268"/>
      <c r="C205" s="121"/>
      <c r="D205" s="13" t="s">
        <v>15177</v>
      </c>
      <c r="E205" s="22" t="s">
        <v>13728</v>
      </c>
      <c r="F205" s="13" t="s">
        <v>15252</v>
      </c>
      <c r="G205" s="285" t="s">
        <v>15253</v>
      </c>
      <c r="H205" s="589" t="s">
        <v>14825</v>
      </c>
      <c r="I205" s="597"/>
      <c r="J205" s="595"/>
      <c r="K205" s="598"/>
      <c r="L205" s="633"/>
      <c r="M205" s="596"/>
      <c r="N205" s="17">
        <v>260</v>
      </c>
      <c r="O205" s="15">
        <v>40464</v>
      </c>
      <c r="P205" s="40">
        <v>2790.64</v>
      </c>
      <c r="Q205" s="40">
        <f t="shared" si="3"/>
        <v>2790.64</v>
      </c>
      <c r="R205" s="16">
        <v>0</v>
      </c>
      <c r="S205" s="15"/>
      <c r="T205" s="285" t="s">
        <v>14712</v>
      </c>
      <c r="U205" s="285">
        <v>576</v>
      </c>
      <c r="V205" s="285" t="s">
        <v>15056</v>
      </c>
      <c r="W205" s="285"/>
      <c r="X205" s="285"/>
      <c r="Y205" s="285"/>
      <c r="Z205" s="285"/>
      <c r="AA205" s="285"/>
    </row>
    <row r="206" spans="1:27" s="39" customFormat="1" ht="50.25" customHeight="1" x14ac:dyDescent="0.2">
      <c r="A206" s="268"/>
      <c r="B206" s="268"/>
      <c r="C206" s="121"/>
      <c r="D206" s="13" t="s">
        <v>15177</v>
      </c>
      <c r="E206" s="22" t="s">
        <v>13687</v>
      </c>
      <c r="F206" s="13" t="s">
        <v>15254</v>
      </c>
      <c r="G206" s="285" t="s">
        <v>15255</v>
      </c>
      <c r="H206" s="589" t="s">
        <v>14825</v>
      </c>
      <c r="I206" s="597"/>
      <c r="J206" s="595"/>
      <c r="K206" s="598"/>
      <c r="L206" s="633"/>
      <c r="M206" s="596"/>
      <c r="N206" s="17">
        <v>182</v>
      </c>
      <c r="O206" s="15">
        <v>40464</v>
      </c>
      <c r="P206" s="40">
        <v>2031.59</v>
      </c>
      <c r="Q206" s="40">
        <f t="shared" si="3"/>
        <v>2031.59</v>
      </c>
      <c r="R206" s="16">
        <v>0</v>
      </c>
      <c r="S206" s="15"/>
      <c r="T206" s="285" t="s">
        <v>14712</v>
      </c>
      <c r="U206" s="285">
        <v>576</v>
      </c>
      <c r="V206" s="285" t="s">
        <v>15056</v>
      </c>
      <c r="W206" s="285"/>
      <c r="X206" s="285"/>
      <c r="Y206" s="285"/>
      <c r="Z206" s="285"/>
      <c r="AA206" s="285"/>
    </row>
    <row r="207" spans="1:27" s="39" customFormat="1" ht="41.25" customHeight="1" x14ac:dyDescent="0.2">
      <c r="A207" s="268"/>
      <c r="B207" s="268"/>
      <c r="C207" s="121"/>
      <c r="D207" s="13" t="s">
        <v>15177</v>
      </c>
      <c r="E207" s="22" t="s">
        <v>15232</v>
      </c>
      <c r="F207" s="13" t="s">
        <v>15256</v>
      </c>
      <c r="G207" s="285" t="s">
        <v>15257</v>
      </c>
      <c r="H207" s="589" t="s">
        <v>14825</v>
      </c>
      <c r="I207" s="597"/>
      <c r="J207" s="595"/>
      <c r="K207" s="598"/>
      <c r="L207" s="633"/>
      <c r="M207" s="596"/>
      <c r="N207" s="17">
        <v>55</v>
      </c>
      <c r="O207" s="15">
        <v>40464</v>
      </c>
      <c r="P207" s="40">
        <v>608.04</v>
      </c>
      <c r="Q207" s="40">
        <f t="shared" si="3"/>
        <v>608.04</v>
      </c>
      <c r="R207" s="16">
        <v>0</v>
      </c>
      <c r="S207" s="15"/>
      <c r="T207" s="285" t="s">
        <v>14712</v>
      </c>
      <c r="U207" s="285">
        <v>576</v>
      </c>
      <c r="V207" s="285" t="s">
        <v>15056</v>
      </c>
      <c r="W207" s="285"/>
      <c r="X207" s="285"/>
      <c r="Y207" s="285"/>
      <c r="Z207" s="285"/>
      <c r="AA207" s="285"/>
    </row>
    <row r="208" spans="1:27" s="39" customFormat="1" ht="50.25" customHeight="1" x14ac:dyDescent="0.2">
      <c r="A208" s="268"/>
      <c r="B208" s="268"/>
      <c r="C208" s="121"/>
      <c r="D208" s="13" t="s">
        <v>15177</v>
      </c>
      <c r="E208" s="22" t="s">
        <v>15232</v>
      </c>
      <c r="F208" s="13" t="s">
        <v>15258</v>
      </c>
      <c r="G208" s="285" t="s">
        <v>15259</v>
      </c>
      <c r="H208" s="589" t="s">
        <v>14825</v>
      </c>
      <c r="I208" s="597"/>
      <c r="J208" s="595"/>
      <c r="K208" s="598"/>
      <c r="L208" s="633"/>
      <c r="M208" s="596"/>
      <c r="N208" s="17">
        <v>55</v>
      </c>
      <c r="O208" s="15">
        <v>40464</v>
      </c>
      <c r="P208" s="40">
        <v>638.44000000000005</v>
      </c>
      <c r="Q208" s="40">
        <f t="shared" si="3"/>
        <v>638.44000000000005</v>
      </c>
      <c r="R208" s="16">
        <v>0</v>
      </c>
      <c r="S208" s="15"/>
      <c r="T208" s="285" t="s">
        <v>14712</v>
      </c>
      <c r="U208" s="285">
        <v>576</v>
      </c>
      <c r="V208" s="285" t="s">
        <v>15056</v>
      </c>
      <c r="W208" s="285"/>
      <c r="X208" s="285"/>
      <c r="Y208" s="285"/>
      <c r="Z208" s="285"/>
      <c r="AA208" s="285"/>
    </row>
    <row r="209" spans="1:27" s="39" customFormat="1" ht="50.25" customHeight="1" x14ac:dyDescent="0.2">
      <c r="A209" s="268"/>
      <c r="B209" s="268"/>
      <c r="C209" s="121"/>
      <c r="D209" s="13" t="s">
        <v>15053</v>
      </c>
      <c r="E209" s="22" t="s">
        <v>13406</v>
      </c>
      <c r="F209" s="13" t="s">
        <v>15260</v>
      </c>
      <c r="G209" s="285" t="s">
        <v>15261</v>
      </c>
      <c r="H209" s="589" t="s">
        <v>14825</v>
      </c>
      <c r="I209" s="597"/>
      <c r="J209" s="595"/>
      <c r="K209" s="598"/>
      <c r="L209" s="633"/>
      <c r="M209" s="596"/>
      <c r="N209" s="17">
        <v>240</v>
      </c>
      <c r="O209" s="15">
        <v>40464</v>
      </c>
      <c r="P209" s="40">
        <v>2813.78</v>
      </c>
      <c r="Q209" s="40">
        <f t="shared" si="3"/>
        <v>2813.78</v>
      </c>
      <c r="R209" s="16">
        <v>0</v>
      </c>
      <c r="S209" s="15"/>
      <c r="T209" s="285" t="s">
        <v>14712</v>
      </c>
      <c r="U209" s="285">
        <v>576</v>
      </c>
      <c r="V209" s="285" t="s">
        <v>15056</v>
      </c>
      <c r="W209" s="285"/>
      <c r="X209" s="285"/>
      <c r="Y209" s="285"/>
      <c r="Z209" s="285"/>
      <c r="AA209" s="285"/>
    </row>
    <row r="210" spans="1:27" s="39" customFormat="1" ht="50.25" customHeight="1" x14ac:dyDescent="0.2">
      <c r="A210" s="268"/>
      <c r="B210" s="268"/>
      <c r="C210" s="121"/>
      <c r="D210" s="13" t="s">
        <v>15177</v>
      </c>
      <c r="E210" s="22" t="s">
        <v>9478</v>
      </c>
      <c r="F210" s="13" t="s">
        <v>15262</v>
      </c>
      <c r="G210" s="285" t="s">
        <v>15263</v>
      </c>
      <c r="H210" s="589" t="s">
        <v>14825</v>
      </c>
      <c r="I210" s="597"/>
      <c r="J210" s="595"/>
      <c r="K210" s="598"/>
      <c r="L210" s="633"/>
      <c r="M210" s="596"/>
      <c r="N210" s="17">
        <v>270</v>
      </c>
      <c r="O210" s="15">
        <v>40464</v>
      </c>
      <c r="P210" s="40">
        <v>3228.81</v>
      </c>
      <c r="Q210" s="40">
        <f t="shared" si="3"/>
        <v>3228.81</v>
      </c>
      <c r="R210" s="16">
        <v>0</v>
      </c>
      <c r="S210" s="15"/>
      <c r="T210" s="285" t="s">
        <v>14712</v>
      </c>
      <c r="U210" s="285">
        <v>576</v>
      </c>
      <c r="V210" s="285" t="s">
        <v>15056</v>
      </c>
      <c r="W210" s="285"/>
      <c r="X210" s="285"/>
      <c r="Y210" s="285"/>
      <c r="Z210" s="285"/>
      <c r="AA210" s="285"/>
    </row>
    <row r="211" spans="1:27" s="39" customFormat="1" ht="184.15" customHeight="1" x14ac:dyDescent="0.2">
      <c r="A211" s="268"/>
      <c r="B211" s="268"/>
      <c r="C211" s="121"/>
      <c r="D211" s="13" t="s">
        <v>15177</v>
      </c>
      <c r="E211" s="22" t="s">
        <v>9478</v>
      </c>
      <c r="F211" s="13" t="s">
        <v>15264</v>
      </c>
      <c r="G211" s="285" t="s">
        <v>15265</v>
      </c>
      <c r="H211" s="589" t="s">
        <v>14825</v>
      </c>
      <c r="I211" s="597"/>
      <c r="J211" s="595"/>
      <c r="K211" s="598"/>
      <c r="L211" s="633"/>
      <c r="M211" s="596"/>
      <c r="N211" s="17">
        <v>270</v>
      </c>
      <c r="O211" s="15">
        <v>40464</v>
      </c>
      <c r="P211" s="40">
        <v>3228.81</v>
      </c>
      <c r="Q211" s="40">
        <f t="shared" si="3"/>
        <v>3228.81</v>
      </c>
      <c r="R211" s="16">
        <v>0</v>
      </c>
      <c r="S211" s="15"/>
      <c r="T211" s="285" t="s">
        <v>14712</v>
      </c>
      <c r="U211" s="285">
        <v>576</v>
      </c>
      <c r="V211" s="285" t="s">
        <v>15056</v>
      </c>
      <c r="W211" s="285"/>
      <c r="X211" s="285"/>
      <c r="Y211" s="285"/>
      <c r="Z211" s="285"/>
      <c r="AA211" s="285"/>
    </row>
    <row r="212" spans="1:27" s="39" customFormat="1" ht="50.25" customHeight="1" x14ac:dyDescent="0.2">
      <c r="A212" s="268"/>
      <c r="B212" s="268"/>
      <c r="C212" s="121"/>
      <c r="D212" s="13" t="s">
        <v>15177</v>
      </c>
      <c r="E212" s="22" t="s">
        <v>15232</v>
      </c>
      <c r="F212" s="13" t="s">
        <v>15266</v>
      </c>
      <c r="G212" s="285" t="s">
        <v>15267</v>
      </c>
      <c r="H212" s="589" t="s">
        <v>14825</v>
      </c>
      <c r="I212" s="597"/>
      <c r="J212" s="595"/>
      <c r="K212" s="598"/>
      <c r="L212" s="633"/>
      <c r="M212" s="596"/>
      <c r="N212" s="17">
        <v>160</v>
      </c>
      <c r="O212" s="15">
        <v>40464</v>
      </c>
      <c r="P212" s="40">
        <v>3296.8</v>
      </c>
      <c r="Q212" s="40">
        <f t="shared" si="3"/>
        <v>3296.8</v>
      </c>
      <c r="R212" s="16">
        <v>0</v>
      </c>
      <c r="S212" s="15"/>
      <c r="T212" s="285" t="s">
        <v>14712</v>
      </c>
      <c r="U212" s="285">
        <v>576</v>
      </c>
      <c r="V212" s="285" t="s">
        <v>15056</v>
      </c>
      <c r="W212" s="285"/>
      <c r="X212" s="285"/>
      <c r="Y212" s="285"/>
      <c r="Z212" s="285"/>
      <c r="AA212" s="285"/>
    </row>
    <row r="213" spans="1:27" s="39" customFormat="1" ht="50.25" customHeight="1" x14ac:dyDescent="0.2">
      <c r="A213" s="268"/>
      <c r="B213" s="268"/>
      <c r="C213" s="121"/>
      <c r="D213" s="13" t="s">
        <v>15053</v>
      </c>
      <c r="E213" s="22" t="s">
        <v>13406</v>
      </c>
      <c r="F213" s="13" t="s">
        <v>15268</v>
      </c>
      <c r="G213" s="285" t="s">
        <v>15269</v>
      </c>
      <c r="H213" s="589" t="s">
        <v>14825</v>
      </c>
      <c r="I213" s="597"/>
      <c r="J213" s="595"/>
      <c r="K213" s="598"/>
      <c r="L213" s="633"/>
      <c r="M213" s="596"/>
      <c r="N213" s="17">
        <v>55</v>
      </c>
      <c r="O213" s="15">
        <v>40464</v>
      </c>
      <c r="P213" s="40">
        <v>644.82000000000005</v>
      </c>
      <c r="Q213" s="40">
        <f t="shared" si="3"/>
        <v>644.82000000000005</v>
      </c>
      <c r="R213" s="16">
        <v>0</v>
      </c>
      <c r="S213" s="15"/>
      <c r="T213" s="285" t="s">
        <v>14712</v>
      </c>
      <c r="U213" s="285">
        <v>576</v>
      </c>
      <c r="V213" s="285" t="s">
        <v>15056</v>
      </c>
      <c r="W213" s="285"/>
      <c r="X213" s="285"/>
      <c r="Y213" s="285"/>
      <c r="Z213" s="285"/>
      <c r="AA213" s="285"/>
    </row>
    <row r="214" spans="1:27" s="39" customFormat="1" ht="50.25" customHeight="1" x14ac:dyDescent="0.2">
      <c r="A214" s="268"/>
      <c r="B214" s="268"/>
      <c r="C214" s="121"/>
      <c r="D214" s="13" t="s">
        <v>15053</v>
      </c>
      <c r="E214" s="22" t="s">
        <v>13701</v>
      </c>
      <c r="F214" s="13" t="s">
        <v>15270</v>
      </c>
      <c r="G214" s="285" t="s">
        <v>15271</v>
      </c>
      <c r="H214" s="589" t="s">
        <v>14825</v>
      </c>
      <c r="I214" s="597"/>
      <c r="J214" s="595"/>
      <c r="K214" s="598"/>
      <c r="L214" s="633"/>
      <c r="M214" s="596"/>
      <c r="N214" s="17">
        <v>100</v>
      </c>
      <c r="O214" s="15">
        <v>40464</v>
      </c>
      <c r="P214" s="40">
        <v>906.35</v>
      </c>
      <c r="Q214" s="40">
        <f t="shared" si="3"/>
        <v>906.35</v>
      </c>
      <c r="R214" s="16">
        <v>0</v>
      </c>
      <c r="S214" s="15"/>
      <c r="T214" s="285" t="s">
        <v>14712</v>
      </c>
      <c r="U214" s="285">
        <v>576</v>
      </c>
      <c r="V214" s="285" t="s">
        <v>15056</v>
      </c>
      <c r="W214" s="285"/>
      <c r="X214" s="285"/>
      <c r="Y214" s="285"/>
      <c r="Z214" s="285"/>
      <c r="AA214" s="285"/>
    </row>
    <row r="215" spans="1:27" s="39" customFormat="1" ht="50.25" customHeight="1" x14ac:dyDescent="0.2">
      <c r="A215" s="268"/>
      <c r="B215" s="268"/>
      <c r="C215" s="121"/>
      <c r="D215" s="13" t="s">
        <v>15177</v>
      </c>
      <c r="E215" s="22" t="s">
        <v>5027</v>
      </c>
      <c r="F215" s="13" t="s">
        <v>15272</v>
      </c>
      <c r="G215" s="285" t="s">
        <v>15273</v>
      </c>
      <c r="H215" s="589" t="s">
        <v>14825</v>
      </c>
      <c r="I215" s="597"/>
      <c r="J215" s="595"/>
      <c r="K215" s="598"/>
      <c r="L215" s="633"/>
      <c r="M215" s="596"/>
      <c r="N215" s="17">
        <v>160</v>
      </c>
      <c r="O215" s="15">
        <v>40464</v>
      </c>
      <c r="P215" s="40">
        <v>24295.09</v>
      </c>
      <c r="Q215" s="40">
        <v>24295.09</v>
      </c>
      <c r="R215" s="16">
        <f>P215-Q215</f>
        <v>0</v>
      </c>
      <c r="S215" s="15"/>
      <c r="T215" s="285" t="s">
        <v>14712</v>
      </c>
      <c r="U215" s="285">
        <v>576</v>
      </c>
      <c r="V215" s="285" t="s">
        <v>15056</v>
      </c>
      <c r="W215" s="285"/>
      <c r="X215" s="285"/>
      <c r="Y215" s="285"/>
      <c r="Z215" s="285"/>
      <c r="AA215" s="285"/>
    </row>
    <row r="216" spans="1:27" s="39" customFormat="1" ht="50.25" customHeight="1" x14ac:dyDescent="0.2">
      <c r="A216" s="268"/>
      <c r="B216" s="268"/>
      <c r="C216" s="121"/>
      <c r="D216" s="13" t="s">
        <v>15177</v>
      </c>
      <c r="E216" s="22" t="s">
        <v>14776</v>
      </c>
      <c r="F216" s="13" t="s">
        <v>15274</v>
      </c>
      <c r="G216" s="285" t="s">
        <v>15275</v>
      </c>
      <c r="H216" s="589" t="s">
        <v>14825</v>
      </c>
      <c r="I216" s="597"/>
      <c r="J216" s="595"/>
      <c r="K216" s="598"/>
      <c r="L216" s="633"/>
      <c r="M216" s="596"/>
      <c r="N216" s="17">
        <v>150</v>
      </c>
      <c r="O216" s="15">
        <v>40464</v>
      </c>
      <c r="P216" s="40">
        <v>1774.37</v>
      </c>
      <c r="Q216" s="40">
        <f t="shared" ref="Q216:Q231" si="4">P216-R216</f>
        <v>1774.37</v>
      </c>
      <c r="R216" s="16">
        <v>0</v>
      </c>
      <c r="S216" s="15"/>
      <c r="T216" s="285" t="s">
        <v>14712</v>
      </c>
      <c r="U216" s="285">
        <v>576</v>
      </c>
      <c r="V216" s="285" t="s">
        <v>15056</v>
      </c>
      <c r="W216" s="285"/>
      <c r="X216" s="285"/>
      <c r="Y216" s="285"/>
      <c r="Z216" s="285"/>
      <c r="AA216" s="285"/>
    </row>
    <row r="217" spans="1:27" s="39" customFormat="1" ht="51" customHeight="1" x14ac:dyDescent="0.2">
      <c r="A217" s="268"/>
      <c r="B217" s="268"/>
      <c r="C217" s="121"/>
      <c r="D217" s="13" t="s">
        <v>15053</v>
      </c>
      <c r="E217" s="22" t="s">
        <v>13687</v>
      </c>
      <c r="F217" s="13" t="s">
        <v>15276</v>
      </c>
      <c r="G217" s="285" t="s">
        <v>15277</v>
      </c>
      <c r="H217" s="589" t="s">
        <v>14825</v>
      </c>
      <c r="I217" s="597"/>
      <c r="J217" s="595"/>
      <c r="K217" s="598"/>
      <c r="L217" s="633"/>
      <c r="M217" s="596"/>
      <c r="N217" s="17">
        <v>185</v>
      </c>
      <c r="O217" s="15">
        <v>40464</v>
      </c>
      <c r="P217" s="40">
        <v>2065.0700000000002</v>
      </c>
      <c r="Q217" s="40">
        <f t="shared" si="4"/>
        <v>2065.0700000000002</v>
      </c>
      <c r="R217" s="16">
        <v>0</v>
      </c>
      <c r="S217" s="15"/>
      <c r="T217" s="285" t="s">
        <v>14712</v>
      </c>
      <c r="U217" s="285">
        <v>576</v>
      </c>
      <c r="V217" s="285" t="s">
        <v>15056</v>
      </c>
      <c r="W217" s="285"/>
      <c r="X217" s="285"/>
      <c r="Y217" s="285"/>
      <c r="Z217" s="285"/>
      <c r="AA217" s="285"/>
    </row>
    <row r="218" spans="1:27" s="39" customFormat="1" ht="51" customHeight="1" x14ac:dyDescent="0.2">
      <c r="A218" s="268"/>
      <c r="B218" s="268"/>
      <c r="C218" s="121"/>
      <c r="D218" s="13" t="s">
        <v>15053</v>
      </c>
      <c r="E218" s="22" t="s">
        <v>13687</v>
      </c>
      <c r="F218" s="13" t="s">
        <v>15278</v>
      </c>
      <c r="G218" s="285" t="s">
        <v>15279</v>
      </c>
      <c r="H218" s="589" t="s">
        <v>14825</v>
      </c>
      <c r="I218" s="597"/>
      <c r="J218" s="595"/>
      <c r="K218" s="598"/>
      <c r="L218" s="633"/>
      <c r="M218" s="596"/>
      <c r="N218" s="17">
        <v>185</v>
      </c>
      <c r="O218" s="15">
        <v>40464</v>
      </c>
      <c r="P218" s="40">
        <v>2065.0700000000002</v>
      </c>
      <c r="Q218" s="40">
        <f t="shared" si="4"/>
        <v>2065.0700000000002</v>
      </c>
      <c r="R218" s="16">
        <v>0</v>
      </c>
      <c r="S218" s="15"/>
      <c r="T218" s="285" t="s">
        <v>14712</v>
      </c>
      <c r="U218" s="285">
        <v>576</v>
      </c>
      <c r="V218" s="285" t="s">
        <v>15056</v>
      </c>
      <c r="W218" s="285"/>
      <c r="X218" s="285"/>
      <c r="Y218" s="285"/>
      <c r="Z218" s="285"/>
      <c r="AA218" s="285"/>
    </row>
    <row r="219" spans="1:27" s="39" customFormat="1" ht="51" customHeight="1" x14ac:dyDescent="0.2">
      <c r="A219" s="268"/>
      <c r="B219" s="268"/>
      <c r="C219" s="121"/>
      <c r="D219" s="13" t="s">
        <v>15053</v>
      </c>
      <c r="E219" s="22" t="s">
        <v>13701</v>
      </c>
      <c r="F219" s="13" t="s">
        <v>15280</v>
      </c>
      <c r="G219" s="285" t="s">
        <v>15281</v>
      </c>
      <c r="H219" s="589" t="s">
        <v>14825</v>
      </c>
      <c r="I219" s="597"/>
      <c r="J219" s="595"/>
      <c r="K219" s="598"/>
      <c r="L219" s="633"/>
      <c r="M219" s="596"/>
      <c r="N219" s="17">
        <v>90</v>
      </c>
      <c r="O219" s="15">
        <v>40464</v>
      </c>
      <c r="P219" s="40">
        <v>1402.14</v>
      </c>
      <c r="Q219" s="40">
        <f t="shared" si="4"/>
        <v>1402.14</v>
      </c>
      <c r="R219" s="16">
        <v>0</v>
      </c>
      <c r="S219" s="15"/>
      <c r="T219" s="285" t="s">
        <v>14712</v>
      </c>
      <c r="U219" s="285">
        <v>576</v>
      </c>
      <c r="V219" s="285" t="s">
        <v>15056</v>
      </c>
      <c r="W219" s="285"/>
      <c r="X219" s="285"/>
      <c r="Y219" s="285"/>
      <c r="Z219" s="285"/>
      <c r="AA219" s="285"/>
    </row>
    <row r="220" spans="1:27" s="39" customFormat="1" ht="51" customHeight="1" x14ac:dyDescent="0.2">
      <c r="A220" s="268"/>
      <c r="B220" s="268"/>
      <c r="C220" s="121"/>
      <c r="D220" s="13" t="s">
        <v>15053</v>
      </c>
      <c r="E220" s="22" t="s">
        <v>13701</v>
      </c>
      <c r="F220" s="13" t="s">
        <v>15282</v>
      </c>
      <c r="G220" s="285" t="s">
        <v>15283</v>
      </c>
      <c r="H220" s="589" t="s">
        <v>14825</v>
      </c>
      <c r="I220" s="597"/>
      <c r="J220" s="595"/>
      <c r="K220" s="598"/>
      <c r="L220" s="633"/>
      <c r="M220" s="596"/>
      <c r="N220" s="17">
        <v>210</v>
      </c>
      <c r="O220" s="15">
        <v>40464</v>
      </c>
      <c r="P220" s="40">
        <v>3207.51</v>
      </c>
      <c r="Q220" s="40">
        <f t="shared" si="4"/>
        <v>3207.51</v>
      </c>
      <c r="R220" s="16">
        <v>0</v>
      </c>
      <c r="S220" s="15"/>
      <c r="T220" s="285" t="s">
        <v>14712</v>
      </c>
      <c r="U220" s="285">
        <v>576</v>
      </c>
      <c r="V220" s="285" t="s">
        <v>15056</v>
      </c>
      <c r="W220" s="285"/>
      <c r="X220" s="285"/>
      <c r="Y220" s="285"/>
      <c r="Z220" s="285"/>
      <c r="AA220" s="285"/>
    </row>
    <row r="221" spans="1:27" s="39" customFormat="1" ht="51" customHeight="1" x14ac:dyDescent="0.2">
      <c r="A221" s="268"/>
      <c r="B221" s="268"/>
      <c r="C221" s="121"/>
      <c r="D221" s="13" t="s">
        <v>15177</v>
      </c>
      <c r="E221" s="22" t="s">
        <v>9478</v>
      </c>
      <c r="F221" s="13" t="s">
        <v>15284</v>
      </c>
      <c r="G221" s="285" t="s">
        <v>15285</v>
      </c>
      <c r="H221" s="589" t="s">
        <v>14825</v>
      </c>
      <c r="I221" s="597"/>
      <c r="J221" s="595"/>
      <c r="K221" s="598"/>
      <c r="L221" s="633"/>
      <c r="M221" s="596"/>
      <c r="N221" s="17">
        <v>64</v>
      </c>
      <c r="O221" s="15">
        <v>40464</v>
      </c>
      <c r="P221" s="40">
        <v>2432.79</v>
      </c>
      <c r="Q221" s="40">
        <f t="shared" si="4"/>
        <v>2432.79</v>
      </c>
      <c r="R221" s="16">
        <v>0</v>
      </c>
      <c r="S221" s="15"/>
      <c r="T221" s="285" t="s">
        <v>14712</v>
      </c>
      <c r="U221" s="285">
        <v>576</v>
      </c>
      <c r="V221" s="285" t="s">
        <v>15056</v>
      </c>
      <c r="W221" s="285"/>
      <c r="X221" s="285"/>
      <c r="Y221" s="285"/>
      <c r="Z221" s="285"/>
      <c r="AA221" s="285"/>
    </row>
    <row r="222" spans="1:27" s="39" customFormat="1" ht="51.75" customHeight="1" x14ac:dyDescent="0.2">
      <c r="A222" s="268"/>
      <c r="B222" s="268"/>
      <c r="C222" s="121"/>
      <c r="D222" s="13" t="s">
        <v>15053</v>
      </c>
      <c r="E222" s="22" t="s">
        <v>13728</v>
      </c>
      <c r="F222" s="13" t="s">
        <v>15286</v>
      </c>
      <c r="G222" s="285" t="s">
        <v>15287</v>
      </c>
      <c r="H222" s="589" t="s">
        <v>14825</v>
      </c>
      <c r="I222" s="597"/>
      <c r="J222" s="595"/>
      <c r="K222" s="598"/>
      <c r="L222" s="633"/>
      <c r="M222" s="596"/>
      <c r="N222" s="17">
        <v>62</v>
      </c>
      <c r="O222" s="15">
        <v>40464</v>
      </c>
      <c r="P222" s="40">
        <v>1989</v>
      </c>
      <c r="Q222" s="40">
        <f t="shared" si="4"/>
        <v>1989</v>
      </c>
      <c r="R222" s="16">
        <v>0</v>
      </c>
      <c r="S222" s="15"/>
      <c r="T222" s="285" t="s">
        <v>14712</v>
      </c>
      <c r="U222" s="285">
        <v>576</v>
      </c>
      <c r="V222" s="285" t="s">
        <v>15056</v>
      </c>
      <c r="W222" s="285"/>
      <c r="X222" s="285"/>
      <c r="Y222" s="285"/>
      <c r="Z222" s="285"/>
      <c r="AA222" s="285"/>
    </row>
    <row r="223" spans="1:27" s="39" customFormat="1" ht="51.75" customHeight="1" x14ac:dyDescent="0.2">
      <c r="A223" s="268"/>
      <c r="B223" s="268"/>
      <c r="C223" s="121"/>
      <c r="D223" s="13" t="s">
        <v>15177</v>
      </c>
      <c r="E223" s="22" t="s">
        <v>13546</v>
      </c>
      <c r="F223" s="13" t="s">
        <v>15288</v>
      </c>
      <c r="G223" s="285" t="s">
        <v>15289</v>
      </c>
      <c r="H223" s="589" t="s">
        <v>14825</v>
      </c>
      <c r="I223" s="597"/>
      <c r="J223" s="595"/>
      <c r="K223" s="598"/>
      <c r="L223" s="633"/>
      <c r="M223" s="596"/>
      <c r="N223" s="17">
        <v>285</v>
      </c>
      <c r="O223" s="15">
        <v>40464</v>
      </c>
      <c r="P223" s="40">
        <v>4528.4799999999996</v>
      </c>
      <c r="Q223" s="40">
        <f t="shared" si="4"/>
        <v>4528.4799999999996</v>
      </c>
      <c r="R223" s="16">
        <v>0</v>
      </c>
      <c r="S223" s="15"/>
      <c r="T223" s="285" t="s">
        <v>14712</v>
      </c>
      <c r="U223" s="285">
        <v>576</v>
      </c>
      <c r="V223" s="285" t="s">
        <v>15056</v>
      </c>
      <c r="W223" s="285"/>
      <c r="X223" s="285"/>
      <c r="Y223" s="285"/>
      <c r="Z223" s="285"/>
      <c r="AA223" s="285"/>
    </row>
    <row r="224" spans="1:27" s="39" customFormat="1" ht="40.5" customHeight="1" x14ac:dyDescent="0.2">
      <c r="A224" s="268"/>
      <c r="B224" s="268"/>
      <c r="C224" s="121"/>
      <c r="D224" s="13" t="s">
        <v>15177</v>
      </c>
      <c r="E224" s="22" t="s">
        <v>13546</v>
      </c>
      <c r="F224" s="13" t="s">
        <v>15290</v>
      </c>
      <c r="G224" s="285" t="s">
        <v>15291</v>
      </c>
      <c r="H224" s="589" t="s">
        <v>14825</v>
      </c>
      <c r="I224" s="597"/>
      <c r="J224" s="595"/>
      <c r="K224" s="598"/>
      <c r="L224" s="633"/>
      <c r="M224" s="596"/>
      <c r="N224" s="17">
        <v>213</v>
      </c>
      <c r="O224" s="15">
        <v>40464</v>
      </c>
      <c r="P224" s="40">
        <v>3384.44</v>
      </c>
      <c r="Q224" s="40">
        <f t="shared" si="4"/>
        <v>3384.44</v>
      </c>
      <c r="R224" s="16">
        <v>0</v>
      </c>
      <c r="S224" s="15"/>
      <c r="T224" s="285" t="s">
        <v>14712</v>
      </c>
      <c r="U224" s="285">
        <v>576</v>
      </c>
      <c r="V224" s="285" t="s">
        <v>15056</v>
      </c>
      <c r="W224" s="285"/>
      <c r="X224" s="285"/>
      <c r="Y224" s="285"/>
      <c r="Z224" s="285"/>
      <c r="AA224" s="285"/>
    </row>
    <row r="225" spans="1:27" s="39" customFormat="1" ht="51.75" customHeight="1" x14ac:dyDescent="0.2">
      <c r="A225" s="268"/>
      <c r="B225" s="268"/>
      <c r="C225" s="121"/>
      <c r="D225" s="13" t="s">
        <v>15053</v>
      </c>
      <c r="E225" s="22" t="s">
        <v>13719</v>
      </c>
      <c r="F225" s="13" t="s">
        <v>15292</v>
      </c>
      <c r="G225" s="285" t="s">
        <v>15293</v>
      </c>
      <c r="H225" s="589" t="s">
        <v>14825</v>
      </c>
      <c r="I225" s="597"/>
      <c r="J225" s="595"/>
      <c r="K225" s="598"/>
      <c r="L225" s="633"/>
      <c r="M225" s="596"/>
      <c r="N225" s="17">
        <v>255</v>
      </c>
      <c r="O225" s="15">
        <v>40464</v>
      </c>
      <c r="P225" s="40">
        <v>4011.68</v>
      </c>
      <c r="Q225" s="40">
        <f t="shared" si="4"/>
        <v>4011.68</v>
      </c>
      <c r="R225" s="16">
        <v>0</v>
      </c>
      <c r="S225" s="15"/>
      <c r="T225" s="285" t="s">
        <v>14712</v>
      </c>
      <c r="U225" s="285">
        <v>576</v>
      </c>
      <c r="V225" s="285" t="s">
        <v>15056</v>
      </c>
      <c r="W225" s="285"/>
      <c r="X225" s="285"/>
      <c r="Y225" s="285"/>
      <c r="Z225" s="285"/>
      <c r="AA225" s="285"/>
    </row>
    <row r="226" spans="1:27" s="39" customFormat="1" ht="51.75" customHeight="1" x14ac:dyDescent="0.2">
      <c r="A226" s="268"/>
      <c r="B226" s="268"/>
      <c r="C226" s="121"/>
      <c r="D226" s="13" t="s">
        <v>15053</v>
      </c>
      <c r="E226" s="22" t="s">
        <v>13719</v>
      </c>
      <c r="F226" s="13" t="s">
        <v>15294</v>
      </c>
      <c r="G226" s="285" t="s">
        <v>15293</v>
      </c>
      <c r="H226" s="589" t="s">
        <v>14825</v>
      </c>
      <c r="I226" s="597"/>
      <c r="J226" s="595"/>
      <c r="K226" s="598"/>
      <c r="L226" s="633"/>
      <c r="M226" s="596"/>
      <c r="N226" s="17">
        <v>155</v>
      </c>
      <c r="O226" s="15">
        <v>40464</v>
      </c>
      <c r="P226" s="40">
        <v>2755.47</v>
      </c>
      <c r="Q226" s="40">
        <f t="shared" si="4"/>
        <v>2755.47</v>
      </c>
      <c r="R226" s="16">
        <v>0</v>
      </c>
      <c r="S226" s="15"/>
      <c r="T226" s="285" t="s">
        <v>14712</v>
      </c>
      <c r="U226" s="285">
        <v>576</v>
      </c>
      <c r="V226" s="285" t="s">
        <v>15056</v>
      </c>
      <c r="W226" s="285"/>
      <c r="X226" s="285"/>
      <c r="Y226" s="285"/>
      <c r="Z226" s="285"/>
      <c r="AA226" s="285"/>
    </row>
    <row r="227" spans="1:27" s="39" customFormat="1" ht="60.75" customHeight="1" x14ac:dyDescent="0.2">
      <c r="A227" s="268"/>
      <c r="B227" s="268"/>
      <c r="C227" s="121"/>
      <c r="D227" s="13" t="s">
        <v>15071</v>
      </c>
      <c r="E227" s="285">
        <v>1973</v>
      </c>
      <c r="F227" s="13" t="s">
        <v>15295</v>
      </c>
      <c r="G227" s="285" t="s">
        <v>15296</v>
      </c>
      <c r="H227" s="589" t="s">
        <v>14825</v>
      </c>
      <c r="I227" s="597"/>
      <c r="J227" s="595"/>
      <c r="K227" s="598"/>
      <c r="L227" s="633"/>
      <c r="M227" s="596"/>
      <c r="N227" s="17">
        <v>315</v>
      </c>
      <c r="O227" s="15">
        <v>40464</v>
      </c>
      <c r="P227" s="40">
        <v>14341.27</v>
      </c>
      <c r="Q227" s="40">
        <f t="shared" si="4"/>
        <v>14341.27</v>
      </c>
      <c r="R227" s="16">
        <v>0</v>
      </c>
      <c r="S227" s="15"/>
      <c r="T227" s="285" t="s">
        <v>14712</v>
      </c>
      <c r="U227" s="285">
        <v>576</v>
      </c>
      <c r="V227" s="285" t="s">
        <v>15056</v>
      </c>
      <c r="W227" s="285"/>
      <c r="X227" s="285"/>
      <c r="Y227" s="285"/>
      <c r="Z227" s="285"/>
      <c r="AA227" s="285"/>
    </row>
    <row r="228" spans="1:27" s="39" customFormat="1" ht="61.5" customHeight="1" x14ac:dyDescent="0.2">
      <c r="A228" s="268"/>
      <c r="B228" s="268"/>
      <c r="C228" s="121"/>
      <c r="D228" s="13" t="s">
        <v>15071</v>
      </c>
      <c r="E228" s="22" t="s">
        <v>9478</v>
      </c>
      <c r="F228" s="13" t="s">
        <v>15297</v>
      </c>
      <c r="G228" s="285" t="s">
        <v>15298</v>
      </c>
      <c r="H228" s="589" t="s">
        <v>14825</v>
      </c>
      <c r="I228" s="597"/>
      <c r="J228" s="595"/>
      <c r="K228" s="598"/>
      <c r="L228" s="633"/>
      <c r="M228" s="596"/>
      <c r="N228" s="17">
        <v>1495</v>
      </c>
      <c r="O228" s="15">
        <v>40464</v>
      </c>
      <c r="P228" s="40">
        <v>47644.58</v>
      </c>
      <c r="Q228" s="40">
        <f t="shared" si="4"/>
        <v>47644.58</v>
      </c>
      <c r="R228" s="16">
        <v>0</v>
      </c>
      <c r="S228" s="15"/>
      <c r="T228" s="285" t="s">
        <v>14712</v>
      </c>
      <c r="U228" s="285">
        <v>576</v>
      </c>
      <c r="V228" s="285" t="s">
        <v>15056</v>
      </c>
      <c r="W228" s="285"/>
      <c r="X228" s="285"/>
      <c r="Y228" s="285"/>
      <c r="Z228" s="285"/>
      <c r="AA228" s="285"/>
    </row>
    <row r="229" spans="1:27" s="39" customFormat="1" ht="61.5" customHeight="1" x14ac:dyDescent="0.2">
      <c r="A229" s="268"/>
      <c r="B229" s="268"/>
      <c r="C229" s="121"/>
      <c r="D229" s="13" t="s">
        <v>15071</v>
      </c>
      <c r="E229" s="22" t="s">
        <v>13478</v>
      </c>
      <c r="F229" s="13" t="s">
        <v>15299</v>
      </c>
      <c r="G229" s="285" t="s">
        <v>15300</v>
      </c>
      <c r="H229" s="589" t="s">
        <v>14825</v>
      </c>
      <c r="I229" s="597"/>
      <c r="J229" s="595"/>
      <c r="K229" s="598"/>
      <c r="L229" s="633"/>
      <c r="M229" s="596"/>
      <c r="N229" s="17">
        <v>1720</v>
      </c>
      <c r="O229" s="15">
        <v>40464</v>
      </c>
      <c r="P229" s="40">
        <v>52381.14</v>
      </c>
      <c r="Q229" s="40">
        <f t="shared" si="4"/>
        <v>52381.14</v>
      </c>
      <c r="R229" s="16">
        <v>0</v>
      </c>
      <c r="S229" s="15"/>
      <c r="T229" s="285" t="s">
        <v>14712</v>
      </c>
      <c r="U229" s="285">
        <v>576</v>
      </c>
      <c r="V229" s="285" t="s">
        <v>15056</v>
      </c>
      <c r="W229" s="285"/>
      <c r="X229" s="285"/>
      <c r="Y229" s="285"/>
      <c r="Z229" s="285"/>
      <c r="AA229" s="285"/>
    </row>
    <row r="230" spans="1:27" s="39" customFormat="1" ht="65.25" customHeight="1" x14ac:dyDescent="0.2">
      <c r="A230" s="268"/>
      <c r="B230" s="268"/>
      <c r="C230" s="121"/>
      <c r="D230" s="13" t="s">
        <v>15071</v>
      </c>
      <c r="E230" s="22" t="s">
        <v>13478</v>
      </c>
      <c r="F230" s="13" t="s">
        <v>15301</v>
      </c>
      <c r="G230" s="285" t="s">
        <v>15302</v>
      </c>
      <c r="H230" s="589" t="s">
        <v>14825</v>
      </c>
      <c r="I230" s="597"/>
      <c r="J230" s="595"/>
      <c r="K230" s="598"/>
      <c r="L230" s="633"/>
      <c r="M230" s="596"/>
      <c r="N230" s="17">
        <v>346</v>
      </c>
      <c r="O230" s="15">
        <v>40464</v>
      </c>
      <c r="P230" s="40">
        <v>5441.86</v>
      </c>
      <c r="Q230" s="40">
        <f t="shared" si="4"/>
        <v>5441.86</v>
      </c>
      <c r="R230" s="16">
        <v>0</v>
      </c>
      <c r="S230" s="15"/>
      <c r="T230" s="285" t="s">
        <v>14712</v>
      </c>
      <c r="U230" s="285">
        <v>576</v>
      </c>
      <c r="V230" s="285" t="s">
        <v>15056</v>
      </c>
      <c r="W230" s="285"/>
      <c r="X230" s="285"/>
      <c r="Y230" s="285"/>
      <c r="Z230" s="285"/>
      <c r="AA230" s="285"/>
    </row>
    <row r="231" spans="1:27" s="39" customFormat="1" ht="101.25" customHeight="1" x14ac:dyDescent="0.2">
      <c r="A231" s="268"/>
      <c r="B231" s="268"/>
      <c r="C231" s="121"/>
      <c r="D231" s="13" t="s">
        <v>14683</v>
      </c>
      <c r="E231" s="22" t="s">
        <v>13478</v>
      </c>
      <c r="F231" s="13" t="s">
        <v>15303</v>
      </c>
      <c r="G231" s="285" t="s">
        <v>15304</v>
      </c>
      <c r="H231" s="589" t="s">
        <v>14825</v>
      </c>
      <c r="I231" s="597"/>
      <c r="J231" s="595"/>
      <c r="K231" s="598"/>
      <c r="L231" s="633"/>
      <c r="M231" s="596"/>
      <c r="N231" s="17">
        <v>3215</v>
      </c>
      <c r="O231" s="15">
        <v>40464</v>
      </c>
      <c r="P231" s="40">
        <v>11852.4</v>
      </c>
      <c r="Q231" s="40">
        <f t="shared" si="4"/>
        <v>11852.4</v>
      </c>
      <c r="R231" s="16">
        <v>0</v>
      </c>
      <c r="S231" s="15"/>
      <c r="T231" s="285" t="s">
        <v>14712</v>
      </c>
      <c r="U231" s="285">
        <v>576</v>
      </c>
      <c r="V231" s="285" t="s">
        <v>15056</v>
      </c>
      <c r="W231" s="285"/>
      <c r="X231" s="285"/>
      <c r="Y231" s="285"/>
      <c r="Z231" s="285"/>
      <c r="AA231" s="285"/>
    </row>
    <row r="232" spans="1:27" s="39" customFormat="1" ht="100.5" customHeight="1" x14ac:dyDescent="0.2">
      <c r="A232" s="268"/>
      <c r="B232" s="268"/>
      <c r="C232" s="121"/>
      <c r="D232" s="583" t="s">
        <v>15305</v>
      </c>
      <c r="E232" s="361">
        <v>1993</v>
      </c>
      <c r="F232" s="255" t="s">
        <v>15306</v>
      </c>
      <c r="G232" s="285" t="s">
        <v>15307</v>
      </c>
      <c r="H232" s="589" t="s">
        <v>14825</v>
      </c>
      <c r="I232" s="597"/>
      <c r="J232" s="595"/>
      <c r="K232" s="598"/>
      <c r="L232" s="633"/>
      <c r="M232" s="596"/>
      <c r="N232" s="659">
        <v>3300</v>
      </c>
      <c r="O232" s="15">
        <v>40995</v>
      </c>
      <c r="P232" s="40">
        <v>108199.67999999999</v>
      </c>
      <c r="Q232" s="40">
        <v>98101</v>
      </c>
      <c r="R232" s="16">
        <f t="shared" ref="R232:R251" si="5">P232-Q232</f>
        <v>10098.679999999993</v>
      </c>
      <c r="S232" s="15"/>
      <c r="T232" s="285" t="s">
        <v>3136</v>
      </c>
      <c r="U232" s="285">
        <v>309</v>
      </c>
      <c r="V232" s="14">
        <v>40995</v>
      </c>
      <c r="W232" s="14"/>
      <c r="X232" s="14"/>
      <c r="Y232" s="14"/>
      <c r="Z232" s="14"/>
      <c r="AA232" s="14"/>
    </row>
    <row r="233" spans="1:27" s="39" customFormat="1" ht="44.25" customHeight="1" x14ac:dyDescent="0.2">
      <c r="A233" s="268"/>
      <c r="B233" s="268"/>
      <c r="C233" s="121"/>
      <c r="D233" s="583" t="s">
        <v>15305</v>
      </c>
      <c r="E233" s="361">
        <v>1994</v>
      </c>
      <c r="F233" s="255" t="s">
        <v>15308</v>
      </c>
      <c r="G233" s="361" t="s">
        <v>15309</v>
      </c>
      <c r="H233" s="589" t="s">
        <v>14825</v>
      </c>
      <c r="I233" s="597"/>
      <c r="J233" s="595"/>
      <c r="K233" s="598"/>
      <c r="L233" s="633"/>
      <c r="M233" s="596"/>
      <c r="N233" s="659">
        <v>900</v>
      </c>
      <c r="O233" s="15">
        <v>40995</v>
      </c>
      <c r="P233" s="40">
        <v>48151.13</v>
      </c>
      <c r="Q233" s="40">
        <v>43357.17</v>
      </c>
      <c r="R233" s="40">
        <f t="shared" si="5"/>
        <v>4793.9599999999991</v>
      </c>
      <c r="S233" s="15"/>
      <c r="T233" s="285" t="s">
        <v>3136</v>
      </c>
      <c r="U233" s="285">
        <v>309</v>
      </c>
      <c r="V233" s="14">
        <v>40995</v>
      </c>
      <c r="W233" s="14"/>
      <c r="X233" s="14"/>
      <c r="Y233" s="14"/>
      <c r="Z233" s="14"/>
      <c r="AA233" s="14"/>
    </row>
    <row r="234" spans="1:27" s="39" customFormat="1" ht="73.5" customHeight="1" x14ac:dyDescent="0.2">
      <c r="A234" s="268"/>
      <c r="B234" s="268"/>
      <c r="C234" s="121"/>
      <c r="D234" s="255" t="s">
        <v>14698</v>
      </c>
      <c r="E234" s="361" t="s">
        <v>15310</v>
      </c>
      <c r="F234" s="255" t="s">
        <v>15311</v>
      </c>
      <c r="G234" s="361" t="s">
        <v>15312</v>
      </c>
      <c r="H234" s="589" t="s">
        <v>14825</v>
      </c>
      <c r="I234" s="597"/>
      <c r="J234" s="595"/>
      <c r="K234" s="598"/>
      <c r="L234" s="633"/>
      <c r="M234" s="596"/>
      <c r="N234" s="178">
        <v>113</v>
      </c>
      <c r="O234" s="15">
        <v>41197</v>
      </c>
      <c r="P234" s="40">
        <v>28328</v>
      </c>
      <c r="Q234" s="40">
        <v>14793.72</v>
      </c>
      <c r="R234" s="40">
        <f t="shared" si="5"/>
        <v>13534.28</v>
      </c>
      <c r="S234" s="15"/>
      <c r="T234" s="285" t="s">
        <v>15313</v>
      </c>
      <c r="U234" s="14">
        <v>41207</v>
      </c>
      <c r="V234" s="285" t="s">
        <v>15314</v>
      </c>
      <c r="W234" s="14"/>
      <c r="X234" s="14"/>
      <c r="Y234" s="14"/>
      <c r="Z234" s="14"/>
      <c r="AA234" s="14"/>
    </row>
    <row r="235" spans="1:27" s="39" customFormat="1" ht="79.5" customHeight="1" x14ac:dyDescent="0.2">
      <c r="A235" s="20"/>
      <c r="B235" s="20"/>
      <c r="C235" s="54"/>
      <c r="D235" s="255" t="s">
        <v>15315</v>
      </c>
      <c r="E235" s="140">
        <v>39995</v>
      </c>
      <c r="F235" s="586" t="s">
        <v>15316</v>
      </c>
      <c r="G235" s="361" t="s">
        <v>15317</v>
      </c>
      <c r="H235" s="361" t="s">
        <v>14825</v>
      </c>
      <c r="I235" s="604"/>
      <c r="J235" s="602"/>
      <c r="K235" s="86"/>
      <c r="L235" s="634"/>
      <c r="M235" s="603"/>
      <c r="N235" s="178">
        <v>288</v>
      </c>
      <c r="O235" s="15">
        <v>39995</v>
      </c>
      <c r="P235" s="40">
        <v>23522.91</v>
      </c>
      <c r="Q235" s="40">
        <v>11369.16</v>
      </c>
      <c r="R235" s="40">
        <f t="shared" si="5"/>
        <v>12153.75</v>
      </c>
      <c r="S235" s="15"/>
      <c r="T235" s="285" t="s">
        <v>15318</v>
      </c>
      <c r="U235" s="14">
        <v>39988</v>
      </c>
      <c r="V235" s="289">
        <v>25</v>
      </c>
      <c r="W235" s="14"/>
      <c r="X235" s="14"/>
      <c r="Y235" s="14"/>
      <c r="Z235" s="14"/>
      <c r="AA235" s="14"/>
    </row>
    <row r="236" spans="1:27" s="39" customFormat="1" ht="185.25" customHeight="1" x14ac:dyDescent="0.2">
      <c r="A236" s="289">
        <v>41</v>
      </c>
      <c r="B236" s="289" t="s">
        <v>15319</v>
      </c>
      <c r="C236" s="9"/>
      <c r="D236" s="255" t="s">
        <v>15320</v>
      </c>
      <c r="E236" s="516" t="s">
        <v>15321</v>
      </c>
      <c r="F236" s="586" t="s">
        <v>15322</v>
      </c>
      <c r="G236" s="361" t="s">
        <v>15323</v>
      </c>
      <c r="H236" s="361" t="s">
        <v>14808</v>
      </c>
      <c r="I236" s="49" t="s">
        <v>3793</v>
      </c>
      <c r="J236" s="361"/>
      <c r="K236" s="22" t="s">
        <v>3136</v>
      </c>
      <c r="L236" s="140">
        <v>43795</v>
      </c>
      <c r="M236" s="361">
        <v>978</v>
      </c>
      <c r="N236" s="562">
        <v>1000</v>
      </c>
      <c r="O236" s="15">
        <v>43787</v>
      </c>
      <c r="P236" s="40">
        <v>179197.67</v>
      </c>
      <c r="Q236" s="40">
        <v>0</v>
      </c>
      <c r="R236" s="40">
        <f t="shared" si="5"/>
        <v>179197.67</v>
      </c>
      <c r="S236" s="15"/>
      <c r="T236" s="285" t="s">
        <v>7155</v>
      </c>
      <c r="U236" s="15">
        <v>43668</v>
      </c>
      <c r="V236" s="12" t="s">
        <v>15324</v>
      </c>
      <c r="W236" s="14"/>
      <c r="X236" s="14"/>
      <c r="Y236" s="14"/>
      <c r="Z236" s="14"/>
      <c r="AA236" s="14"/>
    </row>
    <row r="237" spans="1:27" s="39" customFormat="1" ht="100.5" customHeight="1" x14ac:dyDescent="0.2">
      <c r="A237" s="289">
        <v>42</v>
      </c>
      <c r="B237" s="289" t="s">
        <v>15325</v>
      </c>
      <c r="C237" s="9"/>
      <c r="D237" s="255" t="s">
        <v>15326</v>
      </c>
      <c r="E237" s="516" t="s">
        <v>15321</v>
      </c>
      <c r="F237" s="586" t="s">
        <v>15327</v>
      </c>
      <c r="G237" s="361" t="s">
        <v>15328</v>
      </c>
      <c r="H237" s="361" t="s">
        <v>14808</v>
      </c>
      <c r="I237" s="49" t="s">
        <v>3793</v>
      </c>
      <c r="J237" s="361"/>
      <c r="K237" s="22" t="s">
        <v>3136</v>
      </c>
      <c r="L237" s="140">
        <v>43795</v>
      </c>
      <c r="M237" s="361">
        <v>978</v>
      </c>
      <c r="N237" s="562">
        <v>35</v>
      </c>
      <c r="O237" s="15">
        <v>43787</v>
      </c>
      <c r="P237" s="40">
        <v>23939</v>
      </c>
      <c r="Q237" s="40">
        <v>0</v>
      </c>
      <c r="R237" s="40">
        <f t="shared" si="5"/>
        <v>23939</v>
      </c>
      <c r="S237" s="15"/>
      <c r="T237" s="285" t="s">
        <v>7155</v>
      </c>
      <c r="U237" s="15">
        <v>43668</v>
      </c>
      <c r="V237" s="12" t="s">
        <v>15324</v>
      </c>
      <c r="W237" s="14"/>
      <c r="X237" s="14"/>
      <c r="Y237" s="14"/>
      <c r="Z237" s="14"/>
      <c r="AA237" s="14"/>
    </row>
    <row r="238" spans="1:27" s="39" customFormat="1" ht="125.25" customHeight="1" x14ac:dyDescent="0.2">
      <c r="A238" s="289">
        <v>43</v>
      </c>
      <c r="B238" s="289" t="s">
        <v>15329</v>
      </c>
      <c r="C238" s="9"/>
      <c r="D238" s="255" t="s">
        <v>15330</v>
      </c>
      <c r="E238" s="516" t="s">
        <v>15321</v>
      </c>
      <c r="F238" s="586" t="s">
        <v>15331</v>
      </c>
      <c r="G238" s="361" t="s">
        <v>15332</v>
      </c>
      <c r="H238" s="361" t="s">
        <v>14808</v>
      </c>
      <c r="I238" s="49" t="s">
        <v>3793</v>
      </c>
      <c r="J238" s="361"/>
      <c r="K238" s="22" t="s">
        <v>3136</v>
      </c>
      <c r="L238" s="140">
        <v>43795</v>
      </c>
      <c r="M238" s="361">
        <v>978</v>
      </c>
      <c r="N238" s="562">
        <v>8</v>
      </c>
      <c r="O238" s="15">
        <v>43787</v>
      </c>
      <c r="P238" s="40">
        <v>29628</v>
      </c>
      <c r="Q238" s="40">
        <v>0</v>
      </c>
      <c r="R238" s="40">
        <f t="shared" si="5"/>
        <v>29628</v>
      </c>
      <c r="S238" s="15"/>
      <c r="T238" s="285" t="s">
        <v>7155</v>
      </c>
      <c r="U238" s="15">
        <v>43668</v>
      </c>
      <c r="V238" s="12" t="s">
        <v>15324</v>
      </c>
      <c r="W238" s="14"/>
      <c r="X238" s="14"/>
      <c r="Y238" s="14"/>
      <c r="Z238" s="14"/>
      <c r="AA238" s="14"/>
    </row>
    <row r="239" spans="1:27" s="39" customFormat="1" ht="129" customHeight="1" x14ac:dyDescent="0.2">
      <c r="A239" s="289">
        <v>44</v>
      </c>
      <c r="B239" s="30" t="s">
        <v>15333</v>
      </c>
      <c r="C239" s="46"/>
      <c r="D239" s="256" t="s">
        <v>15330</v>
      </c>
      <c r="E239" s="660" t="s">
        <v>15321</v>
      </c>
      <c r="F239" s="661" t="s">
        <v>15334</v>
      </c>
      <c r="G239" s="589" t="s">
        <v>15335</v>
      </c>
      <c r="H239" s="589" t="s">
        <v>14808</v>
      </c>
      <c r="I239" s="49" t="s">
        <v>3793</v>
      </c>
      <c r="J239" s="589"/>
      <c r="K239" s="119" t="s">
        <v>3136</v>
      </c>
      <c r="L239" s="662">
        <v>43795</v>
      </c>
      <c r="M239" s="589">
        <v>978</v>
      </c>
      <c r="N239" s="663">
        <v>4</v>
      </c>
      <c r="O239" s="51">
        <v>43787</v>
      </c>
      <c r="P239" s="100">
        <v>15461</v>
      </c>
      <c r="Q239" s="100">
        <v>0</v>
      </c>
      <c r="R239" s="100">
        <f t="shared" si="5"/>
        <v>15461</v>
      </c>
      <c r="S239" s="51"/>
      <c r="T239" s="49" t="s">
        <v>7155</v>
      </c>
      <c r="U239" s="51">
        <v>43668</v>
      </c>
      <c r="V239" s="42" t="s">
        <v>15324</v>
      </c>
      <c r="W239" s="53"/>
      <c r="X239" s="53"/>
      <c r="Y239" s="53"/>
      <c r="Z239" s="53"/>
      <c r="AA239" s="53"/>
    </row>
    <row r="240" spans="1:27" s="39" customFormat="1" ht="180" customHeight="1" x14ac:dyDescent="0.2">
      <c r="A240" s="289">
        <v>45</v>
      </c>
      <c r="B240" s="289" t="s">
        <v>15336</v>
      </c>
      <c r="C240" s="9"/>
      <c r="D240" s="255" t="s">
        <v>15081</v>
      </c>
      <c r="E240" s="516" t="s">
        <v>15321</v>
      </c>
      <c r="F240" s="586" t="s">
        <v>15337</v>
      </c>
      <c r="G240" s="361" t="s">
        <v>15338</v>
      </c>
      <c r="H240" s="361"/>
      <c r="I240" s="285" t="s">
        <v>2042</v>
      </c>
      <c r="J240" s="361" t="s">
        <v>2207</v>
      </c>
      <c r="K240" s="22" t="s">
        <v>3136</v>
      </c>
      <c r="L240" s="140">
        <v>43830</v>
      </c>
      <c r="M240" s="361">
        <v>1087</v>
      </c>
      <c r="N240" s="562">
        <v>450</v>
      </c>
      <c r="O240" s="15">
        <v>43798</v>
      </c>
      <c r="P240" s="40">
        <v>395897.82</v>
      </c>
      <c r="Q240" s="40">
        <v>0</v>
      </c>
      <c r="R240" s="40">
        <f t="shared" si="5"/>
        <v>395897.82</v>
      </c>
      <c r="S240" s="15"/>
      <c r="T240" s="285" t="s">
        <v>15339</v>
      </c>
      <c r="U240" s="15">
        <v>43746</v>
      </c>
      <c r="V240" s="12" t="s">
        <v>15340</v>
      </c>
      <c r="W240" s="14"/>
      <c r="X240" s="14"/>
      <c r="Y240" s="14"/>
      <c r="Z240" s="14"/>
      <c r="AA240" s="14"/>
    </row>
    <row r="241" spans="1:27" s="39" customFormat="1" ht="76.5" customHeight="1" x14ac:dyDescent="0.2">
      <c r="A241" s="289">
        <v>46</v>
      </c>
      <c r="B241" s="289" t="s">
        <v>15341</v>
      </c>
      <c r="C241" s="9"/>
      <c r="D241" s="255" t="s">
        <v>15342</v>
      </c>
      <c r="E241" s="516" t="s">
        <v>9378</v>
      </c>
      <c r="F241" s="586" t="s">
        <v>15343</v>
      </c>
      <c r="G241" s="361" t="s">
        <v>15344</v>
      </c>
      <c r="H241" s="361" t="s">
        <v>14808</v>
      </c>
      <c r="I241" s="285" t="s">
        <v>3793</v>
      </c>
      <c r="J241" s="361"/>
      <c r="K241" s="22" t="s">
        <v>3136</v>
      </c>
      <c r="L241" s="140">
        <v>44011</v>
      </c>
      <c r="M241" s="361">
        <v>561</v>
      </c>
      <c r="N241" s="562">
        <v>525</v>
      </c>
      <c r="O241" s="15">
        <v>44005</v>
      </c>
      <c r="P241" s="40">
        <v>390586</v>
      </c>
      <c r="Q241" s="40">
        <v>65097.599999999999</v>
      </c>
      <c r="R241" s="40">
        <f t="shared" si="5"/>
        <v>325488.40000000002</v>
      </c>
      <c r="S241" s="15"/>
      <c r="T241" s="285" t="s">
        <v>15345</v>
      </c>
      <c r="U241" s="15" t="s">
        <v>15346</v>
      </c>
      <c r="V241" s="12" t="s">
        <v>6502</v>
      </c>
      <c r="W241" s="14"/>
      <c r="X241" s="14"/>
      <c r="Y241" s="14"/>
      <c r="Z241" s="14"/>
      <c r="AA241" s="14"/>
    </row>
    <row r="242" spans="1:27" s="39" customFormat="1" ht="101.25" customHeight="1" x14ac:dyDescent="0.2">
      <c r="A242" s="289">
        <v>47</v>
      </c>
      <c r="B242" s="289" t="s">
        <v>15347</v>
      </c>
      <c r="C242" s="9"/>
      <c r="D242" s="256" t="s">
        <v>15348</v>
      </c>
      <c r="E242" s="516" t="s">
        <v>15349</v>
      </c>
      <c r="F242" s="586" t="s">
        <v>15350</v>
      </c>
      <c r="G242" s="361" t="s">
        <v>15351</v>
      </c>
      <c r="H242" s="361" t="s">
        <v>14808</v>
      </c>
      <c r="I242" s="285" t="s">
        <v>3793</v>
      </c>
      <c r="J242" s="361"/>
      <c r="K242" s="22" t="s">
        <v>3136</v>
      </c>
      <c r="L242" s="140">
        <v>44063</v>
      </c>
      <c r="M242" s="361">
        <v>701</v>
      </c>
      <c r="N242" s="562">
        <v>581</v>
      </c>
      <c r="O242" s="15">
        <v>44048</v>
      </c>
      <c r="P242" s="40">
        <v>200210.92</v>
      </c>
      <c r="Q242" s="40">
        <v>31143.84</v>
      </c>
      <c r="R242" s="40">
        <f t="shared" si="5"/>
        <v>169067.08000000002</v>
      </c>
      <c r="S242" s="15"/>
      <c r="T242" s="285" t="s">
        <v>15352</v>
      </c>
      <c r="U242" s="15">
        <v>44048</v>
      </c>
      <c r="V242" s="12" t="s">
        <v>15353</v>
      </c>
      <c r="W242" s="14"/>
      <c r="X242" s="14"/>
      <c r="Y242" s="14"/>
      <c r="Z242" s="14"/>
      <c r="AA242" s="14"/>
    </row>
    <row r="243" spans="1:27" s="39" customFormat="1" ht="45" customHeight="1" x14ac:dyDescent="0.2">
      <c r="A243" s="289">
        <v>48</v>
      </c>
      <c r="B243" s="289" t="s">
        <v>15354</v>
      </c>
      <c r="C243" s="585" t="s">
        <v>14797</v>
      </c>
      <c r="D243" s="9" t="s">
        <v>15355</v>
      </c>
      <c r="E243" s="664" t="s">
        <v>10239</v>
      </c>
      <c r="F243" s="586" t="s">
        <v>15356</v>
      </c>
      <c r="G243" s="361" t="s">
        <v>15357</v>
      </c>
      <c r="H243" s="361" t="s">
        <v>14808</v>
      </c>
      <c r="I243" s="285" t="s">
        <v>3793</v>
      </c>
      <c r="J243" s="361"/>
      <c r="K243" s="22" t="s">
        <v>3136</v>
      </c>
      <c r="L243" s="140">
        <v>44132</v>
      </c>
      <c r="M243" s="361">
        <v>894</v>
      </c>
      <c r="N243" s="562">
        <v>500</v>
      </c>
      <c r="O243" s="15">
        <v>44105</v>
      </c>
      <c r="P243" s="40">
        <v>37050</v>
      </c>
      <c r="Q243" s="40">
        <v>37050</v>
      </c>
      <c r="R243" s="40">
        <f t="shared" si="5"/>
        <v>0</v>
      </c>
      <c r="S243" s="15"/>
      <c r="T243" s="285" t="s">
        <v>13679</v>
      </c>
      <c r="U243" s="15"/>
      <c r="V243" s="22" t="s">
        <v>14588</v>
      </c>
      <c r="W243" s="14"/>
      <c r="X243" s="14"/>
      <c r="Y243" s="14"/>
      <c r="Z243" s="14"/>
      <c r="AA243" s="14"/>
    </row>
    <row r="244" spans="1:27" s="39" customFormat="1" ht="45" customHeight="1" x14ac:dyDescent="0.2">
      <c r="A244" s="289">
        <v>49</v>
      </c>
      <c r="B244" s="289" t="s">
        <v>15358</v>
      </c>
      <c r="C244" s="585" t="s">
        <v>14797</v>
      </c>
      <c r="D244" s="9" t="s">
        <v>15359</v>
      </c>
      <c r="E244" s="664" t="s">
        <v>10239</v>
      </c>
      <c r="F244" s="586" t="s">
        <v>15360</v>
      </c>
      <c r="G244" s="361" t="s">
        <v>15357</v>
      </c>
      <c r="H244" s="361" t="s">
        <v>14808</v>
      </c>
      <c r="I244" s="285" t="s">
        <v>3793</v>
      </c>
      <c r="J244" s="361"/>
      <c r="K244" s="22" t="s">
        <v>3136</v>
      </c>
      <c r="L244" s="140">
        <v>44132</v>
      </c>
      <c r="M244" s="361">
        <v>894</v>
      </c>
      <c r="N244" s="562">
        <v>500</v>
      </c>
      <c r="O244" s="15">
        <v>44105</v>
      </c>
      <c r="P244" s="40">
        <v>37050</v>
      </c>
      <c r="Q244" s="40">
        <v>37050</v>
      </c>
      <c r="R244" s="40">
        <f t="shared" si="5"/>
        <v>0</v>
      </c>
      <c r="S244" s="15"/>
      <c r="T244" s="285" t="s">
        <v>13679</v>
      </c>
      <c r="U244" s="15"/>
      <c r="V244" s="22" t="s">
        <v>14588</v>
      </c>
      <c r="W244" s="14"/>
      <c r="X244" s="14"/>
      <c r="Y244" s="14"/>
      <c r="Z244" s="14"/>
      <c r="AA244" s="14"/>
    </row>
    <row r="245" spans="1:27" s="39" customFormat="1" ht="45" customHeight="1" x14ac:dyDescent="0.2">
      <c r="A245" s="289">
        <v>50</v>
      </c>
      <c r="B245" s="289" t="s">
        <v>15361</v>
      </c>
      <c r="C245" s="585" t="s">
        <v>14797</v>
      </c>
      <c r="D245" s="9" t="s">
        <v>15362</v>
      </c>
      <c r="E245" s="664" t="s">
        <v>10239</v>
      </c>
      <c r="F245" s="586" t="s">
        <v>15363</v>
      </c>
      <c r="G245" s="361" t="s">
        <v>15357</v>
      </c>
      <c r="H245" s="361" t="s">
        <v>14808</v>
      </c>
      <c r="I245" s="285" t="s">
        <v>3793</v>
      </c>
      <c r="J245" s="361"/>
      <c r="K245" s="22" t="s">
        <v>3136</v>
      </c>
      <c r="L245" s="140">
        <v>44132</v>
      </c>
      <c r="M245" s="361">
        <v>894</v>
      </c>
      <c r="N245" s="562">
        <v>500</v>
      </c>
      <c r="O245" s="15">
        <v>44105</v>
      </c>
      <c r="P245" s="40">
        <v>20820</v>
      </c>
      <c r="Q245" s="40">
        <v>20820</v>
      </c>
      <c r="R245" s="40">
        <f t="shared" si="5"/>
        <v>0</v>
      </c>
      <c r="S245" s="15"/>
      <c r="T245" s="285" t="s">
        <v>13679</v>
      </c>
      <c r="U245" s="15"/>
      <c r="V245" s="22" t="s">
        <v>14588</v>
      </c>
      <c r="W245" s="14"/>
      <c r="X245" s="14"/>
      <c r="Y245" s="14"/>
      <c r="Z245" s="14"/>
      <c r="AA245" s="14"/>
    </row>
    <row r="246" spans="1:27" s="39" customFormat="1" ht="45" customHeight="1" x14ac:dyDescent="0.2">
      <c r="A246" s="289">
        <v>51</v>
      </c>
      <c r="B246" s="289" t="s">
        <v>15364</v>
      </c>
      <c r="C246" s="585" t="s">
        <v>14797</v>
      </c>
      <c r="D246" s="9" t="s">
        <v>15365</v>
      </c>
      <c r="E246" s="664" t="s">
        <v>10239</v>
      </c>
      <c r="F246" s="586" t="s">
        <v>15366</v>
      </c>
      <c r="G246" s="361" t="s">
        <v>15357</v>
      </c>
      <c r="H246" s="361" t="s">
        <v>14808</v>
      </c>
      <c r="I246" s="285" t="s">
        <v>3793</v>
      </c>
      <c r="J246" s="361"/>
      <c r="K246" s="22" t="s">
        <v>3136</v>
      </c>
      <c r="L246" s="140">
        <v>44132</v>
      </c>
      <c r="M246" s="361">
        <v>894</v>
      </c>
      <c r="N246" s="562">
        <v>650</v>
      </c>
      <c r="O246" s="15">
        <v>44105</v>
      </c>
      <c r="P246" s="40">
        <v>18400</v>
      </c>
      <c r="Q246" s="40">
        <v>18400</v>
      </c>
      <c r="R246" s="40">
        <f t="shared" si="5"/>
        <v>0</v>
      </c>
      <c r="S246" s="15"/>
      <c r="T246" s="285" t="s">
        <v>13679</v>
      </c>
      <c r="U246" s="15"/>
      <c r="V246" s="22" t="s">
        <v>14588</v>
      </c>
      <c r="W246" s="14"/>
      <c r="X246" s="14"/>
      <c r="Y246" s="14"/>
      <c r="Z246" s="14"/>
      <c r="AA246" s="14"/>
    </row>
    <row r="247" spans="1:27" s="39" customFormat="1" ht="51.6" customHeight="1" x14ac:dyDescent="0.2">
      <c r="A247" s="289">
        <v>52</v>
      </c>
      <c r="B247" s="289" t="s">
        <v>15367</v>
      </c>
      <c r="C247" s="585" t="s">
        <v>14797</v>
      </c>
      <c r="D247" s="9" t="s">
        <v>15368</v>
      </c>
      <c r="E247" s="664" t="s">
        <v>10239</v>
      </c>
      <c r="F247" s="586" t="s">
        <v>15369</v>
      </c>
      <c r="G247" s="361" t="s">
        <v>15357</v>
      </c>
      <c r="H247" s="361" t="s">
        <v>14808</v>
      </c>
      <c r="I247" s="285" t="s">
        <v>3793</v>
      </c>
      <c r="J247" s="361"/>
      <c r="K247" s="22" t="s">
        <v>3136</v>
      </c>
      <c r="L247" s="140">
        <v>44132</v>
      </c>
      <c r="M247" s="361">
        <v>894</v>
      </c>
      <c r="N247" s="562">
        <v>140</v>
      </c>
      <c r="O247" s="15">
        <v>44105</v>
      </c>
      <c r="P247" s="40">
        <v>31400</v>
      </c>
      <c r="Q247" s="40">
        <v>31400</v>
      </c>
      <c r="R247" s="40">
        <f t="shared" si="5"/>
        <v>0</v>
      </c>
      <c r="S247" s="15"/>
      <c r="T247" s="285" t="s">
        <v>13679</v>
      </c>
      <c r="U247" s="15"/>
      <c r="V247" s="22" t="s">
        <v>14588</v>
      </c>
      <c r="W247" s="14"/>
      <c r="X247" s="14"/>
      <c r="Y247" s="14"/>
      <c r="Z247" s="14"/>
      <c r="AA247" s="14"/>
    </row>
    <row r="248" spans="1:27" s="39" customFormat="1" ht="48.75" customHeight="1" x14ac:dyDescent="0.2">
      <c r="A248" s="289">
        <v>53</v>
      </c>
      <c r="B248" s="289" t="s">
        <v>15370</v>
      </c>
      <c r="C248" s="585" t="s">
        <v>15371</v>
      </c>
      <c r="D248" s="9" t="s">
        <v>15372</v>
      </c>
      <c r="E248" s="664" t="s">
        <v>10239</v>
      </c>
      <c r="F248" s="586" t="s">
        <v>15373</v>
      </c>
      <c r="G248" s="361" t="s">
        <v>15357</v>
      </c>
      <c r="H248" s="361" t="s">
        <v>14808</v>
      </c>
      <c r="I248" s="285" t="s">
        <v>3793</v>
      </c>
      <c r="J248" s="361"/>
      <c r="K248" s="22" t="s">
        <v>3136</v>
      </c>
      <c r="L248" s="140">
        <v>44132</v>
      </c>
      <c r="M248" s="361">
        <v>894</v>
      </c>
      <c r="N248" s="562">
        <v>40</v>
      </c>
      <c r="O248" s="15">
        <v>44105</v>
      </c>
      <c r="P248" s="40">
        <v>15420</v>
      </c>
      <c r="Q248" s="40">
        <v>15420</v>
      </c>
      <c r="R248" s="40">
        <f t="shared" si="5"/>
        <v>0</v>
      </c>
      <c r="S248" s="15"/>
      <c r="T248" s="285" t="s">
        <v>13679</v>
      </c>
      <c r="U248" s="15"/>
      <c r="V248" s="22" t="s">
        <v>14588</v>
      </c>
      <c r="W248" s="14"/>
      <c r="X248" s="14"/>
      <c r="Y248" s="14"/>
      <c r="Z248" s="14"/>
      <c r="AA248" s="14"/>
    </row>
    <row r="249" spans="1:27" s="39" customFormat="1" ht="112.5" customHeight="1" x14ac:dyDescent="0.2">
      <c r="A249" s="289">
        <v>54</v>
      </c>
      <c r="B249" s="289" t="s">
        <v>15374</v>
      </c>
      <c r="C249" s="585" t="s">
        <v>14801</v>
      </c>
      <c r="D249" s="9" t="s">
        <v>15375</v>
      </c>
      <c r="E249" s="664" t="s">
        <v>10239</v>
      </c>
      <c r="F249" s="586" t="s">
        <v>15376</v>
      </c>
      <c r="G249" s="361" t="s">
        <v>15357</v>
      </c>
      <c r="H249" s="361" t="s">
        <v>14808</v>
      </c>
      <c r="I249" s="285" t="s">
        <v>3793</v>
      </c>
      <c r="J249" s="361"/>
      <c r="K249" s="22" t="s">
        <v>3136</v>
      </c>
      <c r="L249" s="140">
        <v>44132</v>
      </c>
      <c r="M249" s="361">
        <v>894</v>
      </c>
      <c r="N249" s="562"/>
      <c r="O249" s="15">
        <v>44105</v>
      </c>
      <c r="P249" s="40">
        <v>202350</v>
      </c>
      <c r="Q249" s="40">
        <v>21830.38</v>
      </c>
      <c r="R249" s="40">
        <f t="shared" si="5"/>
        <v>180519.62</v>
      </c>
      <c r="S249" s="15"/>
      <c r="T249" s="285" t="s">
        <v>13679</v>
      </c>
      <c r="U249" s="15"/>
      <c r="V249" s="22" t="s">
        <v>14588</v>
      </c>
      <c r="W249" s="14"/>
      <c r="X249" s="14"/>
      <c r="Y249" s="14"/>
      <c r="Z249" s="14"/>
      <c r="AA249" s="14"/>
    </row>
    <row r="250" spans="1:27" s="39" customFormat="1" ht="127.5" customHeight="1" x14ac:dyDescent="0.2">
      <c r="A250" s="289">
        <v>55</v>
      </c>
      <c r="B250" s="289" t="s">
        <v>15377</v>
      </c>
      <c r="C250" s="9" t="s">
        <v>15378</v>
      </c>
      <c r="D250" s="9" t="s">
        <v>14823</v>
      </c>
      <c r="E250" s="516" t="s">
        <v>3074</v>
      </c>
      <c r="F250" s="586"/>
      <c r="G250" s="361" t="s">
        <v>15379</v>
      </c>
      <c r="H250" s="361" t="s">
        <v>14808</v>
      </c>
      <c r="I250" s="285" t="s">
        <v>3793</v>
      </c>
      <c r="J250" s="361"/>
      <c r="K250" s="22" t="s">
        <v>3136</v>
      </c>
      <c r="L250" s="140" t="s">
        <v>15148</v>
      </c>
      <c r="M250" s="361" t="s">
        <v>15149</v>
      </c>
      <c r="N250" s="562">
        <v>1233</v>
      </c>
      <c r="O250" s="15">
        <v>44288</v>
      </c>
      <c r="P250" s="40">
        <v>282393.65000000002</v>
      </c>
      <c r="Q250" s="40">
        <v>221133.31</v>
      </c>
      <c r="R250" s="40">
        <f t="shared" si="5"/>
        <v>61260.340000000026</v>
      </c>
      <c r="S250" s="15"/>
      <c r="T250" s="285" t="s">
        <v>15380</v>
      </c>
      <c r="U250" s="15">
        <v>44288</v>
      </c>
      <c r="V250" s="22" t="s">
        <v>15381</v>
      </c>
      <c r="W250" s="14"/>
      <c r="X250" s="14"/>
      <c r="Y250" s="14"/>
      <c r="Z250" s="14"/>
      <c r="AA250" s="14"/>
    </row>
    <row r="251" spans="1:27" s="39" customFormat="1" ht="183" customHeight="1" x14ac:dyDescent="0.2">
      <c r="A251" s="289">
        <v>56</v>
      </c>
      <c r="B251" s="289" t="s">
        <v>15382</v>
      </c>
      <c r="C251" s="9" t="s">
        <v>15383</v>
      </c>
      <c r="D251" s="9" t="s">
        <v>14823</v>
      </c>
      <c r="E251" s="516" t="s">
        <v>3074</v>
      </c>
      <c r="F251" s="586"/>
      <c r="G251" s="361" t="s">
        <v>15384</v>
      </c>
      <c r="H251" s="361" t="s">
        <v>14808</v>
      </c>
      <c r="I251" s="285" t="s">
        <v>3793</v>
      </c>
      <c r="J251" s="361"/>
      <c r="K251" s="22" t="s">
        <v>3136</v>
      </c>
      <c r="L251" s="140">
        <v>44300</v>
      </c>
      <c r="M251" s="361">
        <v>264</v>
      </c>
      <c r="N251" s="562">
        <v>775</v>
      </c>
      <c r="O251" s="15">
        <v>44265</v>
      </c>
      <c r="P251" s="40">
        <v>171298.05</v>
      </c>
      <c r="Q251" s="40">
        <v>149046.31</v>
      </c>
      <c r="R251" s="40">
        <f t="shared" si="5"/>
        <v>22251.739999999991</v>
      </c>
      <c r="S251" s="15"/>
      <c r="T251" s="285" t="s">
        <v>15380</v>
      </c>
      <c r="U251" s="15">
        <v>44265</v>
      </c>
      <c r="V251" s="22" t="s">
        <v>15385</v>
      </c>
      <c r="W251" s="14"/>
      <c r="X251" s="14"/>
      <c r="Y251" s="14"/>
      <c r="Z251" s="14"/>
      <c r="AA251" s="14"/>
    </row>
    <row r="252" spans="1:27" ht="15.75" customHeight="1" x14ac:dyDescent="0.2">
      <c r="B252" s="74"/>
      <c r="D252" s="665"/>
      <c r="E252" s="666"/>
      <c r="F252" s="665"/>
      <c r="G252" s="378"/>
      <c r="H252" s="666"/>
      <c r="I252" s="666"/>
      <c r="J252" s="378"/>
      <c r="K252" s="378"/>
      <c r="L252" s="378"/>
      <c r="M252" s="666"/>
      <c r="N252" s="667">
        <f>SUM(N7:N251)</f>
        <v>117364.1</v>
      </c>
      <c r="O252" s="668"/>
      <c r="P252" s="521">
        <f>SUM(P7:P251)</f>
        <v>11906370.481999991</v>
      </c>
      <c r="Q252" s="174"/>
      <c r="R252" s="521"/>
      <c r="S252" s="38"/>
      <c r="T252" s="122"/>
      <c r="U252" s="122"/>
      <c r="V252" s="669"/>
      <c r="W252" s="669"/>
      <c r="X252" s="669"/>
      <c r="Y252" s="669"/>
      <c r="Z252" s="669"/>
      <c r="AA252" s="669"/>
    </row>
    <row r="253" spans="1:27" ht="15.75" customHeight="1" x14ac:dyDescent="0.2">
      <c r="B253" s="284"/>
      <c r="D253" s="665"/>
      <c r="E253" s="666"/>
      <c r="F253" s="665"/>
      <c r="G253" s="378"/>
      <c r="H253" s="666"/>
      <c r="I253" s="666"/>
      <c r="J253" s="378"/>
      <c r="K253" s="378"/>
      <c r="L253" s="666"/>
      <c r="M253" s="666"/>
      <c r="N253" s="670"/>
      <c r="O253" s="378"/>
      <c r="P253" s="101"/>
      <c r="R253" s="101"/>
      <c r="S253" s="38"/>
      <c r="T253" s="122"/>
      <c r="U253" s="122"/>
      <c r="V253" s="669"/>
      <c r="W253" s="669"/>
      <c r="X253" s="669"/>
      <c r="Y253" s="669"/>
      <c r="Z253" s="669"/>
      <c r="AA253" s="669"/>
    </row>
    <row r="254" spans="1:27" ht="12" customHeight="1" x14ac:dyDescent="0.2">
      <c r="C254" s="41"/>
      <c r="E254" s="284"/>
      <c r="H254" s="284"/>
      <c r="I254" s="284"/>
      <c r="J254" s="41"/>
      <c r="K254" s="41"/>
      <c r="L254" s="284"/>
      <c r="M254" s="284"/>
      <c r="N254" s="41"/>
      <c r="O254" s="41"/>
      <c r="P254" s="671"/>
      <c r="Q254" s="671"/>
      <c r="R254" s="38"/>
      <c r="S254" s="38"/>
      <c r="T254" s="671"/>
      <c r="U254" s="671"/>
      <c r="V254" s="38"/>
      <c r="W254" s="38"/>
      <c r="X254" s="38"/>
      <c r="Y254" s="38"/>
      <c r="Z254" s="38"/>
      <c r="AA254" s="38"/>
    </row>
    <row r="257" spans="3:13" ht="12" customHeight="1" x14ac:dyDescent="0.2">
      <c r="C257" s="19"/>
      <c r="D257" s="41"/>
      <c r="M257" s="672"/>
    </row>
    <row r="258" spans="3:13" ht="12" customHeight="1" x14ac:dyDescent="0.2">
      <c r="C258" s="19"/>
      <c r="D258" s="41"/>
    </row>
  </sheetData>
  <mergeCells count="56">
    <mergeCell ref="U114:U119"/>
    <mergeCell ref="V114:V119"/>
    <mergeCell ref="I129:I235"/>
    <mergeCell ref="N113:N114"/>
    <mergeCell ref="O113:O119"/>
    <mergeCell ref="P113:P119"/>
    <mergeCell ref="Q113:Q119"/>
    <mergeCell ref="R113:R119"/>
    <mergeCell ref="T114:T119"/>
    <mergeCell ref="R96:R112"/>
    <mergeCell ref="T96:T99"/>
    <mergeCell ref="A113:A119"/>
    <mergeCell ref="B113:B119"/>
    <mergeCell ref="C113:C119"/>
    <mergeCell ref="I113:I119"/>
    <mergeCell ref="J113:J119"/>
    <mergeCell ref="K113:K119"/>
    <mergeCell ref="L113:L119"/>
    <mergeCell ref="M113:M119"/>
    <mergeCell ref="N49:N76"/>
    <mergeCell ref="S49:S95"/>
    <mergeCell ref="T49:T95"/>
    <mergeCell ref="U49:U95"/>
    <mergeCell ref="V49:V95"/>
    <mergeCell ref="I96:I112"/>
    <mergeCell ref="N96:N99"/>
    <mergeCell ref="O96:O99"/>
    <mergeCell ref="P96:P112"/>
    <mergeCell ref="Q96:Q112"/>
    <mergeCell ref="H49:H79"/>
    <mergeCell ref="I49:I95"/>
    <mergeCell ref="J49:J76"/>
    <mergeCell ref="K49:K76"/>
    <mergeCell ref="L49:L76"/>
    <mergeCell ref="M49:M76"/>
    <mergeCell ref="P4:S4"/>
    <mergeCell ref="T4:V4"/>
    <mergeCell ref="W4:Y4"/>
    <mergeCell ref="Z4:AA4"/>
    <mergeCell ref="I41:I48"/>
    <mergeCell ref="J41:J48"/>
    <mergeCell ref="H4:H5"/>
    <mergeCell ref="I4:I5"/>
    <mergeCell ref="J4:J5"/>
    <mergeCell ref="K4:M4"/>
    <mergeCell ref="N4:N5"/>
    <mergeCell ref="O4:O5"/>
    <mergeCell ref="A1:C1"/>
    <mergeCell ref="E1:G1"/>
    <mergeCell ref="A4:A5"/>
    <mergeCell ref="B4:B5"/>
    <mergeCell ref="C4:C5"/>
    <mergeCell ref="D4:D5"/>
    <mergeCell ref="E4:E5"/>
    <mergeCell ref="F4:F5"/>
    <mergeCell ref="G4:G5"/>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4"/>
  <sheetViews>
    <sheetView topLeftCell="A315" workbookViewId="0">
      <selection activeCell="A312" sqref="A1:XFD1048576"/>
    </sheetView>
  </sheetViews>
  <sheetFormatPr defaultColWidth="9.140625" defaultRowHeight="12.75" x14ac:dyDescent="0.2"/>
  <cols>
    <col min="1" max="1" width="5" style="7" customWidth="1"/>
    <col min="2" max="2" width="16.42578125" style="7" customWidth="1"/>
    <col min="3" max="3" width="13.28515625" style="146" customWidth="1"/>
    <col min="4" max="4" width="12.28515625" style="534" customWidth="1"/>
    <col min="5" max="5" width="7.42578125" style="90" customWidth="1"/>
    <col min="6" max="6" width="17" style="677" customWidth="1"/>
    <col min="7" max="7" width="19.85546875" style="7" customWidth="1"/>
    <col min="8" max="8" width="15.5703125" style="7" customWidth="1"/>
    <col min="9" max="9" width="11" style="7" customWidth="1"/>
    <col min="10" max="10" width="9.42578125" style="450" customWidth="1"/>
    <col min="11" max="11" width="12.28515625" style="7" customWidth="1"/>
    <col min="12" max="12" width="9.85546875" style="7" customWidth="1"/>
    <col min="13" max="13" width="7.85546875" style="7" customWidth="1"/>
    <col min="14" max="14" width="9.85546875" style="7" customWidth="1"/>
    <col min="15" max="15" width="9.28515625" style="90" customWidth="1"/>
    <col min="16" max="16" width="12.28515625" style="450" customWidth="1"/>
    <col min="17" max="17" width="12.42578125" style="450" customWidth="1"/>
    <col min="18" max="18" width="12.7109375" style="450" customWidth="1"/>
    <col min="19" max="19" width="12.140625" style="450" customWidth="1"/>
    <col min="20" max="20" width="12.7109375" style="7" customWidth="1"/>
    <col min="21" max="21" width="9.28515625" style="7" customWidth="1"/>
    <col min="22" max="22" width="10.85546875" style="7" customWidth="1"/>
    <col min="23" max="23" width="12.140625" style="450" customWidth="1"/>
    <col min="24" max="24" width="12" style="450" customWidth="1"/>
    <col min="25" max="25" width="11.42578125" style="450" customWidth="1"/>
    <col min="26" max="27" width="15" style="450" customWidth="1"/>
    <col min="28" max="29" width="9.140625" style="450"/>
    <col min="30" max="30" width="1.5703125" style="450" customWidth="1"/>
    <col min="31" max="32" width="9.140625" style="450"/>
    <col min="33" max="33" width="7.42578125" style="450" customWidth="1"/>
    <col min="34" max="34" width="8.5703125" style="450" customWidth="1"/>
    <col min="35" max="16384" width="9.140625" style="450"/>
  </cols>
  <sheetData>
    <row r="1" spans="1:27" ht="18" customHeight="1" x14ac:dyDescent="0.2">
      <c r="A1" s="318" t="s">
        <v>12980</v>
      </c>
      <c r="B1" s="318"/>
      <c r="C1" s="318"/>
      <c r="D1" s="673"/>
      <c r="E1" s="674"/>
      <c r="F1" s="674"/>
      <c r="G1" s="675"/>
      <c r="J1" s="6"/>
      <c r="K1" s="90"/>
      <c r="M1" s="676"/>
      <c r="P1" s="112"/>
    </row>
    <row r="2" spans="1:27" ht="29.25" customHeight="1" thickBot="1" x14ac:dyDescent="0.25">
      <c r="A2" s="91" t="s">
        <v>15386</v>
      </c>
      <c r="B2" s="288"/>
      <c r="C2" s="290"/>
      <c r="D2" s="536"/>
      <c r="E2" s="5"/>
      <c r="M2" s="676"/>
      <c r="P2" s="112"/>
      <c r="W2" s="349"/>
      <c r="X2" s="349"/>
    </row>
    <row r="3" spans="1:27" s="19" customFormat="1" ht="38.25" customHeight="1" thickBot="1" x14ac:dyDescent="0.25">
      <c r="A3" s="314" t="s">
        <v>3972</v>
      </c>
      <c r="B3" s="538" t="s">
        <v>6165</v>
      </c>
      <c r="C3" s="678" t="s">
        <v>12408</v>
      </c>
      <c r="D3" s="539" t="s">
        <v>1995</v>
      </c>
      <c r="E3" s="540" t="s">
        <v>12982</v>
      </c>
      <c r="F3" s="539" t="s">
        <v>438</v>
      </c>
      <c r="G3" s="542" t="s">
        <v>14021</v>
      </c>
      <c r="H3" s="538" t="s">
        <v>2417</v>
      </c>
      <c r="I3" s="538" t="s">
        <v>5331</v>
      </c>
      <c r="J3" s="297" t="s">
        <v>12419</v>
      </c>
      <c r="K3" s="300" t="s">
        <v>3130</v>
      </c>
      <c r="L3" s="303"/>
      <c r="M3" s="301"/>
      <c r="N3" s="297" t="s">
        <v>14022</v>
      </c>
      <c r="O3" s="543" t="s">
        <v>5405</v>
      </c>
      <c r="P3" s="544" t="s">
        <v>14024</v>
      </c>
      <c r="Q3" s="545"/>
      <c r="R3" s="545"/>
      <c r="S3" s="546"/>
      <c r="T3" s="300" t="s">
        <v>6338</v>
      </c>
      <c r="U3" s="303"/>
      <c r="V3" s="304"/>
      <c r="W3" s="300" t="s">
        <v>4397</v>
      </c>
      <c r="X3" s="303"/>
      <c r="Y3" s="301"/>
      <c r="Z3" s="300" t="s">
        <v>3638</v>
      </c>
      <c r="AA3" s="301"/>
    </row>
    <row r="4" spans="1:27" s="19" customFormat="1" ht="40.5" customHeight="1" thickBot="1" x14ac:dyDescent="0.25">
      <c r="A4" s="315"/>
      <c r="B4" s="548"/>
      <c r="C4" s="679"/>
      <c r="D4" s="549"/>
      <c r="E4" s="550"/>
      <c r="F4" s="549"/>
      <c r="G4" s="552"/>
      <c r="H4" s="548"/>
      <c r="I4" s="548"/>
      <c r="J4" s="298"/>
      <c r="K4" s="93" t="s">
        <v>3771</v>
      </c>
      <c r="L4" s="93" t="s">
        <v>1598</v>
      </c>
      <c r="M4" s="322" t="s">
        <v>3131</v>
      </c>
      <c r="N4" s="298"/>
      <c r="O4" s="581"/>
      <c r="P4" s="282" t="s">
        <v>38</v>
      </c>
      <c r="Q4" s="282" t="s">
        <v>5794</v>
      </c>
      <c r="R4" s="582" t="s">
        <v>2252</v>
      </c>
      <c r="S4" s="582" t="s">
        <v>12413</v>
      </c>
      <c r="T4" s="94" t="s">
        <v>3771</v>
      </c>
      <c r="U4" s="94" t="s">
        <v>1598</v>
      </c>
      <c r="V4" s="94" t="s">
        <v>3131</v>
      </c>
      <c r="W4" s="94" t="s">
        <v>3771</v>
      </c>
      <c r="X4" s="94" t="s">
        <v>1598</v>
      </c>
      <c r="Y4" s="94" t="s">
        <v>3131</v>
      </c>
      <c r="Z4" s="93" t="s">
        <v>5101</v>
      </c>
      <c r="AA4" s="93" t="s">
        <v>5102</v>
      </c>
    </row>
    <row r="5" spans="1:27" s="39" customFormat="1" ht="15" customHeight="1" x14ac:dyDescent="0.2">
      <c r="A5" s="37">
        <v>1</v>
      </c>
      <c r="B5" s="37">
        <v>2</v>
      </c>
      <c r="C5" s="37">
        <v>3</v>
      </c>
      <c r="D5" s="9">
        <v>4</v>
      </c>
      <c r="E5" s="289">
        <v>5</v>
      </c>
      <c r="F5" s="28">
        <v>6</v>
      </c>
      <c r="G5" s="289">
        <v>7</v>
      </c>
      <c r="H5" s="289">
        <v>8</v>
      </c>
      <c r="I5" s="289">
        <v>9</v>
      </c>
      <c r="J5" s="289">
        <v>10</v>
      </c>
      <c r="K5" s="289">
        <v>11</v>
      </c>
      <c r="L5" s="289">
        <v>12</v>
      </c>
      <c r="M5" s="289">
        <v>13</v>
      </c>
      <c r="N5" s="289">
        <v>14</v>
      </c>
      <c r="O5" s="289">
        <v>15</v>
      </c>
      <c r="P5" s="289">
        <v>16</v>
      </c>
      <c r="Q5" s="289">
        <v>17</v>
      </c>
      <c r="R5" s="289">
        <v>18</v>
      </c>
      <c r="S5" s="289">
        <v>19</v>
      </c>
      <c r="T5" s="289">
        <v>20</v>
      </c>
      <c r="U5" s="289">
        <v>21</v>
      </c>
      <c r="V5" s="289">
        <v>22</v>
      </c>
      <c r="W5" s="289">
        <v>23</v>
      </c>
      <c r="X5" s="289">
        <v>24</v>
      </c>
      <c r="Y5" s="289">
        <v>25</v>
      </c>
      <c r="Z5" s="289">
        <v>26</v>
      </c>
      <c r="AA5" s="289">
        <v>27</v>
      </c>
    </row>
    <row r="6" spans="1:27" s="19" customFormat="1" ht="147" customHeight="1" x14ac:dyDescent="0.2">
      <c r="A6" s="289">
        <v>1</v>
      </c>
      <c r="B6" s="289" t="s">
        <v>15387</v>
      </c>
      <c r="C6" s="285" t="s">
        <v>15388</v>
      </c>
      <c r="D6" s="517" t="s">
        <v>15389</v>
      </c>
      <c r="E6" s="12" t="s">
        <v>15390</v>
      </c>
      <c r="F6" s="13" t="s">
        <v>15391</v>
      </c>
      <c r="G6" s="285" t="s">
        <v>15392</v>
      </c>
      <c r="H6" s="56" t="s">
        <v>101</v>
      </c>
      <c r="I6" s="285" t="s">
        <v>5127</v>
      </c>
      <c r="J6" s="285"/>
      <c r="K6" s="285" t="s">
        <v>3136</v>
      </c>
      <c r="L6" s="14" t="s">
        <v>15393</v>
      </c>
      <c r="M6" s="285" t="s">
        <v>15394</v>
      </c>
      <c r="N6" s="24">
        <v>71</v>
      </c>
      <c r="O6" s="15">
        <v>39722</v>
      </c>
      <c r="P6" s="40">
        <v>315738.96000000002</v>
      </c>
      <c r="Q6" s="40">
        <f>P6-R6</f>
        <v>315738.96000000002</v>
      </c>
      <c r="R6" s="40">
        <v>0</v>
      </c>
      <c r="S6" s="40">
        <v>270839</v>
      </c>
      <c r="T6" s="285" t="s">
        <v>15395</v>
      </c>
      <c r="U6" s="15">
        <v>43207</v>
      </c>
      <c r="V6" s="14" t="s">
        <v>15396</v>
      </c>
      <c r="W6" s="18"/>
      <c r="X6" s="18"/>
      <c r="Y6" s="18"/>
      <c r="Z6" s="18"/>
      <c r="AA6" s="18"/>
    </row>
    <row r="7" spans="1:27" s="19" customFormat="1" ht="147" customHeight="1" x14ac:dyDescent="0.2">
      <c r="A7" s="289">
        <v>2</v>
      </c>
      <c r="B7" s="289" t="s">
        <v>15397</v>
      </c>
      <c r="C7" s="285" t="s">
        <v>15398</v>
      </c>
      <c r="D7" s="517" t="s">
        <v>15389</v>
      </c>
      <c r="E7" s="289">
        <v>1989</v>
      </c>
      <c r="F7" s="13" t="s">
        <v>15399</v>
      </c>
      <c r="G7" s="285" t="s">
        <v>15400</v>
      </c>
      <c r="H7" s="285" t="s">
        <v>12435</v>
      </c>
      <c r="I7" s="285" t="s">
        <v>5127</v>
      </c>
      <c r="J7" s="285"/>
      <c r="K7" s="285" t="s">
        <v>3136</v>
      </c>
      <c r="L7" s="14" t="s">
        <v>15401</v>
      </c>
      <c r="M7" s="285" t="s">
        <v>15402</v>
      </c>
      <c r="N7" s="285">
        <v>176</v>
      </c>
      <c r="O7" s="15">
        <v>39722</v>
      </c>
      <c r="P7" s="40">
        <v>226765.89</v>
      </c>
      <c r="Q7" s="40">
        <f>P7-R7</f>
        <v>226765.89</v>
      </c>
      <c r="R7" s="40">
        <v>0</v>
      </c>
      <c r="S7" s="40">
        <v>672853</v>
      </c>
      <c r="T7" s="285" t="s">
        <v>15395</v>
      </c>
      <c r="U7" s="15">
        <v>43241</v>
      </c>
      <c r="V7" s="285" t="s">
        <v>15403</v>
      </c>
      <c r="W7" s="18"/>
      <c r="X7" s="18"/>
      <c r="Y7" s="18"/>
      <c r="Z7" s="18"/>
      <c r="AA7" s="18"/>
    </row>
    <row r="8" spans="1:27" s="19" customFormat="1" ht="147" customHeight="1" x14ac:dyDescent="0.2">
      <c r="A8" s="289">
        <v>3</v>
      </c>
      <c r="B8" s="289" t="s">
        <v>15404</v>
      </c>
      <c r="C8" s="285" t="s">
        <v>15405</v>
      </c>
      <c r="D8" s="517" t="s">
        <v>15389</v>
      </c>
      <c r="E8" s="289">
        <v>1986</v>
      </c>
      <c r="F8" s="13" t="s">
        <v>15406</v>
      </c>
      <c r="G8" s="285" t="s">
        <v>15407</v>
      </c>
      <c r="H8" s="285" t="s">
        <v>7967</v>
      </c>
      <c r="I8" s="285" t="s">
        <v>5127</v>
      </c>
      <c r="J8" s="285"/>
      <c r="K8" s="285" t="s">
        <v>3136</v>
      </c>
      <c r="L8" s="14" t="s">
        <v>15408</v>
      </c>
      <c r="M8" s="285" t="s">
        <v>15409</v>
      </c>
      <c r="N8" s="285">
        <v>127</v>
      </c>
      <c r="O8" s="15">
        <v>39722</v>
      </c>
      <c r="P8" s="40">
        <v>310144.77</v>
      </c>
      <c r="Q8" s="40">
        <f>P8-R8</f>
        <v>310144.77</v>
      </c>
      <c r="R8" s="40">
        <v>0</v>
      </c>
      <c r="S8" s="40">
        <v>485088</v>
      </c>
      <c r="T8" s="285" t="s">
        <v>15395</v>
      </c>
      <c r="U8" s="15">
        <v>43250</v>
      </c>
      <c r="V8" s="285" t="s">
        <v>15410</v>
      </c>
      <c r="W8" s="18"/>
      <c r="X8" s="18"/>
      <c r="Y8" s="18"/>
      <c r="Z8" s="18"/>
      <c r="AA8" s="18"/>
    </row>
    <row r="9" spans="1:27" s="19" customFormat="1" ht="147" customHeight="1" x14ac:dyDescent="0.2">
      <c r="A9" s="289">
        <v>4</v>
      </c>
      <c r="B9" s="289" t="s">
        <v>15411</v>
      </c>
      <c r="C9" s="285" t="s">
        <v>15412</v>
      </c>
      <c r="D9" s="517" t="s">
        <v>15389</v>
      </c>
      <c r="E9" s="289">
        <v>1983</v>
      </c>
      <c r="F9" s="13" t="s">
        <v>15413</v>
      </c>
      <c r="G9" s="285" t="s">
        <v>15414</v>
      </c>
      <c r="H9" s="285" t="s">
        <v>515</v>
      </c>
      <c r="I9" s="285" t="s">
        <v>5127</v>
      </c>
      <c r="J9" s="285"/>
      <c r="K9" s="285" t="s">
        <v>3136</v>
      </c>
      <c r="L9" s="14" t="s">
        <v>15408</v>
      </c>
      <c r="M9" s="285" t="s">
        <v>15415</v>
      </c>
      <c r="N9" s="285">
        <v>274</v>
      </c>
      <c r="O9" s="15">
        <v>39722</v>
      </c>
      <c r="P9" s="40">
        <v>998372.43</v>
      </c>
      <c r="Q9" s="40">
        <f>P9-R9</f>
        <v>998372.43</v>
      </c>
      <c r="R9" s="40">
        <v>0</v>
      </c>
      <c r="S9" s="40">
        <v>1049041</v>
      </c>
      <c r="T9" s="285" t="s">
        <v>15395</v>
      </c>
      <c r="U9" s="15">
        <v>43250</v>
      </c>
      <c r="V9" s="285" t="s">
        <v>15416</v>
      </c>
      <c r="W9" s="18"/>
      <c r="X9" s="18"/>
      <c r="Y9" s="18"/>
      <c r="Z9" s="18"/>
      <c r="AA9" s="18"/>
    </row>
    <row r="10" spans="1:27" s="19" customFormat="1" ht="147" customHeight="1" x14ac:dyDescent="0.2">
      <c r="A10" s="289">
        <v>5</v>
      </c>
      <c r="B10" s="289" t="s">
        <v>15417</v>
      </c>
      <c r="C10" s="285" t="s">
        <v>15418</v>
      </c>
      <c r="D10" s="517" t="s">
        <v>15389</v>
      </c>
      <c r="E10" s="289" t="s">
        <v>14129</v>
      </c>
      <c r="F10" s="13" t="s">
        <v>15419</v>
      </c>
      <c r="G10" s="285" t="s">
        <v>15420</v>
      </c>
      <c r="H10" s="285" t="s">
        <v>9194</v>
      </c>
      <c r="I10" s="285" t="s">
        <v>5127</v>
      </c>
      <c r="J10" s="285"/>
      <c r="K10" s="285" t="s">
        <v>3132</v>
      </c>
      <c r="L10" s="14" t="s">
        <v>15421</v>
      </c>
      <c r="M10" s="285" t="s">
        <v>15422</v>
      </c>
      <c r="N10" s="24">
        <v>62</v>
      </c>
      <c r="O10" s="15">
        <v>39934</v>
      </c>
      <c r="P10" s="40">
        <v>54898.64</v>
      </c>
      <c r="Q10" s="40">
        <f>P10-R10</f>
        <v>54898.64</v>
      </c>
      <c r="R10" s="40">
        <v>0</v>
      </c>
      <c r="S10" s="40">
        <v>236448</v>
      </c>
      <c r="T10" s="285" t="s">
        <v>15395</v>
      </c>
      <c r="U10" s="15">
        <v>43284</v>
      </c>
      <c r="V10" s="285" t="s">
        <v>15423</v>
      </c>
      <c r="W10" s="18"/>
      <c r="X10" s="18"/>
      <c r="Y10" s="18"/>
      <c r="Z10" s="18"/>
      <c r="AA10" s="18"/>
    </row>
    <row r="11" spans="1:27" s="19" customFormat="1" ht="240" customHeight="1" x14ac:dyDescent="0.2">
      <c r="A11" s="289">
        <v>6</v>
      </c>
      <c r="B11" s="289" t="s">
        <v>15424</v>
      </c>
      <c r="C11" s="285" t="s">
        <v>15425</v>
      </c>
      <c r="D11" s="517" t="s">
        <v>15426</v>
      </c>
      <c r="E11" s="12" t="s">
        <v>2466</v>
      </c>
      <c r="F11" s="416" t="s">
        <v>15427</v>
      </c>
      <c r="G11" s="426" t="s">
        <v>15428</v>
      </c>
      <c r="H11" s="285" t="s">
        <v>4296</v>
      </c>
      <c r="I11" s="285" t="s">
        <v>1586</v>
      </c>
      <c r="J11" s="285"/>
      <c r="K11" s="285" t="s">
        <v>3136</v>
      </c>
      <c r="L11" s="14" t="s">
        <v>15429</v>
      </c>
      <c r="M11" s="285" t="s">
        <v>15430</v>
      </c>
      <c r="N11" s="17">
        <v>3694</v>
      </c>
      <c r="O11" s="15">
        <v>38292</v>
      </c>
      <c r="P11" s="40">
        <v>26368776.379999999</v>
      </c>
      <c r="Q11" s="40">
        <v>16159585.01</v>
      </c>
      <c r="R11" s="40">
        <f>P11-Q11</f>
        <v>10209191.369999999</v>
      </c>
      <c r="S11" s="40">
        <v>29101713</v>
      </c>
      <c r="T11" s="285" t="s">
        <v>15431</v>
      </c>
      <c r="U11" s="14" t="s">
        <v>15432</v>
      </c>
      <c r="V11" s="285" t="s">
        <v>15433</v>
      </c>
      <c r="W11" s="18"/>
      <c r="X11" s="18"/>
      <c r="Y11" s="18"/>
      <c r="Z11" s="18"/>
      <c r="AA11" s="18"/>
    </row>
    <row r="12" spans="1:27" s="19" customFormat="1" ht="147" customHeight="1" x14ac:dyDescent="0.2">
      <c r="A12" s="289">
        <v>7</v>
      </c>
      <c r="B12" s="289" t="s">
        <v>15434</v>
      </c>
      <c r="C12" s="285" t="s">
        <v>15435</v>
      </c>
      <c r="D12" s="517" t="s">
        <v>15426</v>
      </c>
      <c r="E12" s="12" t="s">
        <v>3746</v>
      </c>
      <c r="F12" s="255" t="s">
        <v>15436</v>
      </c>
      <c r="G12" s="426" t="s">
        <v>15437</v>
      </c>
      <c r="H12" s="285" t="s">
        <v>4296</v>
      </c>
      <c r="I12" s="285" t="s">
        <v>1586</v>
      </c>
      <c r="J12" s="29"/>
      <c r="K12" s="285" t="s">
        <v>3136</v>
      </c>
      <c r="L12" s="14" t="s">
        <v>15438</v>
      </c>
      <c r="M12" s="285" t="s">
        <v>15439</v>
      </c>
      <c r="N12" s="659">
        <v>3261</v>
      </c>
      <c r="O12" s="15">
        <v>38292</v>
      </c>
      <c r="P12" s="40">
        <v>893102.1</v>
      </c>
      <c r="Q12" s="40">
        <v>630486.72</v>
      </c>
      <c r="R12" s="40">
        <f>P12-Q12</f>
        <v>262615.38</v>
      </c>
      <c r="S12" s="40">
        <v>34067775</v>
      </c>
      <c r="T12" s="285" t="s">
        <v>15431</v>
      </c>
      <c r="U12" s="14" t="s">
        <v>15440</v>
      </c>
      <c r="V12" s="285" t="s">
        <v>15441</v>
      </c>
      <c r="W12" s="18"/>
      <c r="X12" s="18"/>
      <c r="Y12" s="18"/>
      <c r="Z12" s="18"/>
      <c r="AA12" s="18"/>
    </row>
    <row r="13" spans="1:27" s="19" customFormat="1" ht="147" customHeight="1" x14ac:dyDescent="0.2">
      <c r="A13" s="289">
        <v>8</v>
      </c>
      <c r="B13" s="289" t="s">
        <v>15442</v>
      </c>
      <c r="C13" s="285" t="s">
        <v>15443</v>
      </c>
      <c r="D13" s="517" t="s">
        <v>15389</v>
      </c>
      <c r="E13" s="22" t="s">
        <v>4426</v>
      </c>
      <c r="F13" s="255" t="s">
        <v>15444</v>
      </c>
      <c r="G13" s="285" t="s">
        <v>15445</v>
      </c>
      <c r="H13" s="285" t="s">
        <v>3090</v>
      </c>
      <c r="I13" s="285" t="s">
        <v>5127</v>
      </c>
      <c r="J13" s="29"/>
      <c r="K13" s="285" t="s">
        <v>3136</v>
      </c>
      <c r="L13" s="231" t="s">
        <v>15446</v>
      </c>
      <c r="M13" s="29" t="s">
        <v>15447</v>
      </c>
      <c r="N13" s="584">
        <v>131</v>
      </c>
      <c r="O13" s="15">
        <v>41214</v>
      </c>
      <c r="P13" s="40">
        <v>123138</v>
      </c>
      <c r="Q13" s="40">
        <v>86907.39</v>
      </c>
      <c r="R13" s="40">
        <f>P13-Q13</f>
        <v>36230.61</v>
      </c>
      <c r="S13" s="40">
        <v>500406</v>
      </c>
      <c r="T13" s="285" t="s">
        <v>15448</v>
      </c>
      <c r="U13" s="14" t="s">
        <v>15449</v>
      </c>
      <c r="V13" s="285" t="s">
        <v>15450</v>
      </c>
      <c r="W13" s="18"/>
      <c r="X13" s="18"/>
      <c r="Y13" s="18"/>
      <c r="Z13" s="18"/>
      <c r="AA13" s="18"/>
    </row>
    <row r="14" spans="1:27" s="19" customFormat="1" ht="183.75" customHeight="1" x14ac:dyDescent="0.2">
      <c r="A14" s="289">
        <v>9</v>
      </c>
      <c r="B14" s="289" t="s">
        <v>15451</v>
      </c>
      <c r="C14" s="285" t="s">
        <v>15452</v>
      </c>
      <c r="D14" s="517" t="s">
        <v>15389</v>
      </c>
      <c r="E14" s="22" t="s">
        <v>4426</v>
      </c>
      <c r="F14" s="255" t="s">
        <v>15453</v>
      </c>
      <c r="G14" s="285" t="s">
        <v>15454</v>
      </c>
      <c r="H14" s="285" t="s">
        <v>4946</v>
      </c>
      <c r="I14" s="285" t="s">
        <v>5127</v>
      </c>
      <c r="J14" s="29"/>
      <c r="K14" s="285" t="s">
        <v>3136</v>
      </c>
      <c r="L14" s="231" t="s">
        <v>15455</v>
      </c>
      <c r="M14" s="29" t="s">
        <v>15456</v>
      </c>
      <c r="N14" s="584">
        <v>32</v>
      </c>
      <c r="O14" s="15">
        <v>41000</v>
      </c>
      <c r="P14" s="40">
        <v>13433</v>
      </c>
      <c r="Q14" s="40">
        <v>13433</v>
      </c>
      <c r="R14" s="40">
        <f>P14-Q14</f>
        <v>0</v>
      </c>
      <c r="S14" s="40">
        <v>253983</v>
      </c>
      <c r="T14" s="285" t="s">
        <v>15448</v>
      </c>
      <c r="U14" s="14">
        <v>43250</v>
      </c>
      <c r="V14" s="285" t="s">
        <v>15457</v>
      </c>
      <c r="W14" s="18"/>
      <c r="X14" s="18"/>
      <c r="Y14" s="18"/>
      <c r="Z14" s="18"/>
      <c r="AA14" s="18"/>
    </row>
    <row r="15" spans="1:27" s="19" customFormat="1" ht="183.75" customHeight="1" x14ac:dyDescent="0.2">
      <c r="A15" s="289">
        <v>10</v>
      </c>
      <c r="B15" s="289" t="s">
        <v>15458</v>
      </c>
      <c r="C15" s="285" t="s">
        <v>15459</v>
      </c>
      <c r="D15" s="517" t="s">
        <v>15389</v>
      </c>
      <c r="E15" s="22" t="s">
        <v>14717</v>
      </c>
      <c r="F15" s="255" t="s">
        <v>15460</v>
      </c>
      <c r="G15" s="285" t="s">
        <v>15461</v>
      </c>
      <c r="H15" s="285" t="s">
        <v>4946</v>
      </c>
      <c r="I15" s="285" t="s">
        <v>5127</v>
      </c>
      <c r="J15" s="29"/>
      <c r="K15" s="285" t="s">
        <v>3136</v>
      </c>
      <c r="L15" s="231" t="s">
        <v>15462</v>
      </c>
      <c r="M15" s="29" t="s">
        <v>15463</v>
      </c>
      <c r="N15" s="584">
        <v>73</v>
      </c>
      <c r="O15" s="15">
        <v>40822</v>
      </c>
      <c r="P15" s="40">
        <v>3478.81</v>
      </c>
      <c r="Q15" s="40">
        <v>3478.81</v>
      </c>
      <c r="R15" s="40">
        <f>P15-Q15</f>
        <v>0</v>
      </c>
      <c r="S15" s="40">
        <v>278484</v>
      </c>
      <c r="T15" s="285" t="s">
        <v>15464</v>
      </c>
      <c r="U15" s="14" t="s">
        <v>14720</v>
      </c>
      <c r="V15" s="285" t="s">
        <v>15465</v>
      </c>
      <c r="W15" s="18"/>
      <c r="X15" s="18"/>
      <c r="Y15" s="18"/>
      <c r="Z15" s="18"/>
      <c r="AA15" s="18"/>
    </row>
    <row r="16" spans="1:27" s="19" customFormat="1" ht="183.75" customHeight="1" x14ac:dyDescent="0.2">
      <c r="A16" s="289">
        <v>11</v>
      </c>
      <c r="B16" s="289" t="s">
        <v>15466</v>
      </c>
      <c r="C16" s="285" t="s">
        <v>15467</v>
      </c>
      <c r="D16" s="517" t="s">
        <v>15389</v>
      </c>
      <c r="E16" s="22" t="s">
        <v>2467</v>
      </c>
      <c r="F16" s="255" t="s">
        <v>15468</v>
      </c>
      <c r="G16" s="285" t="s">
        <v>15469</v>
      </c>
      <c r="H16" s="285" t="s">
        <v>7846</v>
      </c>
      <c r="I16" s="285" t="s">
        <v>5127</v>
      </c>
      <c r="J16" s="29"/>
      <c r="K16" s="285" t="s">
        <v>3136</v>
      </c>
      <c r="L16" s="231" t="s">
        <v>15446</v>
      </c>
      <c r="M16" s="29" t="s">
        <v>15470</v>
      </c>
      <c r="N16" s="584">
        <v>195</v>
      </c>
      <c r="O16" s="15">
        <v>40822</v>
      </c>
      <c r="P16" s="40">
        <v>328753.46000000002</v>
      </c>
      <c r="Q16" s="40">
        <f>P16-R16</f>
        <v>328753.46000000002</v>
      </c>
      <c r="R16" s="40">
        <v>0</v>
      </c>
      <c r="S16" s="40">
        <v>745723</v>
      </c>
      <c r="T16" s="285" t="s">
        <v>15448</v>
      </c>
      <c r="U16" s="14" t="s">
        <v>15471</v>
      </c>
      <c r="V16" s="285" t="s">
        <v>15472</v>
      </c>
      <c r="W16" s="18"/>
      <c r="X16" s="18"/>
      <c r="Y16" s="18"/>
      <c r="Z16" s="18"/>
      <c r="AA16" s="18"/>
    </row>
    <row r="17" spans="1:27" s="19" customFormat="1" ht="154.5" customHeight="1" x14ac:dyDescent="0.2">
      <c r="A17" s="289">
        <v>12</v>
      </c>
      <c r="B17" s="289" t="s">
        <v>15473</v>
      </c>
      <c r="C17" s="285" t="s">
        <v>15474</v>
      </c>
      <c r="D17" s="517" t="s">
        <v>15389</v>
      </c>
      <c r="E17" s="22" t="s">
        <v>13728</v>
      </c>
      <c r="F17" s="255" t="s">
        <v>15475</v>
      </c>
      <c r="G17" s="285" t="s">
        <v>15476</v>
      </c>
      <c r="H17" s="285" t="s">
        <v>792</v>
      </c>
      <c r="I17" s="285" t="s">
        <v>5127</v>
      </c>
      <c r="J17" s="29"/>
      <c r="K17" s="285" t="s">
        <v>3136</v>
      </c>
      <c r="L17" s="231" t="s">
        <v>15477</v>
      </c>
      <c r="M17" s="29" t="s">
        <v>15478</v>
      </c>
      <c r="N17" s="558">
        <v>148</v>
      </c>
      <c r="O17" s="15">
        <v>40822</v>
      </c>
      <c r="P17" s="40">
        <v>96351.97</v>
      </c>
      <c r="Q17" s="40">
        <v>96351.97</v>
      </c>
      <c r="R17" s="40">
        <f>P17-Q17</f>
        <v>0</v>
      </c>
      <c r="S17" s="40">
        <v>565528</v>
      </c>
      <c r="T17" s="285" t="s">
        <v>15479</v>
      </c>
      <c r="U17" s="14">
        <v>43201</v>
      </c>
      <c r="V17" s="14" t="s">
        <v>15480</v>
      </c>
      <c r="W17" s="18"/>
      <c r="X17" s="18"/>
      <c r="Y17" s="18"/>
      <c r="Z17" s="18"/>
      <c r="AA17" s="18"/>
    </row>
    <row r="18" spans="1:27" s="19" customFormat="1" ht="49.5" customHeight="1" x14ac:dyDescent="0.2">
      <c r="A18" s="289">
        <v>13</v>
      </c>
      <c r="B18" s="289" t="s">
        <v>15481</v>
      </c>
      <c r="C18" s="285" t="s">
        <v>15482</v>
      </c>
      <c r="D18" s="517" t="s">
        <v>15389</v>
      </c>
      <c r="E18" s="22" t="s">
        <v>2263</v>
      </c>
      <c r="F18" s="255" t="s">
        <v>15483</v>
      </c>
      <c r="G18" s="285" t="s">
        <v>15484</v>
      </c>
      <c r="H18" s="285" t="s">
        <v>7977</v>
      </c>
      <c r="I18" s="285" t="s">
        <v>5127</v>
      </c>
      <c r="J18" s="29"/>
      <c r="K18" s="285" t="s">
        <v>3136</v>
      </c>
      <c r="L18" s="231" t="s">
        <v>15485</v>
      </c>
      <c r="M18" s="29" t="s">
        <v>15486</v>
      </c>
      <c r="N18" s="558">
        <v>163</v>
      </c>
      <c r="O18" s="15">
        <v>41244</v>
      </c>
      <c r="P18" s="40">
        <v>1893</v>
      </c>
      <c r="Q18" s="40">
        <v>1893</v>
      </c>
      <c r="R18" s="40">
        <f>P18-Q18</f>
        <v>0</v>
      </c>
      <c r="S18" s="40">
        <v>623014</v>
      </c>
      <c r="T18" s="285" t="s">
        <v>15479</v>
      </c>
      <c r="U18" s="14">
        <v>43216</v>
      </c>
      <c r="V18" s="14" t="s">
        <v>15487</v>
      </c>
      <c r="W18" s="18"/>
      <c r="X18" s="18"/>
      <c r="Y18" s="18"/>
      <c r="Z18" s="18"/>
      <c r="AA18" s="18"/>
    </row>
    <row r="19" spans="1:27" s="19" customFormat="1" ht="39" customHeight="1" x14ac:dyDescent="0.2">
      <c r="A19" s="289">
        <v>14</v>
      </c>
      <c r="B19" s="289" t="s">
        <v>15488</v>
      </c>
      <c r="C19" s="285" t="s">
        <v>15489</v>
      </c>
      <c r="D19" s="517" t="s">
        <v>15389</v>
      </c>
      <c r="E19" s="22" t="s">
        <v>13728</v>
      </c>
      <c r="F19" s="255" t="s">
        <v>15490</v>
      </c>
      <c r="G19" s="285" t="s">
        <v>15491</v>
      </c>
      <c r="H19" s="285" t="s">
        <v>7981</v>
      </c>
      <c r="I19" s="285" t="s">
        <v>5127</v>
      </c>
      <c r="J19" s="29"/>
      <c r="K19" s="285" t="s">
        <v>3136</v>
      </c>
      <c r="L19" s="231" t="s">
        <v>15492</v>
      </c>
      <c r="M19" s="29" t="s">
        <v>15493</v>
      </c>
      <c r="N19" s="558">
        <v>195</v>
      </c>
      <c r="O19" s="15">
        <v>40822</v>
      </c>
      <c r="P19" s="40">
        <v>154705.98000000001</v>
      </c>
      <c r="Q19" s="40">
        <f>P19-R19</f>
        <v>154705.98000000001</v>
      </c>
      <c r="R19" s="40">
        <v>0</v>
      </c>
      <c r="S19" s="17">
        <v>745723</v>
      </c>
      <c r="T19" s="285" t="s">
        <v>15448</v>
      </c>
      <c r="U19" s="14" t="s">
        <v>15494</v>
      </c>
      <c r="V19" s="285" t="s">
        <v>15495</v>
      </c>
      <c r="W19" s="18"/>
      <c r="X19" s="18"/>
      <c r="Y19" s="18"/>
      <c r="Z19" s="18"/>
      <c r="AA19" s="18"/>
    </row>
    <row r="20" spans="1:27" s="19" customFormat="1" ht="39" customHeight="1" x14ac:dyDescent="0.2">
      <c r="A20" s="289">
        <v>15</v>
      </c>
      <c r="B20" s="289" t="s">
        <v>15496</v>
      </c>
      <c r="C20" s="285" t="s">
        <v>15497</v>
      </c>
      <c r="D20" s="517" t="s">
        <v>15389</v>
      </c>
      <c r="E20" s="22" t="s">
        <v>13705</v>
      </c>
      <c r="F20" s="255" t="s">
        <v>15498</v>
      </c>
      <c r="G20" s="285" t="s">
        <v>15499</v>
      </c>
      <c r="H20" s="285" t="s">
        <v>7917</v>
      </c>
      <c r="I20" s="285" t="s">
        <v>5127</v>
      </c>
      <c r="J20" s="29"/>
      <c r="K20" s="285" t="s">
        <v>3136</v>
      </c>
      <c r="L20" s="231" t="s">
        <v>15500</v>
      </c>
      <c r="M20" s="29" t="s">
        <v>15501</v>
      </c>
      <c r="N20" s="558">
        <v>42</v>
      </c>
      <c r="O20" s="15">
        <v>40822</v>
      </c>
      <c r="P20" s="40">
        <v>18333.62</v>
      </c>
      <c r="Q20" s="40">
        <f>P20-R20</f>
        <v>18333.62</v>
      </c>
      <c r="R20" s="40">
        <v>0</v>
      </c>
      <c r="S20" s="40">
        <v>160071</v>
      </c>
      <c r="T20" s="285" t="s">
        <v>15502</v>
      </c>
      <c r="U20" s="14" t="s">
        <v>15503</v>
      </c>
      <c r="V20" s="285" t="s">
        <v>15504</v>
      </c>
      <c r="W20" s="18"/>
      <c r="X20" s="18"/>
      <c r="Y20" s="18"/>
      <c r="Z20" s="18"/>
      <c r="AA20" s="18"/>
    </row>
    <row r="21" spans="1:27" s="19" customFormat="1" ht="78.75" customHeight="1" x14ac:dyDescent="0.2">
      <c r="A21" s="289">
        <v>16</v>
      </c>
      <c r="B21" s="289" t="s">
        <v>15505</v>
      </c>
      <c r="C21" s="285" t="s">
        <v>15506</v>
      </c>
      <c r="D21" s="517" t="s">
        <v>15389</v>
      </c>
      <c r="E21" s="22" t="s">
        <v>14787</v>
      </c>
      <c r="F21" s="255" t="s">
        <v>15460</v>
      </c>
      <c r="G21" s="285" t="s">
        <v>15507</v>
      </c>
      <c r="H21" s="285" t="s">
        <v>8293</v>
      </c>
      <c r="I21" s="285" t="s">
        <v>5127</v>
      </c>
      <c r="J21" s="29"/>
      <c r="K21" s="285" t="s">
        <v>3136</v>
      </c>
      <c r="L21" s="231" t="s">
        <v>15508</v>
      </c>
      <c r="M21" s="29" t="s">
        <v>15509</v>
      </c>
      <c r="N21" s="584">
        <v>55</v>
      </c>
      <c r="O21" s="15">
        <v>40822</v>
      </c>
      <c r="P21" s="40">
        <v>148134.6</v>
      </c>
      <c r="Q21" s="40">
        <f>P21-R21</f>
        <v>148134.6</v>
      </c>
      <c r="R21" s="40">
        <v>0</v>
      </c>
      <c r="S21" s="40">
        <v>209707</v>
      </c>
      <c r="T21" s="285" t="s">
        <v>15510</v>
      </c>
      <c r="U21" s="14" t="s">
        <v>15511</v>
      </c>
      <c r="V21" s="285" t="s">
        <v>15512</v>
      </c>
      <c r="W21" s="18"/>
      <c r="X21" s="18"/>
      <c r="Y21" s="18"/>
      <c r="Z21" s="18"/>
      <c r="AA21" s="18"/>
    </row>
    <row r="22" spans="1:27" s="19" customFormat="1" ht="147.75" customHeight="1" x14ac:dyDescent="0.2">
      <c r="A22" s="289">
        <v>17</v>
      </c>
      <c r="B22" s="289" t="s">
        <v>15513</v>
      </c>
      <c r="C22" s="285" t="s">
        <v>15514</v>
      </c>
      <c r="D22" s="517" t="s">
        <v>15389</v>
      </c>
      <c r="E22" s="22" t="s">
        <v>2408</v>
      </c>
      <c r="F22" s="255" t="s">
        <v>15515</v>
      </c>
      <c r="G22" s="285" t="s">
        <v>15516</v>
      </c>
      <c r="H22" s="285" t="s">
        <v>7983</v>
      </c>
      <c r="I22" s="285" t="s">
        <v>5127</v>
      </c>
      <c r="J22" s="29"/>
      <c r="K22" s="285" t="s">
        <v>3136</v>
      </c>
      <c r="L22" s="231" t="s">
        <v>15517</v>
      </c>
      <c r="M22" s="29" t="s">
        <v>15518</v>
      </c>
      <c r="N22" s="558">
        <v>392</v>
      </c>
      <c r="O22" s="15">
        <v>40822</v>
      </c>
      <c r="P22" s="40">
        <v>43981.52</v>
      </c>
      <c r="Q22" s="40">
        <v>31899.51</v>
      </c>
      <c r="R22" s="40">
        <f>P22-Q22</f>
        <v>12082.009999999998</v>
      </c>
      <c r="S22" s="40">
        <v>3131134</v>
      </c>
      <c r="T22" s="285" t="s">
        <v>15448</v>
      </c>
      <c r="U22" s="14">
        <v>43248</v>
      </c>
      <c r="V22" s="285" t="s">
        <v>15519</v>
      </c>
      <c r="W22" s="18"/>
      <c r="X22" s="18"/>
      <c r="Y22" s="18"/>
      <c r="Z22" s="18"/>
      <c r="AA22" s="18"/>
    </row>
    <row r="23" spans="1:27" s="19" customFormat="1" ht="244.5" customHeight="1" x14ac:dyDescent="0.2">
      <c r="A23" s="289">
        <v>18</v>
      </c>
      <c r="B23" s="289" t="s">
        <v>15520</v>
      </c>
      <c r="C23" s="285" t="s">
        <v>15521</v>
      </c>
      <c r="D23" s="254" t="s">
        <v>15522</v>
      </c>
      <c r="E23" s="361"/>
      <c r="F23" s="680" t="s">
        <v>15523</v>
      </c>
      <c r="G23" s="361" t="s">
        <v>15524</v>
      </c>
      <c r="H23" s="285" t="s">
        <v>4296</v>
      </c>
      <c r="I23" s="285" t="s">
        <v>1586</v>
      </c>
      <c r="J23" s="254"/>
      <c r="K23" s="285" t="s">
        <v>3136</v>
      </c>
      <c r="L23" s="140" t="s">
        <v>15525</v>
      </c>
      <c r="M23" s="139" t="s">
        <v>15526</v>
      </c>
      <c r="N23" s="178">
        <v>450</v>
      </c>
      <c r="O23" s="15">
        <v>41984</v>
      </c>
      <c r="P23" s="40">
        <v>12490044.529999999</v>
      </c>
      <c r="Q23" s="40">
        <v>7918535.46</v>
      </c>
      <c r="R23" s="40">
        <f>P23-Q23</f>
        <v>4571509.0699999994</v>
      </c>
      <c r="S23" s="40">
        <v>1726370</v>
      </c>
      <c r="T23" s="285" t="s">
        <v>15527</v>
      </c>
      <c r="U23" s="285" t="s">
        <v>15528</v>
      </c>
      <c r="V23" s="70" t="s">
        <v>15529</v>
      </c>
      <c r="W23" s="18"/>
      <c r="X23" s="18"/>
      <c r="Y23" s="18"/>
      <c r="Z23" s="18"/>
      <c r="AA23" s="18"/>
    </row>
    <row r="24" spans="1:27" s="19" customFormat="1" ht="81" customHeight="1" x14ac:dyDescent="0.2">
      <c r="A24" s="289">
        <v>19</v>
      </c>
      <c r="B24" s="289" t="s">
        <v>15530</v>
      </c>
      <c r="C24" s="285" t="s">
        <v>15531</v>
      </c>
      <c r="D24" s="254" t="s">
        <v>15532</v>
      </c>
      <c r="E24" s="361">
        <v>1965</v>
      </c>
      <c r="F24" s="255" t="s">
        <v>15533</v>
      </c>
      <c r="G24" s="361" t="s">
        <v>15534</v>
      </c>
      <c r="H24" s="285" t="s">
        <v>4296</v>
      </c>
      <c r="I24" s="285" t="s">
        <v>1586</v>
      </c>
      <c r="J24" s="361"/>
      <c r="K24" s="285" t="s">
        <v>3136</v>
      </c>
      <c r="L24" s="561" t="s">
        <v>13539</v>
      </c>
      <c r="M24" s="68" t="s">
        <v>13540</v>
      </c>
      <c r="N24" s="178">
        <v>275.5</v>
      </c>
      <c r="O24" s="15">
        <v>42166</v>
      </c>
      <c r="P24" s="40">
        <v>1</v>
      </c>
      <c r="Q24" s="40">
        <v>1</v>
      </c>
      <c r="R24" s="40">
        <v>0</v>
      </c>
      <c r="S24" s="40">
        <v>2680961</v>
      </c>
      <c r="T24" s="285" t="s">
        <v>15535</v>
      </c>
      <c r="U24" s="285" t="s">
        <v>14217</v>
      </c>
      <c r="V24" s="285" t="s">
        <v>15536</v>
      </c>
      <c r="W24" s="18"/>
      <c r="X24" s="18"/>
      <c r="Y24" s="18"/>
      <c r="Z24" s="18"/>
      <c r="AA24" s="18"/>
    </row>
    <row r="25" spans="1:27" s="19" customFormat="1" ht="90" customHeight="1" x14ac:dyDescent="0.2">
      <c r="A25" s="289">
        <v>20</v>
      </c>
      <c r="B25" s="289" t="s">
        <v>15537</v>
      </c>
      <c r="C25" s="285" t="s">
        <v>15538</v>
      </c>
      <c r="D25" s="254" t="s">
        <v>15539</v>
      </c>
      <c r="E25" s="361">
        <v>1965</v>
      </c>
      <c r="F25" s="255" t="s">
        <v>15540</v>
      </c>
      <c r="G25" s="361" t="s">
        <v>15534</v>
      </c>
      <c r="H25" s="558" t="s">
        <v>4296</v>
      </c>
      <c r="I25" s="37" t="s">
        <v>3793</v>
      </c>
      <c r="J25" s="361"/>
      <c r="K25" s="285" t="s">
        <v>3136</v>
      </c>
      <c r="L25" s="561" t="s">
        <v>13539</v>
      </c>
      <c r="M25" s="68" t="s">
        <v>13540</v>
      </c>
      <c r="N25" s="178">
        <v>857.55</v>
      </c>
      <c r="O25" s="15">
        <v>42166</v>
      </c>
      <c r="P25" s="40">
        <v>1</v>
      </c>
      <c r="Q25" s="40">
        <v>1</v>
      </c>
      <c r="R25" s="40">
        <v>0</v>
      </c>
      <c r="S25" s="40">
        <v>8389641</v>
      </c>
      <c r="T25" s="285" t="s">
        <v>15535</v>
      </c>
      <c r="U25" s="285" t="s">
        <v>14217</v>
      </c>
      <c r="V25" s="285" t="s">
        <v>15541</v>
      </c>
      <c r="W25" s="18"/>
      <c r="X25" s="18"/>
      <c r="Y25" s="18"/>
      <c r="Z25" s="18"/>
      <c r="AA25" s="18"/>
    </row>
    <row r="26" spans="1:27" s="19" customFormat="1" ht="63.75" customHeight="1" x14ac:dyDescent="0.2">
      <c r="A26" s="289">
        <v>21</v>
      </c>
      <c r="B26" s="289" t="s">
        <v>15542</v>
      </c>
      <c r="C26" s="285" t="s">
        <v>15543</v>
      </c>
      <c r="D26" s="254" t="s">
        <v>15544</v>
      </c>
      <c r="E26" s="361">
        <v>1990</v>
      </c>
      <c r="F26" s="255" t="s">
        <v>15545</v>
      </c>
      <c r="G26" s="361" t="s">
        <v>15534</v>
      </c>
      <c r="H26" s="285" t="s">
        <v>4296</v>
      </c>
      <c r="I26" s="285" t="s">
        <v>1586</v>
      </c>
      <c r="J26" s="361"/>
      <c r="K26" s="285" t="s">
        <v>3136</v>
      </c>
      <c r="L26" s="561" t="s">
        <v>15546</v>
      </c>
      <c r="M26" s="68" t="s">
        <v>15547</v>
      </c>
      <c r="N26" s="178">
        <v>700</v>
      </c>
      <c r="O26" s="15">
        <v>42166</v>
      </c>
      <c r="P26" s="40">
        <v>1</v>
      </c>
      <c r="Q26" s="40">
        <v>1</v>
      </c>
      <c r="R26" s="40">
        <v>0</v>
      </c>
      <c r="S26" s="40">
        <v>1341280</v>
      </c>
      <c r="T26" s="285" t="s">
        <v>15535</v>
      </c>
      <c r="U26" s="285" t="s">
        <v>14248</v>
      </c>
      <c r="V26" s="285" t="s">
        <v>15548</v>
      </c>
      <c r="W26" s="18"/>
      <c r="X26" s="18"/>
      <c r="Y26" s="18"/>
      <c r="Z26" s="18"/>
      <c r="AA26" s="18"/>
    </row>
    <row r="27" spans="1:27" s="19" customFormat="1" ht="63.75" customHeight="1" x14ac:dyDescent="0.2">
      <c r="A27" s="289">
        <v>22</v>
      </c>
      <c r="B27" s="289" t="s">
        <v>15549</v>
      </c>
      <c r="C27" s="285" t="s">
        <v>15550</v>
      </c>
      <c r="D27" s="254" t="s">
        <v>15551</v>
      </c>
      <c r="E27" s="361">
        <v>1990</v>
      </c>
      <c r="F27" s="255" t="s">
        <v>15552</v>
      </c>
      <c r="G27" s="361" t="s">
        <v>15534</v>
      </c>
      <c r="H27" s="285" t="s">
        <v>4296</v>
      </c>
      <c r="I27" s="285" t="s">
        <v>1586</v>
      </c>
      <c r="J27" s="361"/>
      <c r="K27" s="285" t="s">
        <v>3136</v>
      </c>
      <c r="L27" s="561" t="s">
        <v>15546</v>
      </c>
      <c r="M27" s="68" t="s">
        <v>15547</v>
      </c>
      <c r="N27" s="178">
        <v>900</v>
      </c>
      <c r="O27" s="15">
        <v>42166</v>
      </c>
      <c r="P27" s="40">
        <v>1</v>
      </c>
      <c r="Q27" s="40">
        <v>1</v>
      </c>
      <c r="R27" s="40">
        <v>0</v>
      </c>
      <c r="S27" s="40">
        <v>1726370</v>
      </c>
      <c r="T27" s="285" t="s">
        <v>15535</v>
      </c>
      <c r="U27" s="285" t="s">
        <v>14248</v>
      </c>
      <c r="V27" s="285" t="s">
        <v>15553</v>
      </c>
      <c r="W27" s="18"/>
      <c r="X27" s="18"/>
      <c r="Y27" s="18"/>
      <c r="Z27" s="18"/>
      <c r="AA27" s="18"/>
    </row>
    <row r="28" spans="1:27" s="19" customFormat="1" ht="63.75" customHeight="1" x14ac:dyDescent="0.2">
      <c r="A28" s="289">
        <v>23</v>
      </c>
      <c r="B28" s="289" t="s">
        <v>15554</v>
      </c>
      <c r="C28" s="285" t="s">
        <v>15555</v>
      </c>
      <c r="D28" s="254" t="s">
        <v>15556</v>
      </c>
      <c r="E28" s="361">
        <v>1975</v>
      </c>
      <c r="F28" s="255" t="s">
        <v>15557</v>
      </c>
      <c r="G28" s="361" t="s">
        <v>15534</v>
      </c>
      <c r="H28" s="285" t="s">
        <v>4296</v>
      </c>
      <c r="I28" s="285" t="s">
        <v>1586</v>
      </c>
      <c r="J28" s="361"/>
      <c r="K28" s="285" t="s">
        <v>3136</v>
      </c>
      <c r="L28" s="561" t="s">
        <v>13539</v>
      </c>
      <c r="M28" s="68" t="s">
        <v>13540</v>
      </c>
      <c r="N28" s="178">
        <v>8641</v>
      </c>
      <c r="O28" s="15">
        <v>42166</v>
      </c>
      <c r="P28" s="40">
        <v>1</v>
      </c>
      <c r="Q28" s="40">
        <v>1</v>
      </c>
      <c r="R28" s="40">
        <v>0</v>
      </c>
      <c r="S28" s="40">
        <v>33974826</v>
      </c>
      <c r="T28" s="285" t="s">
        <v>15535</v>
      </c>
      <c r="U28" s="285" t="s">
        <v>14248</v>
      </c>
      <c r="V28" s="285" t="s">
        <v>15558</v>
      </c>
      <c r="W28" s="18"/>
      <c r="X28" s="18"/>
      <c r="Y28" s="18"/>
      <c r="Z28" s="18"/>
      <c r="AA28" s="18"/>
    </row>
    <row r="29" spans="1:27" s="19" customFormat="1" ht="63.75" customHeight="1" x14ac:dyDescent="0.2">
      <c r="A29" s="289">
        <v>24</v>
      </c>
      <c r="B29" s="289" t="s">
        <v>15559</v>
      </c>
      <c r="C29" s="285" t="s">
        <v>15560</v>
      </c>
      <c r="D29" s="254" t="s">
        <v>15556</v>
      </c>
      <c r="E29" s="361">
        <v>1975</v>
      </c>
      <c r="F29" s="255" t="s">
        <v>15561</v>
      </c>
      <c r="G29" s="361" t="s">
        <v>15534</v>
      </c>
      <c r="H29" s="285" t="s">
        <v>4296</v>
      </c>
      <c r="I29" s="285" t="s">
        <v>1586</v>
      </c>
      <c r="J29" s="361"/>
      <c r="K29" s="285" t="s">
        <v>3136</v>
      </c>
      <c r="L29" s="561" t="s">
        <v>13539</v>
      </c>
      <c r="M29" s="68" t="s">
        <v>13540</v>
      </c>
      <c r="N29" s="178">
        <v>8641</v>
      </c>
      <c r="O29" s="15">
        <v>42166</v>
      </c>
      <c r="P29" s="40">
        <v>1</v>
      </c>
      <c r="Q29" s="40">
        <v>1</v>
      </c>
      <c r="R29" s="40">
        <v>0</v>
      </c>
      <c r="S29" s="40">
        <v>33974826</v>
      </c>
      <c r="T29" s="285" t="s">
        <v>15535</v>
      </c>
      <c r="U29" s="285" t="s">
        <v>14248</v>
      </c>
      <c r="V29" s="285" t="s">
        <v>15562</v>
      </c>
      <c r="W29" s="18"/>
      <c r="X29" s="18"/>
      <c r="Y29" s="18"/>
      <c r="Z29" s="18"/>
      <c r="AA29" s="18"/>
    </row>
    <row r="30" spans="1:27" s="19" customFormat="1" ht="33.75" customHeight="1" x14ac:dyDescent="0.2">
      <c r="A30" s="326">
        <v>25</v>
      </c>
      <c r="B30" s="326" t="s">
        <v>15563</v>
      </c>
      <c r="C30" s="327" t="s">
        <v>15564</v>
      </c>
      <c r="D30" s="681" t="s">
        <v>15565</v>
      </c>
      <c r="E30" s="361">
        <v>1975</v>
      </c>
      <c r="F30" s="255"/>
      <c r="G30" s="682" t="s">
        <v>15566</v>
      </c>
      <c r="H30" s="327" t="s">
        <v>4296</v>
      </c>
      <c r="I30" s="327" t="s">
        <v>1586</v>
      </c>
      <c r="J30" s="590"/>
      <c r="K30" s="327" t="s">
        <v>15567</v>
      </c>
      <c r="L30" s="329" t="s">
        <v>15568</v>
      </c>
      <c r="M30" s="327" t="s">
        <v>15569</v>
      </c>
      <c r="N30" s="683">
        <v>2538</v>
      </c>
      <c r="O30" s="330">
        <v>40603</v>
      </c>
      <c r="P30" s="350">
        <v>4635625.63</v>
      </c>
      <c r="Q30" s="350">
        <v>4120794</v>
      </c>
      <c r="R30" s="350">
        <f>P30-Q30</f>
        <v>514831.62999999989</v>
      </c>
      <c r="S30" s="350">
        <v>20903063</v>
      </c>
      <c r="T30" s="327" t="s">
        <v>15570</v>
      </c>
      <c r="U30" s="329">
        <v>43746</v>
      </c>
      <c r="V30" s="328" t="s">
        <v>15571</v>
      </c>
      <c r="W30" s="9"/>
      <c r="X30" s="9"/>
      <c r="Y30" s="9"/>
      <c r="Z30" s="9"/>
      <c r="AA30" s="9"/>
    </row>
    <row r="31" spans="1:27" s="19" customFormat="1" ht="33.75" customHeight="1" x14ac:dyDescent="0.2">
      <c r="A31" s="432"/>
      <c r="B31" s="432"/>
      <c r="C31" s="611"/>
      <c r="D31" s="597"/>
      <c r="E31" s="12" t="s">
        <v>5027</v>
      </c>
      <c r="F31" s="13" t="s">
        <v>15572</v>
      </c>
      <c r="G31" s="285" t="s">
        <v>15573</v>
      </c>
      <c r="H31" s="611"/>
      <c r="I31" s="611"/>
      <c r="J31" s="597"/>
      <c r="K31" s="611"/>
      <c r="L31" s="613"/>
      <c r="M31" s="611"/>
      <c r="N31" s="684"/>
      <c r="O31" s="653"/>
      <c r="P31" s="685"/>
      <c r="Q31" s="685"/>
      <c r="R31" s="685"/>
      <c r="S31" s="613"/>
      <c r="T31" s="611"/>
      <c r="U31" s="613"/>
      <c r="V31" s="612"/>
      <c r="W31" s="18"/>
      <c r="X31" s="18"/>
      <c r="Y31" s="18"/>
      <c r="Z31" s="18"/>
      <c r="AA31" s="18"/>
    </row>
    <row r="32" spans="1:27" s="19" customFormat="1" ht="33.75" customHeight="1" x14ac:dyDescent="0.2">
      <c r="A32" s="432"/>
      <c r="B32" s="432"/>
      <c r="C32" s="611"/>
      <c r="D32" s="597"/>
      <c r="E32" s="12" t="s">
        <v>5027</v>
      </c>
      <c r="F32" s="13" t="s">
        <v>15572</v>
      </c>
      <c r="G32" s="285" t="s">
        <v>15574</v>
      </c>
      <c r="H32" s="611"/>
      <c r="I32" s="611"/>
      <c r="J32" s="597"/>
      <c r="K32" s="611"/>
      <c r="L32" s="613"/>
      <c r="M32" s="611"/>
      <c r="N32" s="684"/>
      <c r="O32" s="653"/>
      <c r="P32" s="685"/>
      <c r="Q32" s="685"/>
      <c r="R32" s="685"/>
      <c r="S32" s="613"/>
      <c r="T32" s="611"/>
      <c r="U32" s="613"/>
      <c r="V32" s="612"/>
      <c r="W32" s="18"/>
      <c r="X32" s="18"/>
      <c r="Y32" s="18"/>
      <c r="Z32" s="18"/>
      <c r="AA32" s="18"/>
    </row>
    <row r="33" spans="1:27" s="19" customFormat="1" ht="33.75" customHeight="1" x14ac:dyDescent="0.2">
      <c r="A33" s="432"/>
      <c r="B33" s="432"/>
      <c r="C33" s="611"/>
      <c r="D33" s="597"/>
      <c r="E33" s="12" t="s">
        <v>2223</v>
      </c>
      <c r="F33" s="13" t="s">
        <v>15572</v>
      </c>
      <c r="G33" s="285" t="s">
        <v>15575</v>
      </c>
      <c r="H33" s="611"/>
      <c r="I33" s="611"/>
      <c r="J33" s="597"/>
      <c r="K33" s="611"/>
      <c r="L33" s="613"/>
      <c r="M33" s="611"/>
      <c r="N33" s="684"/>
      <c r="O33" s="653"/>
      <c r="P33" s="685"/>
      <c r="Q33" s="685"/>
      <c r="R33" s="685"/>
      <c r="S33" s="613"/>
      <c r="T33" s="611"/>
      <c r="U33" s="613"/>
      <c r="V33" s="612"/>
      <c r="W33" s="18"/>
      <c r="X33" s="18"/>
      <c r="Y33" s="18"/>
      <c r="Z33" s="18"/>
      <c r="AA33" s="18"/>
    </row>
    <row r="34" spans="1:27" s="19" customFormat="1" ht="33.75" customHeight="1" x14ac:dyDescent="0.2">
      <c r="A34" s="432"/>
      <c r="B34" s="432"/>
      <c r="C34" s="611"/>
      <c r="D34" s="597"/>
      <c r="E34" s="363">
        <v>1988</v>
      </c>
      <c r="F34" s="255" t="s">
        <v>15576</v>
      </c>
      <c r="G34" s="285" t="s">
        <v>15577</v>
      </c>
      <c r="H34" s="611"/>
      <c r="I34" s="611"/>
      <c r="J34" s="597"/>
      <c r="K34" s="611"/>
      <c r="L34" s="613"/>
      <c r="M34" s="611"/>
      <c r="N34" s="684"/>
      <c r="O34" s="653"/>
      <c r="P34" s="685"/>
      <c r="Q34" s="685"/>
      <c r="R34" s="685"/>
      <c r="S34" s="613"/>
      <c r="T34" s="611"/>
      <c r="U34" s="613"/>
      <c r="V34" s="612"/>
      <c r="W34" s="18"/>
      <c r="X34" s="18"/>
      <c r="Y34" s="18"/>
      <c r="Z34" s="18"/>
      <c r="AA34" s="18"/>
    </row>
    <row r="35" spans="1:27" s="19" customFormat="1" ht="33.75" customHeight="1" x14ac:dyDescent="0.2">
      <c r="A35" s="432"/>
      <c r="B35" s="432"/>
      <c r="C35" s="611"/>
      <c r="D35" s="597"/>
      <c r="E35" s="363">
        <v>1987</v>
      </c>
      <c r="F35" s="255" t="s">
        <v>15572</v>
      </c>
      <c r="G35" s="285" t="s">
        <v>15578</v>
      </c>
      <c r="H35" s="611"/>
      <c r="I35" s="611"/>
      <c r="J35" s="597"/>
      <c r="K35" s="611"/>
      <c r="L35" s="613"/>
      <c r="M35" s="611"/>
      <c r="N35" s="684"/>
      <c r="O35" s="653"/>
      <c r="P35" s="685"/>
      <c r="Q35" s="685"/>
      <c r="R35" s="685"/>
      <c r="S35" s="613"/>
      <c r="T35" s="611"/>
      <c r="U35" s="613"/>
      <c r="V35" s="612"/>
      <c r="W35" s="18"/>
      <c r="X35" s="18"/>
      <c r="Y35" s="18"/>
      <c r="Z35" s="18"/>
      <c r="AA35" s="18"/>
    </row>
    <row r="36" spans="1:27" s="19" customFormat="1" ht="33.75" customHeight="1" x14ac:dyDescent="0.2">
      <c r="A36" s="432"/>
      <c r="B36" s="432"/>
      <c r="C36" s="611"/>
      <c r="D36" s="597"/>
      <c r="E36" s="363">
        <v>1988</v>
      </c>
      <c r="F36" s="255" t="s">
        <v>15579</v>
      </c>
      <c r="G36" s="285" t="s">
        <v>15580</v>
      </c>
      <c r="H36" s="611"/>
      <c r="I36" s="611"/>
      <c r="J36" s="597"/>
      <c r="K36" s="611"/>
      <c r="L36" s="613"/>
      <c r="M36" s="611"/>
      <c r="N36" s="684"/>
      <c r="O36" s="653"/>
      <c r="P36" s="685"/>
      <c r="Q36" s="685"/>
      <c r="R36" s="685"/>
      <c r="S36" s="613"/>
      <c r="T36" s="611"/>
      <c r="U36" s="613"/>
      <c r="V36" s="612"/>
      <c r="W36" s="18"/>
      <c r="X36" s="18"/>
      <c r="Y36" s="18"/>
      <c r="Z36" s="18"/>
      <c r="AA36" s="18"/>
    </row>
    <row r="37" spans="1:27" s="19" customFormat="1" ht="33.75" customHeight="1" x14ac:dyDescent="0.2">
      <c r="A37" s="432"/>
      <c r="B37" s="432"/>
      <c r="C37" s="611"/>
      <c r="D37" s="597"/>
      <c r="E37" s="363">
        <v>1988</v>
      </c>
      <c r="F37" s="255" t="s">
        <v>15581</v>
      </c>
      <c r="G37" s="285" t="s">
        <v>15580</v>
      </c>
      <c r="H37" s="611"/>
      <c r="I37" s="611"/>
      <c r="J37" s="597"/>
      <c r="K37" s="611"/>
      <c r="L37" s="613"/>
      <c r="M37" s="611"/>
      <c r="N37" s="684"/>
      <c r="O37" s="653"/>
      <c r="P37" s="685"/>
      <c r="Q37" s="685"/>
      <c r="R37" s="685"/>
      <c r="S37" s="613"/>
      <c r="T37" s="611"/>
      <c r="U37" s="613"/>
      <c r="V37" s="612"/>
      <c r="W37" s="18"/>
      <c r="X37" s="18"/>
      <c r="Y37" s="18"/>
      <c r="Z37" s="18"/>
      <c r="AA37" s="18"/>
    </row>
    <row r="38" spans="1:27" s="19" customFormat="1" ht="33.75" customHeight="1" x14ac:dyDescent="0.2">
      <c r="A38" s="432"/>
      <c r="B38" s="432"/>
      <c r="C38" s="611"/>
      <c r="D38" s="597"/>
      <c r="E38" s="363">
        <v>1990</v>
      </c>
      <c r="F38" s="255" t="s">
        <v>15581</v>
      </c>
      <c r="G38" s="285" t="s">
        <v>15582</v>
      </c>
      <c r="H38" s="611"/>
      <c r="I38" s="611"/>
      <c r="J38" s="597"/>
      <c r="K38" s="611"/>
      <c r="L38" s="613"/>
      <c r="M38" s="611"/>
      <c r="N38" s="684"/>
      <c r="O38" s="653"/>
      <c r="P38" s="685"/>
      <c r="Q38" s="685"/>
      <c r="R38" s="685"/>
      <c r="S38" s="613"/>
      <c r="T38" s="611"/>
      <c r="U38" s="613"/>
      <c r="V38" s="612"/>
      <c r="W38" s="18"/>
      <c r="X38" s="18"/>
      <c r="Y38" s="18"/>
      <c r="Z38" s="18"/>
      <c r="AA38" s="18"/>
    </row>
    <row r="39" spans="1:27" s="19" customFormat="1" ht="33.75" customHeight="1" x14ac:dyDescent="0.2">
      <c r="A39" s="432"/>
      <c r="B39" s="432"/>
      <c r="C39" s="611"/>
      <c r="D39" s="597"/>
      <c r="E39" s="363">
        <v>1990</v>
      </c>
      <c r="F39" s="255" t="s">
        <v>15581</v>
      </c>
      <c r="G39" s="285" t="s">
        <v>15583</v>
      </c>
      <c r="H39" s="611"/>
      <c r="I39" s="611"/>
      <c r="J39" s="597"/>
      <c r="K39" s="611"/>
      <c r="L39" s="613"/>
      <c r="M39" s="611"/>
      <c r="N39" s="684"/>
      <c r="O39" s="653"/>
      <c r="P39" s="685"/>
      <c r="Q39" s="685"/>
      <c r="R39" s="685"/>
      <c r="S39" s="613"/>
      <c r="T39" s="611"/>
      <c r="U39" s="613"/>
      <c r="V39" s="612"/>
      <c r="W39" s="18"/>
      <c r="X39" s="18"/>
      <c r="Y39" s="18"/>
      <c r="Z39" s="18"/>
      <c r="AA39" s="18"/>
    </row>
    <row r="40" spans="1:27" s="19" customFormat="1" ht="27" customHeight="1" x14ac:dyDescent="0.2">
      <c r="A40" s="432"/>
      <c r="B40" s="432"/>
      <c r="C40" s="611"/>
      <c r="D40" s="597"/>
      <c r="E40" s="363" t="s">
        <v>15584</v>
      </c>
      <c r="F40" s="255" t="s">
        <v>15585</v>
      </c>
      <c r="G40" s="285" t="s">
        <v>15586</v>
      </c>
      <c r="H40" s="611"/>
      <c r="I40" s="611"/>
      <c r="J40" s="597"/>
      <c r="K40" s="611"/>
      <c r="L40" s="613"/>
      <c r="M40" s="611"/>
      <c r="N40" s="684"/>
      <c r="O40" s="653"/>
      <c r="P40" s="685"/>
      <c r="Q40" s="685"/>
      <c r="R40" s="685"/>
      <c r="S40" s="613"/>
      <c r="T40" s="611"/>
      <c r="U40" s="613"/>
      <c r="V40" s="612"/>
      <c r="W40" s="18"/>
      <c r="X40" s="18"/>
      <c r="Y40" s="18"/>
      <c r="Z40" s="18"/>
      <c r="AA40" s="18"/>
    </row>
    <row r="41" spans="1:27" s="19" customFormat="1" ht="28.9" customHeight="1" x14ac:dyDescent="0.2">
      <c r="A41" s="432"/>
      <c r="B41" s="432"/>
      <c r="C41" s="611"/>
      <c r="D41" s="597"/>
      <c r="E41" s="363" t="s">
        <v>15587</v>
      </c>
      <c r="F41" s="255" t="s">
        <v>15588</v>
      </c>
      <c r="G41" s="285" t="s">
        <v>15586</v>
      </c>
      <c r="H41" s="611"/>
      <c r="I41" s="611"/>
      <c r="J41" s="597"/>
      <c r="K41" s="611"/>
      <c r="L41" s="613"/>
      <c r="M41" s="611"/>
      <c r="N41" s="684"/>
      <c r="O41" s="653"/>
      <c r="P41" s="685"/>
      <c r="Q41" s="685"/>
      <c r="R41" s="685"/>
      <c r="S41" s="613"/>
      <c r="T41" s="611"/>
      <c r="U41" s="613"/>
      <c r="V41" s="612"/>
      <c r="W41" s="18"/>
      <c r="X41" s="18"/>
      <c r="Y41" s="18"/>
      <c r="Z41" s="18"/>
      <c r="AA41" s="18"/>
    </row>
    <row r="42" spans="1:27" s="19" customFormat="1" ht="33.75" customHeight="1" x14ac:dyDescent="0.2">
      <c r="A42" s="432"/>
      <c r="B42" s="432"/>
      <c r="C42" s="611"/>
      <c r="D42" s="597"/>
      <c r="E42" s="363">
        <v>1998</v>
      </c>
      <c r="F42" s="255" t="s">
        <v>15576</v>
      </c>
      <c r="G42" s="285" t="s">
        <v>15589</v>
      </c>
      <c r="H42" s="611"/>
      <c r="I42" s="611"/>
      <c r="J42" s="597"/>
      <c r="K42" s="611"/>
      <c r="L42" s="613"/>
      <c r="M42" s="611"/>
      <c r="N42" s="684"/>
      <c r="O42" s="653"/>
      <c r="P42" s="685"/>
      <c r="Q42" s="685"/>
      <c r="R42" s="685"/>
      <c r="S42" s="613"/>
      <c r="T42" s="611"/>
      <c r="U42" s="613"/>
      <c r="V42" s="612"/>
      <c r="W42" s="18"/>
      <c r="X42" s="18"/>
      <c r="Y42" s="18"/>
      <c r="Z42" s="18"/>
      <c r="AA42" s="18"/>
    </row>
    <row r="43" spans="1:27" s="19" customFormat="1" ht="33.75" customHeight="1" x14ac:dyDescent="0.2">
      <c r="A43" s="331"/>
      <c r="B43" s="331"/>
      <c r="C43" s="332"/>
      <c r="D43" s="604"/>
      <c r="E43" s="361" t="s">
        <v>15590</v>
      </c>
      <c r="F43" s="255" t="s">
        <v>15591</v>
      </c>
      <c r="G43" s="285" t="s">
        <v>15592</v>
      </c>
      <c r="H43" s="332"/>
      <c r="I43" s="332"/>
      <c r="J43" s="604"/>
      <c r="K43" s="332"/>
      <c r="L43" s="334"/>
      <c r="M43" s="332"/>
      <c r="N43" s="686"/>
      <c r="O43" s="335"/>
      <c r="P43" s="355"/>
      <c r="Q43" s="355"/>
      <c r="R43" s="355"/>
      <c r="S43" s="334"/>
      <c r="T43" s="332"/>
      <c r="U43" s="334"/>
      <c r="V43" s="333"/>
      <c r="W43" s="18"/>
      <c r="X43" s="18"/>
      <c r="Y43" s="18"/>
      <c r="Z43" s="18"/>
      <c r="AA43" s="18"/>
    </row>
    <row r="44" spans="1:27" s="19" customFormat="1" ht="25.5" customHeight="1" x14ac:dyDescent="0.2">
      <c r="A44" s="687">
        <v>26</v>
      </c>
      <c r="B44" s="326" t="s">
        <v>15593</v>
      </c>
      <c r="C44" s="327" t="s">
        <v>15594</v>
      </c>
      <c r="D44" s="587" t="s">
        <v>15565</v>
      </c>
      <c r="E44" s="361"/>
      <c r="F44" s="255"/>
      <c r="G44" s="682" t="s">
        <v>15595</v>
      </c>
      <c r="H44" s="327" t="s">
        <v>4296</v>
      </c>
      <c r="I44" s="327" t="s">
        <v>1586</v>
      </c>
      <c r="J44" s="590"/>
      <c r="K44" s="327" t="s">
        <v>3136</v>
      </c>
      <c r="L44" s="329" t="s">
        <v>15596</v>
      </c>
      <c r="M44" s="327" t="s">
        <v>15597</v>
      </c>
      <c r="N44" s="350">
        <v>4987</v>
      </c>
      <c r="O44" s="329" t="s">
        <v>15598</v>
      </c>
      <c r="P44" s="350">
        <f>5291013.63+5023601</f>
        <v>10314614.629999999</v>
      </c>
      <c r="Q44" s="413">
        <v>5251073.42</v>
      </c>
      <c r="R44" s="413">
        <f>P44-Q44</f>
        <v>5063541.209999999</v>
      </c>
      <c r="S44" s="350">
        <v>41731197</v>
      </c>
      <c r="T44" s="327" t="s">
        <v>15599</v>
      </c>
      <c r="U44" s="329" t="s">
        <v>15600</v>
      </c>
      <c r="V44" s="327" t="s">
        <v>15601</v>
      </c>
      <c r="W44" s="18"/>
      <c r="X44" s="18"/>
      <c r="Y44" s="18"/>
      <c r="Z44" s="18"/>
      <c r="AA44" s="18"/>
    </row>
    <row r="45" spans="1:27" s="19" customFormat="1" ht="30" customHeight="1" x14ac:dyDescent="0.2">
      <c r="A45" s="688"/>
      <c r="B45" s="432"/>
      <c r="C45" s="611"/>
      <c r="D45" s="595"/>
      <c r="E45" s="12" t="s">
        <v>9478</v>
      </c>
      <c r="F45" s="13" t="s">
        <v>15602</v>
      </c>
      <c r="G45" s="285" t="s">
        <v>15603</v>
      </c>
      <c r="H45" s="611"/>
      <c r="I45" s="611"/>
      <c r="J45" s="597"/>
      <c r="K45" s="611"/>
      <c r="L45" s="613"/>
      <c r="M45" s="611"/>
      <c r="N45" s="685"/>
      <c r="O45" s="613"/>
      <c r="P45" s="685"/>
      <c r="Q45" s="616"/>
      <c r="R45" s="616"/>
      <c r="S45" s="611"/>
      <c r="T45" s="611"/>
      <c r="U45" s="613"/>
      <c r="V45" s="611"/>
      <c r="W45" s="18"/>
      <c r="X45" s="18"/>
      <c r="Y45" s="18"/>
      <c r="Z45" s="18"/>
      <c r="AA45" s="18"/>
    </row>
    <row r="46" spans="1:27" s="19" customFormat="1" ht="30" customHeight="1" x14ac:dyDescent="0.2">
      <c r="A46" s="688"/>
      <c r="B46" s="432"/>
      <c r="C46" s="611"/>
      <c r="D46" s="595"/>
      <c r="E46" s="12" t="s">
        <v>5027</v>
      </c>
      <c r="F46" s="13" t="s">
        <v>15604</v>
      </c>
      <c r="G46" s="285" t="s">
        <v>15605</v>
      </c>
      <c r="H46" s="611"/>
      <c r="I46" s="611"/>
      <c r="J46" s="597"/>
      <c r="K46" s="611"/>
      <c r="L46" s="613"/>
      <c r="M46" s="611"/>
      <c r="N46" s="685"/>
      <c r="O46" s="613"/>
      <c r="P46" s="685"/>
      <c r="Q46" s="616"/>
      <c r="R46" s="616"/>
      <c r="S46" s="611"/>
      <c r="T46" s="611"/>
      <c r="U46" s="613"/>
      <c r="V46" s="611"/>
      <c r="W46" s="18"/>
      <c r="X46" s="18"/>
      <c r="Y46" s="18"/>
      <c r="Z46" s="18"/>
      <c r="AA46" s="18"/>
    </row>
    <row r="47" spans="1:27" s="19" customFormat="1" ht="30" customHeight="1" x14ac:dyDescent="0.2">
      <c r="A47" s="688"/>
      <c r="B47" s="432"/>
      <c r="C47" s="611"/>
      <c r="D47" s="595"/>
      <c r="E47" s="12" t="s">
        <v>6173</v>
      </c>
      <c r="F47" s="13" t="s">
        <v>15606</v>
      </c>
      <c r="G47" s="285" t="s">
        <v>15607</v>
      </c>
      <c r="H47" s="611"/>
      <c r="I47" s="611"/>
      <c r="J47" s="597"/>
      <c r="K47" s="611"/>
      <c r="L47" s="613"/>
      <c r="M47" s="611"/>
      <c r="N47" s="685"/>
      <c r="O47" s="613"/>
      <c r="P47" s="685"/>
      <c r="Q47" s="616"/>
      <c r="R47" s="616"/>
      <c r="S47" s="611"/>
      <c r="T47" s="611"/>
      <c r="U47" s="613"/>
      <c r="V47" s="611"/>
      <c r="W47" s="18"/>
      <c r="X47" s="18"/>
      <c r="Y47" s="18"/>
      <c r="Z47" s="18"/>
      <c r="AA47" s="18"/>
    </row>
    <row r="48" spans="1:27" s="19" customFormat="1" ht="30" customHeight="1" x14ac:dyDescent="0.2">
      <c r="A48" s="688"/>
      <c r="B48" s="432"/>
      <c r="C48" s="611"/>
      <c r="D48" s="595"/>
      <c r="E48" s="12" t="s">
        <v>2466</v>
      </c>
      <c r="F48" s="13" t="s">
        <v>15606</v>
      </c>
      <c r="G48" s="285" t="s">
        <v>15608</v>
      </c>
      <c r="H48" s="611"/>
      <c r="I48" s="611"/>
      <c r="J48" s="597"/>
      <c r="K48" s="611"/>
      <c r="L48" s="613"/>
      <c r="M48" s="611"/>
      <c r="N48" s="685"/>
      <c r="O48" s="613"/>
      <c r="P48" s="685"/>
      <c r="Q48" s="616"/>
      <c r="R48" s="616"/>
      <c r="S48" s="611"/>
      <c r="T48" s="611"/>
      <c r="U48" s="613"/>
      <c r="V48" s="611"/>
      <c r="W48" s="18"/>
      <c r="X48" s="18"/>
      <c r="Y48" s="18"/>
      <c r="Z48" s="18"/>
      <c r="AA48" s="18"/>
    </row>
    <row r="49" spans="1:27" s="19" customFormat="1" ht="30" customHeight="1" x14ac:dyDescent="0.2">
      <c r="A49" s="688"/>
      <c r="B49" s="432"/>
      <c r="C49" s="611"/>
      <c r="D49" s="595"/>
      <c r="E49" s="12" t="s">
        <v>13705</v>
      </c>
      <c r="F49" s="13" t="s">
        <v>15576</v>
      </c>
      <c r="G49" s="285" t="s">
        <v>15609</v>
      </c>
      <c r="H49" s="611"/>
      <c r="I49" s="611"/>
      <c r="J49" s="597"/>
      <c r="K49" s="611"/>
      <c r="L49" s="613"/>
      <c r="M49" s="611"/>
      <c r="N49" s="685"/>
      <c r="O49" s="613"/>
      <c r="P49" s="685"/>
      <c r="Q49" s="616"/>
      <c r="R49" s="616"/>
      <c r="S49" s="611"/>
      <c r="T49" s="611"/>
      <c r="U49" s="613"/>
      <c r="V49" s="611"/>
      <c r="W49" s="18"/>
      <c r="X49" s="18"/>
      <c r="Y49" s="18"/>
      <c r="Z49" s="18"/>
      <c r="AA49" s="18"/>
    </row>
    <row r="50" spans="1:27" s="19" customFormat="1" ht="30" customHeight="1" x14ac:dyDescent="0.2">
      <c r="A50" s="688"/>
      <c r="B50" s="432"/>
      <c r="C50" s="611"/>
      <c r="D50" s="595"/>
      <c r="E50" s="12" t="s">
        <v>13495</v>
      </c>
      <c r="F50" s="13" t="s">
        <v>15581</v>
      </c>
      <c r="G50" s="285" t="s">
        <v>15609</v>
      </c>
      <c r="H50" s="611"/>
      <c r="I50" s="611"/>
      <c r="J50" s="597"/>
      <c r="K50" s="611"/>
      <c r="L50" s="613"/>
      <c r="M50" s="611"/>
      <c r="N50" s="685"/>
      <c r="O50" s="613"/>
      <c r="P50" s="685"/>
      <c r="Q50" s="616"/>
      <c r="R50" s="616"/>
      <c r="S50" s="611"/>
      <c r="T50" s="611"/>
      <c r="U50" s="613"/>
      <c r="V50" s="611"/>
      <c r="W50" s="18"/>
      <c r="X50" s="18"/>
      <c r="Y50" s="18"/>
      <c r="Z50" s="18"/>
      <c r="AA50" s="18"/>
    </row>
    <row r="51" spans="1:27" s="19" customFormat="1" ht="30" customHeight="1" x14ac:dyDescent="0.2">
      <c r="A51" s="688"/>
      <c r="B51" s="432"/>
      <c r="C51" s="611"/>
      <c r="D51" s="595"/>
      <c r="E51" s="12" t="s">
        <v>2468</v>
      </c>
      <c r="F51" s="13" t="s">
        <v>15606</v>
      </c>
      <c r="G51" s="285" t="s">
        <v>15609</v>
      </c>
      <c r="H51" s="611"/>
      <c r="I51" s="611"/>
      <c r="J51" s="597"/>
      <c r="K51" s="611"/>
      <c r="L51" s="613"/>
      <c r="M51" s="611"/>
      <c r="N51" s="685"/>
      <c r="O51" s="613"/>
      <c r="P51" s="685"/>
      <c r="Q51" s="616"/>
      <c r="R51" s="616"/>
      <c r="S51" s="611"/>
      <c r="T51" s="611"/>
      <c r="U51" s="613"/>
      <c r="V51" s="611"/>
      <c r="W51" s="18"/>
      <c r="X51" s="18"/>
      <c r="Y51" s="18"/>
      <c r="Z51" s="18"/>
      <c r="AA51" s="18"/>
    </row>
    <row r="52" spans="1:27" s="19" customFormat="1" ht="30" customHeight="1" x14ac:dyDescent="0.2">
      <c r="A52" s="688"/>
      <c r="B52" s="432"/>
      <c r="C52" s="611"/>
      <c r="D52" s="595"/>
      <c r="E52" s="12" t="s">
        <v>13705</v>
      </c>
      <c r="F52" s="13" t="s">
        <v>15610</v>
      </c>
      <c r="G52" s="285" t="s">
        <v>15611</v>
      </c>
      <c r="H52" s="611"/>
      <c r="I52" s="611"/>
      <c r="J52" s="597"/>
      <c r="K52" s="611"/>
      <c r="L52" s="613"/>
      <c r="M52" s="611"/>
      <c r="N52" s="685"/>
      <c r="O52" s="613"/>
      <c r="P52" s="685"/>
      <c r="Q52" s="616"/>
      <c r="R52" s="616"/>
      <c r="S52" s="611"/>
      <c r="T52" s="611"/>
      <c r="U52" s="613"/>
      <c r="V52" s="611"/>
      <c r="W52" s="18"/>
      <c r="X52" s="18"/>
      <c r="Y52" s="18"/>
      <c r="Z52" s="18"/>
      <c r="AA52" s="18"/>
    </row>
    <row r="53" spans="1:27" s="19" customFormat="1" ht="30" customHeight="1" x14ac:dyDescent="0.2">
      <c r="A53" s="688"/>
      <c r="B53" s="432"/>
      <c r="C53" s="611"/>
      <c r="D53" s="595"/>
      <c r="E53" s="12" t="s">
        <v>15222</v>
      </c>
      <c r="F53" s="13" t="s">
        <v>15572</v>
      </c>
      <c r="G53" s="285" t="s">
        <v>15612</v>
      </c>
      <c r="H53" s="611"/>
      <c r="I53" s="611"/>
      <c r="J53" s="597"/>
      <c r="K53" s="611"/>
      <c r="L53" s="613"/>
      <c r="M53" s="611"/>
      <c r="N53" s="685"/>
      <c r="O53" s="613"/>
      <c r="P53" s="685"/>
      <c r="Q53" s="616"/>
      <c r="R53" s="616"/>
      <c r="S53" s="611"/>
      <c r="T53" s="611"/>
      <c r="U53" s="613"/>
      <c r="V53" s="611"/>
      <c r="W53" s="18"/>
      <c r="X53" s="18"/>
      <c r="Y53" s="18"/>
      <c r="Z53" s="18"/>
      <c r="AA53" s="18"/>
    </row>
    <row r="54" spans="1:27" s="19" customFormat="1" ht="30" customHeight="1" x14ac:dyDescent="0.2">
      <c r="A54" s="688"/>
      <c r="B54" s="432"/>
      <c r="C54" s="611"/>
      <c r="D54" s="595"/>
      <c r="E54" s="12" t="s">
        <v>13478</v>
      </c>
      <c r="F54" s="13" t="s">
        <v>15610</v>
      </c>
      <c r="G54" s="285" t="s">
        <v>15613</v>
      </c>
      <c r="H54" s="611"/>
      <c r="I54" s="611"/>
      <c r="J54" s="597"/>
      <c r="K54" s="611"/>
      <c r="L54" s="613"/>
      <c r="M54" s="611"/>
      <c r="N54" s="685"/>
      <c r="O54" s="613"/>
      <c r="P54" s="685"/>
      <c r="Q54" s="616"/>
      <c r="R54" s="616"/>
      <c r="S54" s="611"/>
      <c r="T54" s="611"/>
      <c r="U54" s="613"/>
      <c r="V54" s="611"/>
      <c r="W54" s="18"/>
      <c r="X54" s="18"/>
      <c r="Y54" s="18"/>
      <c r="Z54" s="18"/>
      <c r="AA54" s="18"/>
    </row>
    <row r="55" spans="1:27" s="19" customFormat="1" ht="30" customHeight="1" x14ac:dyDescent="0.2">
      <c r="A55" s="688"/>
      <c r="B55" s="432"/>
      <c r="C55" s="611"/>
      <c r="D55" s="595"/>
      <c r="E55" s="12" t="s">
        <v>2203</v>
      </c>
      <c r="F55" s="13" t="s">
        <v>15572</v>
      </c>
      <c r="G55" s="285" t="s">
        <v>15614</v>
      </c>
      <c r="H55" s="611"/>
      <c r="I55" s="611"/>
      <c r="J55" s="597"/>
      <c r="K55" s="611"/>
      <c r="L55" s="613"/>
      <c r="M55" s="611"/>
      <c r="N55" s="685"/>
      <c r="O55" s="613"/>
      <c r="P55" s="685"/>
      <c r="Q55" s="616"/>
      <c r="R55" s="616"/>
      <c r="S55" s="611"/>
      <c r="T55" s="611"/>
      <c r="U55" s="613"/>
      <c r="V55" s="611"/>
      <c r="W55" s="18"/>
      <c r="X55" s="18"/>
      <c r="Y55" s="18"/>
      <c r="Z55" s="18"/>
      <c r="AA55" s="18"/>
    </row>
    <row r="56" spans="1:27" s="19" customFormat="1" ht="30" customHeight="1" x14ac:dyDescent="0.2">
      <c r="A56" s="688"/>
      <c r="B56" s="432"/>
      <c r="C56" s="611"/>
      <c r="D56" s="595"/>
      <c r="E56" s="12" t="s">
        <v>6173</v>
      </c>
      <c r="F56" s="13" t="s">
        <v>15572</v>
      </c>
      <c r="G56" s="285" t="s">
        <v>15615</v>
      </c>
      <c r="H56" s="611"/>
      <c r="I56" s="611"/>
      <c r="J56" s="597"/>
      <c r="K56" s="611"/>
      <c r="L56" s="613"/>
      <c r="M56" s="611"/>
      <c r="N56" s="685"/>
      <c r="O56" s="613"/>
      <c r="P56" s="685"/>
      <c r="Q56" s="616"/>
      <c r="R56" s="616"/>
      <c r="S56" s="611"/>
      <c r="T56" s="611"/>
      <c r="U56" s="613"/>
      <c r="V56" s="611"/>
      <c r="W56" s="18"/>
      <c r="X56" s="18"/>
      <c r="Y56" s="18"/>
      <c r="Z56" s="18"/>
      <c r="AA56" s="18"/>
    </row>
    <row r="57" spans="1:27" s="19" customFormat="1" ht="30" customHeight="1" x14ac:dyDescent="0.2">
      <c r="A57" s="688"/>
      <c r="B57" s="432"/>
      <c r="C57" s="611"/>
      <c r="D57" s="595"/>
      <c r="E57" s="12" t="s">
        <v>2827</v>
      </c>
      <c r="F57" s="13" t="s">
        <v>15581</v>
      </c>
      <c r="G57" s="285" t="s">
        <v>15616</v>
      </c>
      <c r="H57" s="611"/>
      <c r="I57" s="611"/>
      <c r="J57" s="597"/>
      <c r="K57" s="611"/>
      <c r="L57" s="613"/>
      <c r="M57" s="611"/>
      <c r="N57" s="685"/>
      <c r="O57" s="613"/>
      <c r="P57" s="685"/>
      <c r="Q57" s="616"/>
      <c r="R57" s="616"/>
      <c r="S57" s="611"/>
      <c r="T57" s="611"/>
      <c r="U57" s="613"/>
      <c r="V57" s="611"/>
      <c r="W57" s="18"/>
      <c r="X57" s="18"/>
      <c r="Y57" s="18"/>
      <c r="Z57" s="18"/>
      <c r="AA57" s="18"/>
    </row>
    <row r="58" spans="1:27" s="19" customFormat="1" ht="30" customHeight="1" x14ac:dyDescent="0.2">
      <c r="A58" s="688"/>
      <c r="B58" s="432"/>
      <c r="C58" s="611"/>
      <c r="D58" s="595"/>
      <c r="E58" s="12" t="s">
        <v>2468</v>
      </c>
      <c r="F58" s="13" t="s">
        <v>15576</v>
      </c>
      <c r="G58" s="285" t="s">
        <v>15617</v>
      </c>
      <c r="H58" s="611"/>
      <c r="I58" s="611"/>
      <c r="J58" s="597"/>
      <c r="K58" s="611"/>
      <c r="L58" s="613"/>
      <c r="M58" s="611"/>
      <c r="N58" s="685"/>
      <c r="O58" s="613"/>
      <c r="P58" s="685"/>
      <c r="Q58" s="616"/>
      <c r="R58" s="616"/>
      <c r="S58" s="611"/>
      <c r="T58" s="611"/>
      <c r="U58" s="613"/>
      <c r="V58" s="611"/>
      <c r="W58" s="18"/>
      <c r="X58" s="18"/>
      <c r="Y58" s="18"/>
      <c r="Z58" s="18"/>
      <c r="AA58" s="18"/>
    </row>
    <row r="59" spans="1:27" s="19" customFormat="1" ht="30" customHeight="1" x14ac:dyDescent="0.2">
      <c r="A59" s="688"/>
      <c r="B59" s="432"/>
      <c r="C59" s="611"/>
      <c r="D59" s="595"/>
      <c r="E59" s="12" t="s">
        <v>2468</v>
      </c>
      <c r="F59" s="13" t="s">
        <v>15581</v>
      </c>
      <c r="G59" s="285" t="s">
        <v>15618</v>
      </c>
      <c r="H59" s="611"/>
      <c r="I59" s="611"/>
      <c r="J59" s="597"/>
      <c r="K59" s="611"/>
      <c r="L59" s="613"/>
      <c r="M59" s="611"/>
      <c r="N59" s="685"/>
      <c r="O59" s="613"/>
      <c r="P59" s="685"/>
      <c r="Q59" s="616"/>
      <c r="R59" s="616"/>
      <c r="S59" s="611"/>
      <c r="T59" s="611"/>
      <c r="U59" s="613"/>
      <c r="V59" s="611"/>
      <c r="W59" s="18"/>
      <c r="X59" s="18"/>
      <c r="Y59" s="18"/>
      <c r="Z59" s="18"/>
      <c r="AA59" s="18"/>
    </row>
    <row r="60" spans="1:27" s="19" customFormat="1" ht="30" customHeight="1" x14ac:dyDescent="0.2">
      <c r="A60" s="688"/>
      <c r="B60" s="432"/>
      <c r="C60" s="611"/>
      <c r="D60" s="595"/>
      <c r="E60" s="12" t="s">
        <v>2827</v>
      </c>
      <c r="F60" s="13" t="s">
        <v>15572</v>
      </c>
      <c r="G60" s="285" t="s">
        <v>15619</v>
      </c>
      <c r="H60" s="611"/>
      <c r="I60" s="611"/>
      <c r="J60" s="597"/>
      <c r="K60" s="611"/>
      <c r="L60" s="613"/>
      <c r="M60" s="611"/>
      <c r="N60" s="685"/>
      <c r="O60" s="613"/>
      <c r="P60" s="685"/>
      <c r="Q60" s="616"/>
      <c r="R60" s="616"/>
      <c r="S60" s="611"/>
      <c r="T60" s="611"/>
      <c r="U60" s="613"/>
      <c r="V60" s="611"/>
      <c r="W60" s="18"/>
      <c r="X60" s="18"/>
      <c r="Y60" s="18"/>
      <c r="Z60" s="18"/>
      <c r="AA60" s="18"/>
    </row>
    <row r="61" spans="1:27" s="19" customFormat="1" ht="30" customHeight="1" x14ac:dyDescent="0.2">
      <c r="A61" s="688"/>
      <c r="B61" s="432"/>
      <c r="C61" s="611"/>
      <c r="D61" s="595"/>
      <c r="E61" s="12" t="s">
        <v>13478</v>
      </c>
      <c r="F61" s="13" t="s">
        <v>15572</v>
      </c>
      <c r="G61" s="285" t="s">
        <v>15620</v>
      </c>
      <c r="H61" s="611"/>
      <c r="I61" s="611"/>
      <c r="J61" s="597"/>
      <c r="K61" s="611"/>
      <c r="L61" s="613"/>
      <c r="M61" s="611"/>
      <c r="N61" s="685"/>
      <c r="O61" s="613"/>
      <c r="P61" s="685"/>
      <c r="Q61" s="616"/>
      <c r="R61" s="616"/>
      <c r="S61" s="611"/>
      <c r="T61" s="611"/>
      <c r="U61" s="613"/>
      <c r="V61" s="611"/>
      <c r="W61" s="18"/>
      <c r="X61" s="18"/>
      <c r="Y61" s="18"/>
      <c r="Z61" s="18"/>
      <c r="AA61" s="18"/>
    </row>
    <row r="62" spans="1:27" s="19" customFormat="1" ht="30" customHeight="1" x14ac:dyDescent="0.2">
      <c r="A62" s="688"/>
      <c r="B62" s="432"/>
      <c r="C62" s="611"/>
      <c r="D62" s="595"/>
      <c r="E62" s="12" t="s">
        <v>2827</v>
      </c>
      <c r="F62" s="13" t="s">
        <v>15572</v>
      </c>
      <c r="G62" s="285" t="s">
        <v>15621</v>
      </c>
      <c r="H62" s="611"/>
      <c r="I62" s="611"/>
      <c r="J62" s="597"/>
      <c r="K62" s="611"/>
      <c r="L62" s="613"/>
      <c r="M62" s="611"/>
      <c r="N62" s="685"/>
      <c r="O62" s="613"/>
      <c r="P62" s="685"/>
      <c r="Q62" s="616"/>
      <c r="R62" s="616"/>
      <c r="S62" s="611"/>
      <c r="T62" s="611"/>
      <c r="U62" s="613"/>
      <c r="V62" s="611"/>
      <c r="W62" s="18"/>
      <c r="X62" s="18"/>
      <c r="Y62" s="18"/>
      <c r="Z62" s="18"/>
      <c r="AA62" s="18"/>
    </row>
    <row r="63" spans="1:27" s="19" customFormat="1" ht="30" customHeight="1" x14ac:dyDescent="0.2">
      <c r="A63" s="688"/>
      <c r="B63" s="432"/>
      <c r="C63" s="611"/>
      <c r="D63" s="595"/>
      <c r="E63" s="12" t="s">
        <v>13705</v>
      </c>
      <c r="F63" s="13" t="s">
        <v>15572</v>
      </c>
      <c r="G63" s="285" t="s">
        <v>15622</v>
      </c>
      <c r="H63" s="611"/>
      <c r="I63" s="611"/>
      <c r="J63" s="597"/>
      <c r="K63" s="611"/>
      <c r="L63" s="613"/>
      <c r="M63" s="611"/>
      <c r="N63" s="685"/>
      <c r="O63" s="613"/>
      <c r="P63" s="685"/>
      <c r="Q63" s="616"/>
      <c r="R63" s="616"/>
      <c r="S63" s="611"/>
      <c r="T63" s="611"/>
      <c r="U63" s="613"/>
      <c r="V63" s="611"/>
      <c r="W63" s="18"/>
      <c r="X63" s="18"/>
      <c r="Y63" s="18"/>
      <c r="Z63" s="18"/>
      <c r="AA63" s="18"/>
    </row>
    <row r="64" spans="1:27" s="19" customFormat="1" ht="30" customHeight="1" x14ac:dyDescent="0.2">
      <c r="A64" s="688"/>
      <c r="B64" s="432"/>
      <c r="C64" s="611"/>
      <c r="D64" s="595"/>
      <c r="E64" s="12" t="s">
        <v>13478</v>
      </c>
      <c r="F64" s="13" t="s">
        <v>15572</v>
      </c>
      <c r="G64" s="285" t="s">
        <v>15623</v>
      </c>
      <c r="H64" s="611"/>
      <c r="I64" s="611"/>
      <c r="J64" s="597"/>
      <c r="K64" s="611"/>
      <c r="L64" s="613"/>
      <c r="M64" s="611"/>
      <c r="N64" s="685"/>
      <c r="O64" s="613"/>
      <c r="P64" s="685"/>
      <c r="Q64" s="616"/>
      <c r="R64" s="616"/>
      <c r="S64" s="611"/>
      <c r="T64" s="611"/>
      <c r="U64" s="613"/>
      <c r="V64" s="611"/>
      <c r="W64" s="18"/>
      <c r="X64" s="18"/>
      <c r="Y64" s="18"/>
      <c r="Z64" s="18"/>
      <c r="AA64" s="18"/>
    </row>
    <row r="65" spans="1:27" s="19" customFormat="1" ht="30" customHeight="1" x14ac:dyDescent="0.2">
      <c r="A65" s="688"/>
      <c r="B65" s="432"/>
      <c r="C65" s="611"/>
      <c r="D65" s="595"/>
      <c r="E65" s="12" t="s">
        <v>2466</v>
      </c>
      <c r="F65" s="13" t="s">
        <v>15572</v>
      </c>
      <c r="G65" s="285" t="s">
        <v>15624</v>
      </c>
      <c r="H65" s="611"/>
      <c r="I65" s="611"/>
      <c r="J65" s="597"/>
      <c r="K65" s="611"/>
      <c r="L65" s="613"/>
      <c r="M65" s="611"/>
      <c r="N65" s="685"/>
      <c r="O65" s="613"/>
      <c r="P65" s="685"/>
      <c r="Q65" s="616"/>
      <c r="R65" s="616"/>
      <c r="S65" s="611"/>
      <c r="T65" s="611"/>
      <c r="U65" s="613"/>
      <c r="V65" s="611"/>
      <c r="W65" s="18"/>
      <c r="X65" s="18"/>
      <c r="Y65" s="18"/>
      <c r="Z65" s="18"/>
      <c r="AA65" s="18"/>
    </row>
    <row r="66" spans="1:27" s="19" customFormat="1" ht="30" customHeight="1" x14ac:dyDescent="0.2">
      <c r="A66" s="688"/>
      <c r="B66" s="432"/>
      <c r="C66" s="611"/>
      <c r="D66" s="595"/>
      <c r="E66" s="12" t="s">
        <v>2203</v>
      </c>
      <c r="F66" s="13" t="s">
        <v>15581</v>
      </c>
      <c r="G66" s="285" t="s">
        <v>15625</v>
      </c>
      <c r="H66" s="611"/>
      <c r="I66" s="611"/>
      <c r="J66" s="597"/>
      <c r="K66" s="611"/>
      <c r="L66" s="613"/>
      <c r="M66" s="611"/>
      <c r="N66" s="685"/>
      <c r="O66" s="613"/>
      <c r="P66" s="685"/>
      <c r="Q66" s="616"/>
      <c r="R66" s="616"/>
      <c r="S66" s="611"/>
      <c r="T66" s="611"/>
      <c r="U66" s="613"/>
      <c r="V66" s="611"/>
      <c r="W66" s="18"/>
      <c r="X66" s="18"/>
      <c r="Y66" s="18"/>
      <c r="Z66" s="18"/>
      <c r="AA66" s="18"/>
    </row>
    <row r="67" spans="1:27" s="19" customFormat="1" ht="30" customHeight="1" x14ac:dyDescent="0.2">
      <c r="A67" s="688"/>
      <c r="B67" s="432"/>
      <c r="C67" s="611"/>
      <c r="D67" s="595"/>
      <c r="E67" s="12" t="s">
        <v>2203</v>
      </c>
      <c r="F67" s="13" t="s">
        <v>15572</v>
      </c>
      <c r="G67" s="285" t="s">
        <v>15625</v>
      </c>
      <c r="H67" s="611"/>
      <c r="I67" s="611"/>
      <c r="J67" s="597"/>
      <c r="K67" s="611"/>
      <c r="L67" s="613"/>
      <c r="M67" s="611"/>
      <c r="N67" s="685"/>
      <c r="O67" s="613"/>
      <c r="P67" s="685"/>
      <c r="Q67" s="616"/>
      <c r="R67" s="616"/>
      <c r="S67" s="611"/>
      <c r="T67" s="611"/>
      <c r="U67" s="613"/>
      <c r="V67" s="611"/>
      <c r="W67" s="18"/>
      <c r="X67" s="18"/>
      <c r="Y67" s="18"/>
      <c r="Z67" s="18"/>
      <c r="AA67" s="18"/>
    </row>
    <row r="68" spans="1:27" s="19" customFormat="1" ht="30" customHeight="1" x14ac:dyDescent="0.2">
      <c r="A68" s="688"/>
      <c r="B68" s="432"/>
      <c r="C68" s="611"/>
      <c r="D68" s="595"/>
      <c r="E68" s="12" t="s">
        <v>9655</v>
      </c>
      <c r="F68" s="13" t="s">
        <v>15572</v>
      </c>
      <c r="G68" s="285" t="s">
        <v>15626</v>
      </c>
      <c r="H68" s="611"/>
      <c r="I68" s="611"/>
      <c r="J68" s="597"/>
      <c r="K68" s="611"/>
      <c r="L68" s="613"/>
      <c r="M68" s="611"/>
      <c r="N68" s="685"/>
      <c r="O68" s="613"/>
      <c r="P68" s="685"/>
      <c r="Q68" s="616"/>
      <c r="R68" s="616"/>
      <c r="S68" s="611"/>
      <c r="T68" s="611"/>
      <c r="U68" s="613"/>
      <c r="V68" s="611"/>
      <c r="W68" s="18"/>
      <c r="X68" s="18"/>
      <c r="Y68" s="18"/>
      <c r="Z68" s="18"/>
      <c r="AA68" s="18"/>
    </row>
    <row r="69" spans="1:27" s="19" customFormat="1" ht="30" customHeight="1" x14ac:dyDescent="0.2">
      <c r="A69" s="688"/>
      <c r="B69" s="432"/>
      <c r="C69" s="611"/>
      <c r="D69" s="595"/>
      <c r="E69" s="12" t="s">
        <v>9655</v>
      </c>
      <c r="F69" s="13" t="s">
        <v>15627</v>
      </c>
      <c r="G69" s="285" t="s">
        <v>15628</v>
      </c>
      <c r="H69" s="611"/>
      <c r="I69" s="611"/>
      <c r="J69" s="597"/>
      <c r="K69" s="611"/>
      <c r="L69" s="613"/>
      <c r="M69" s="611"/>
      <c r="N69" s="685"/>
      <c r="O69" s="613"/>
      <c r="P69" s="685"/>
      <c r="Q69" s="616"/>
      <c r="R69" s="616"/>
      <c r="S69" s="611"/>
      <c r="T69" s="611"/>
      <c r="U69" s="613"/>
      <c r="V69" s="611"/>
      <c r="W69" s="18"/>
      <c r="X69" s="18"/>
      <c r="Y69" s="18"/>
      <c r="Z69" s="18"/>
      <c r="AA69" s="18"/>
    </row>
    <row r="70" spans="1:27" s="19" customFormat="1" ht="30" customHeight="1" x14ac:dyDescent="0.2">
      <c r="A70" s="688"/>
      <c r="B70" s="432"/>
      <c r="C70" s="611"/>
      <c r="D70" s="595"/>
      <c r="E70" s="12" t="s">
        <v>9655</v>
      </c>
      <c r="F70" s="13" t="s">
        <v>15572</v>
      </c>
      <c r="G70" s="285" t="s">
        <v>15629</v>
      </c>
      <c r="H70" s="611"/>
      <c r="I70" s="611"/>
      <c r="J70" s="597"/>
      <c r="K70" s="611"/>
      <c r="L70" s="613"/>
      <c r="M70" s="611"/>
      <c r="N70" s="685"/>
      <c r="O70" s="613"/>
      <c r="P70" s="685"/>
      <c r="Q70" s="616"/>
      <c r="R70" s="616"/>
      <c r="S70" s="611"/>
      <c r="T70" s="611"/>
      <c r="U70" s="613"/>
      <c r="V70" s="611"/>
      <c r="W70" s="18"/>
      <c r="X70" s="18"/>
      <c r="Y70" s="18"/>
      <c r="Z70" s="18"/>
      <c r="AA70" s="18"/>
    </row>
    <row r="71" spans="1:27" s="19" customFormat="1" ht="30" customHeight="1" x14ac:dyDescent="0.2">
      <c r="A71" s="688"/>
      <c r="B71" s="432"/>
      <c r="C71" s="611"/>
      <c r="D71" s="595"/>
      <c r="E71" s="12" t="s">
        <v>13495</v>
      </c>
      <c r="F71" s="13" t="s">
        <v>15576</v>
      </c>
      <c r="G71" s="285" t="s">
        <v>15630</v>
      </c>
      <c r="H71" s="611"/>
      <c r="I71" s="611"/>
      <c r="J71" s="597"/>
      <c r="K71" s="611"/>
      <c r="L71" s="613"/>
      <c r="M71" s="611"/>
      <c r="N71" s="685"/>
      <c r="O71" s="613"/>
      <c r="P71" s="685"/>
      <c r="Q71" s="616"/>
      <c r="R71" s="616"/>
      <c r="S71" s="611"/>
      <c r="T71" s="611"/>
      <c r="U71" s="613"/>
      <c r="V71" s="611"/>
      <c r="W71" s="18"/>
      <c r="X71" s="18"/>
      <c r="Y71" s="18"/>
      <c r="Z71" s="18"/>
      <c r="AA71" s="18"/>
    </row>
    <row r="72" spans="1:27" s="19" customFormat="1" ht="30" customHeight="1" x14ac:dyDescent="0.2">
      <c r="A72" s="688"/>
      <c r="B72" s="432"/>
      <c r="C72" s="611"/>
      <c r="D72" s="595"/>
      <c r="E72" s="12" t="s">
        <v>13495</v>
      </c>
      <c r="F72" s="13" t="s">
        <v>15576</v>
      </c>
      <c r="G72" s="285" t="s">
        <v>15630</v>
      </c>
      <c r="H72" s="611"/>
      <c r="I72" s="611"/>
      <c r="J72" s="597"/>
      <c r="K72" s="611"/>
      <c r="L72" s="613"/>
      <c r="M72" s="611"/>
      <c r="N72" s="685"/>
      <c r="O72" s="613"/>
      <c r="P72" s="685"/>
      <c r="Q72" s="616"/>
      <c r="R72" s="616"/>
      <c r="S72" s="611"/>
      <c r="T72" s="611"/>
      <c r="U72" s="613"/>
      <c r="V72" s="611"/>
      <c r="W72" s="18"/>
      <c r="X72" s="18"/>
      <c r="Y72" s="18"/>
      <c r="Z72" s="18"/>
      <c r="AA72" s="18"/>
    </row>
    <row r="73" spans="1:27" s="19" customFormat="1" ht="30" customHeight="1" x14ac:dyDescent="0.2">
      <c r="A73" s="688"/>
      <c r="B73" s="432"/>
      <c r="C73" s="611"/>
      <c r="D73" s="595"/>
      <c r="E73" s="12" t="s">
        <v>2466</v>
      </c>
      <c r="F73" s="13" t="s">
        <v>15572</v>
      </c>
      <c r="G73" s="285" t="s">
        <v>15631</v>
      </c>
      <c r="H73" s="611"/>
      <c r="I73" s="611"/>
      <c r="J73" s="597"/>
      <c r="K73" s="611"/>
      <c r="L73" s="613"/>
      <c r="M73" s="611"/>
      <c r="N73" s="685"/>
      <c r="O73" s="613"/>
      <c r="P73" s="685"/>
      <c r="Q73" s="616"/>
      <c r="R73" s="616"/>
      <c r="S73" s="611"/>
      <c r="T73" s="611"/>
      <c r="U73" s="613"/>
      <c r="V73" s="611"/>
      <c r="W73" s="18"/>
      <c r="X73" s="18"/>
      <c r="Y73" s="18"/>
      <c r="Z73" s="18"/>
      <c r="AA73" s="18"/>
    </row>
    <row r="74" spans="1:27" s="19" customFormat="1" ht="30" customHeight="1" x14ac:dyDescent="0.2">
      <c r="A74" s="688"/>
      <c r="B74" s="432"/>
      <c r="C74" s="611"/>
      <c r="D74" s="595"/>
      <c r="E74" s="12" t="s">
        <v>13705</v>
      </c>
      <c r="F74" s="13" t="s">
        <v>15572</v>
      </c>
      <c r="G74" s="285" t="s">
        <v>15632</v>
      </c>
      <c r="H74" s="611"/>
      <c r="I74" s="611"/>
      <c r="J74" s="597"/>
      <c r="K74" s="611"/>
      <c r="L74" s="613"/>
      <c r="M74" s="611"/>
      <c r="N74" s="685"/>
      <c r="O74" s="613"/>
      <c r="P74" s="685"/>
      <c r="Q74" s="616"/>
      <c r="R74" s="616"/>
      <c r="S74" s="611"/>
      <c r="T74" s="611"/>
      <c r="U74" s="613"/>
      <c r="V74" s="611"/>
      <c r="W74" s="18"/>
      <c r="X74" s="18"/>
      <c r="Y74" s="18"/>
      <c r="Z74" s="18"/>
      <c r="AA74" s="18"/>
    </row>
    <row r="75" spans="1:27" s="19" customFormat="1" ht="30" customHeight="1" x14ac:dyDescent="0.2">
      <c r="A75" s="688"/>
      <c r="B75" s="432"/>
      <c r="C75" s="611"/>
      <c r="D75" s="595"/>
      <c r="E75" s="12" t="s">
        <v>2466</v>
      </c>
      <c r="F75" s="13" t="s">
        <v>15581</v>
      </c>
      <c r="G75" s="285" t="s">
        <v>15633</v>
      </c>
      <c r="H75" s="611"/>
      <c r="I75" s="611"/>
      <c r="J75" s="597"/>
      <c r="K75" s="611"/>
      <c r="L75" s="613"/>
      <c r="M75" s="611"/>
      <c r="N75" s="685"/>
      <c r="O75" s="613"/>
      <c r="P75" s="685"/>
      <c r="Q75" s="616"/>
      <c r="R75" s="616"/>
      <c r="S75" s="611"/>
      <c r="T75" s="611"/>
      <c r="U75" s="613"/>
      <c r="V75" s="611"/>
      <c r="W75" s="18"/>
      <c r="X75" s="18"/>
      <c r="Y75" s="18"/>
      <c r="Z75" s="18"/>
      <c r="AA75" s="18"/>
    </row>
    <row r="76" spans="1:27" s="19" customFormat="1" ht="233.25" customHeight="1" x14ac:dyDescent="0.2">
      <c r="A76" s="688"/>
      <c r="B76" s="432"/>
      <c r="C76" s="611"/>
      <c r="D76" s="595"/>
      <c r="E76" s="22" t="s">
        <v>15222</v>
      </c>
      <c r="F76" s="255" t="s">
        <v>15634</v>
      </c>
      <c r="G76" s="285" t="s">
        <v>15635</v>
      </c>
      <c r="H76" s="611"/>
      <c r="I76" s="611"/>
      <c r="J76" s="597"/>
      <c r="K76" s="611"/>
      <c r="L76" s="613"/>
      <c r="M76" s="611"/>
      <c r="N76" s="685"/>
      <c r="O76" s="613"/>
      <c r="P76" s="685"/>
      <c r="Q76" s="616"/>
      <c r="R76" s="616"/>
      <c r="S76" s="611"/>
      <c r="T76" s="611"/>
      <c r="U76" s="613"/>
      <c r="V76" s="611"/>
      <c r="W76" s="18"/>
      <c r="X76" s="18"/>
      <c r="Y76" s="18"/>
      <c r="Z76" s="18"/>
      <c r="AA76" s="18"/>
    </row>
    <row r="77" spans="1:27" s="19" customFormat="1" ht="30" customHeight="1" x14ac:dyDescent="0.2">
      <c r="A77" s="689"/>
      <c r="B77" s="331"/>
      <c r="C77" s="332"/>
      <c r="D77" s="602"/>
      <c r="E77" s="22" t="s">
        <v>15636</v>
      </c>
      <c r="F77" s="255"/>
      <c r="G77" s="285" t="s">
        <v>15635</v>
      </c>
      <c r="H77" s="332"/>
      <c r="I77" s="332"/>
      <c r="J77" s="604"/>
      <c r="K77" s="332"/>
      <c r="L77" s="334"/>
      <c r="M77" s="332"/>
      <c r="N77" s="355"/>
      <c r="O77" s="334"/>
      <c r="P77" s="355"/>
      <c r="Q77" s="414"/>
      <c r="R77" s="414"/>
      <c r="S77" s="332"/>
      <c r="T77" s="332"/>
      <c r="U77" s="334"/>
      <c r="V77" s="332"/>
      <c r="W77" s="18"/>
      <c r="X77" s="18"/>
      <c r="Y77" s="18"/>
      <c r="Z77" s="18"/>
      <c r="AA77" s="18"/>
    </row>
    <row r="78" spans="1:27" s="19" customFormat="1" ht="30" customHeight="1" x14ac:dyDescent="0.2">
      <c r="A78" s="326">
        <v>27</v>
      </c>
      <c r="B78" s="326" t="s">
        <v>15637</v>
      </c>
      <c r="C78" s="327" t="s">
        <v>15638</v>
      </c>
      <c r="D78" s="690" t="s">
        <v>15565</v>
      </c>
      <c r="E78" s="22"/>
      <c r="F78" s="255"/>
      <c r="G78" s="682" t="s">
        <v>15639</v>
      </c>
      <c r="H78" s="49" t="s">
        <v>4296</v>
      </c>
      <c r="I78" s="49" t="s">
        <v>1586</v>
      </c>
      <c r="J78" s="590"/>
      <c r="K78" s="49" t="s">
        <v>3136</v>
      </c>
      <c r="L78" s="329" t="s">
        <v>15640</v>
      </c>
      <c r="M78" s="327" t="s">
        <v>15641</v>
      </c>
      <c r="N78" s="350">
        <v>4089</v>
      </c>
      <c r="O78" s="330">
        <v>40603</v>
      </c>
      <c r="P78" s="350">
        <f>6082872.99-78262.4-12061.8+61814.24</f>
        <v>6054363.0300000003</v>
      </c>
      <c r="Q78" s="413">
        <v>5953057.4199999999</v>
      </c>
      <c r="R78" s="413">
        <f>P78-Q78</f>
        <v>101305.61000000034</v>
      </c>
      <c r="S78" s="413">
        <v>72357144</v>
      </c>
      <c r="T78" s="327" t="s">
        <v>15642</v>
      </c>
      <c r="U78" s="329" t="s">
        <v>15643</v>
      </c>
      <c r="V78" s="327" t="s">
        <v>15644</v>
      </c>
      <c r="W78" s="18"/>
      <c r="X78" s="18"/>
      <c r="Y78" s="18"/>
      <c r="Z78" s="18"/>
      <c r="AA78" s="18"/>
    </row>
    <row r="79" spans="1:27" s="19" customFormat="1" ht="30" customHeight="1" x14ac:dyDescent="0.2">
      <c r="A79" s="432"/>
      <c r="B79" s="432"/>
      <c r="C79" s="611"/>
      <c r="D79" s="691"/>
      <c r="E79" s="12" t="s">
        <v>13406</v>
      </c>
      <c r="F79" s="13" t="s">
        <v>15610</v>
      </c>
      <c r="G79" s="285" t="s">
        <v>15645</v>
      </c>
      <c r="H79" s="71"/>
      <c r="I79" s="121"/>
      <c r="J79" s="597"/>
      <c r="K79" s="121"/>
      <c r="L79" s="613"/>
      <c r="M79" s="611"/>
      <c r="N79" s="685"/>
      <c r="O79" s="653"/>
      <c r="P79" s="685"/>
      <c r="Q79" s="616"/>
      <c r="R79" s="616"/>
      <c r="S79" s="692"/>
      <c r="T79" s="611"/>
      <c r="U79" s="613"/>
      <c r="V79" s="611"/>
      <c r="W79" s="18"/>
      <c r="X79" s="18"/>
      <c r="Y79" s="18"/>
      <c r="Z79" s="18"/>
      <c r="AA79" s="18"/>
    </row>
    <row r="80" spans="1:27" s="19" customFormat="1" ht="30" customHeight="1" x14ac:dyDescent="0.2">
      <c r="A80" s="432"/>
      <c r="B80" s="432"/>
      <c r="C80" s="611"/>
      <c r="D80" s="691"/>
      <c r="E80" s="12" t="s">
        <v>9478</v>
      </c>
      <c r="F80" s="13" t="s">
        <v>15646</v>
      </c>
      <c r="G80" s="285" t="s">
        <v>15647</v>
      </c>
      <c r="H80" s="71"/>
      <c r="I80" s="121"/>
      <c r="J80" s="597"/>
      <c r="K80" s="121"/>
      <c r="L80" s="613"/>
      <c r="M80" s="611"/>
      <c r="N80" s="685"/>
      <c r="O80" s="653"/>
      <c r="P80" s="685"/>
      <c r="Q80" s="616"/>
      <c r="R80" s="616"/>
      <c r="S80" s="692"/>
      <c r="T80" s="611"/>
      <c r="U80" s="613"/>
      <c r="V80" s="611"/>
      <c r="W80" s="18"/>
      <c r="X80" s="18"/>
      <c r="Y80" s="18"/>
      <c r="Z80" s="18"/>
      <c r="AA80" s="18"/>
    </row>
    <row r="81" spans="1:27" s="19" customFormat="1" ht="30" customHeight="1" x14ac:dyDescent="0.2">
      <c r="A81" s="432"/>
      <c r="B81" s="432"/>
      <c r="C81" s="611"/>
      <c r="D81" s="691"/>
      <c r="E81" s="12" t="s">
        <v>9478</v>
      </c>
      <c r="F81" s="13" t="s">
        <v>15581</v>
      </c>
      <c r="G81" s="285" t="s">
        <v>15648</v>
      </c>
      <c r="H81" s="71"/>
      <c r="I81" s="121"/>
      <c r="J81" s="597"/>
      <c r="K81" s="121"/>
      <c r="L81" s="613"/>
      <c r="M81" s="611"/>
      <c r="N81" s="685"/>
      <c r="O81" s="653"/>
      <c r="P81" s="685"/>
      <c r="Q81" s="616"/>
      <c r="R81" s="616"/>
      <c r="S81" s="692"/>
      <c r="T81" s="611"/>
      <c r="U81" s="613"/>
      <c r="V81" s="611"/>
      <c r="W81" s="18"/>
      <c r="X81" s="18"/>
      <c r="Y81" s="18"/>
      <c r="Z81" s="18"/>
      <c r="AA81" s="18"/>
    </row>
    <row r="82" spans="1:27" s="19" customFormat="1" ht="30" customHeight="1" x14ac:dyDescent="0.2">
      <c r="A82" s="432"/>
      <c r="B82" s="432"/>
      <c r="C82" s="611"/>
      <c r="D82" s="691"/>
      <c r="E82" s="12" t="s">
        <v>13546</v>
      </c>
      <c r="F82" s="13" t="s">
        <v>15610</v>
      </c>
      <c r="G82" s="285" t="s">
        <v>15649</v>
      </c>
      <c r="H82" s="71"/>
      <c r="I82" s="121"/>
      <c r="J82" s="597"/>
      <c r="K82" s="121"/>
      <c r="L82" s="613"/>
      <c r="M82" s="611"/>
      <c r="N82" s="685"/>
      <c r="O82" s="653"/>
      <c r="P82" s="685"/>
      <c r="Q82" s="616"/>
      <c r="R82" s="616"/>
      <c r="S82" s="692"/>
      <c r="T82" s="611"/>
      <c r="U82" s="613"/>
      <c r="V82" s="611"/>
      <c r="W82" s="18"/>
      <c r="X82" s="18"/>
      <c r="Y82" s="18"/>
      <c r="Z82" s="18"/>
      <c r="AA82" s="18"/>
    </row>
    <row r="83" spans="1:27" s="19" customFormat="1" ht="30" customHeight="1" x14ac:dyDescent="0.2">
      <c r="A83" s="432"/>
      <c r="B83" s="432"/>
      <c r="C83" s="611"/>
      <c r="D83" s="691"/>
      <c r="E83" s="12" t="s">
        <v>13719</v>
      </c>
      <c r="F83" s="13" t="s">
        <v>15572</v>
      </c>
      <c r="G83" s="285" t="s">
        <v>15650</v>
      </c>
      <c r="H83" s="71"/>
      <c r="I83" s="121"/>
      <c r="J83" s="597"/>
      <c r="K83" s="121"/>
      <c r="L83" s="613"/>
      <c r="M83" s="611"/>
      <c r="N83" s="685"/>
      <c r="O83" s="653"/>
      <c r="P83" s="685"/>
      <c r="Q83" s="616"/>
      <c r="R83" s="616"/>
      <c r="S83" s="692"/>
      <c r="T83" s="611"/>
      <c r="U83" s="613"/>
      <c r="V83" s="611"/>
      <c r="W83" s="18"/>
      <c r="X83" s="18"/>
      <c r="Y83" s="18"/>
      <c r="Z83" s="18"/>
      <c r="AA83" s="18"/>
    </row>
    <row r="84" spans="1:27" s="19" customFormat="1" ht="30" customHeight="1" x14ac:dyDescent="0.2">
      <c r="A84" s="432"/>
      <c r="B84" s="432"/>
      <c r="C84" s="611"/>
      <c r="D84" s="691"/>
      <c r="E84" s="12" t="s">
        <v>13701</v>
      </c>
      <c r="F84" s="13" t="s">
        <v>15576</v>
      </c>
      <c r="G84" s="285" t="s">
        <v>15651</v>
      </c>
      <c r="H84" s="71"/>
      <c r="I84" s="121"/>
      <c r="J84" s="597"/>
      <c r="K84" s="121"/>
      <c r="L84" s="613"/>
      <c r="M84" s="611"/>
      <c r="N84" s="685"/>
      <c r="O84" s="653"/>
      <c r="P84" s="685"/>
      <c r="Q84" s="616"/>
      <c r="R84" s="616"/>
      <c r="S84" s="692"/>
      <c r="T84" s="611"/>
      <c r="U84" s="613"/>
      <c r="V84" s="611"/>
      <c r="W84" s="18"/>
      <c r="X84" s="18"/>
      <c r="Y84" s="18"/>
      <c r="Z84" s="18"/>
      <c r="AA84" s="18"/>
    </row>
    <row r="85" spans="1:27" s="19" customFormat="1" ht="30" customHeight="1" x14ac:dyDescent="0.2">
      <c r="A85" s="432"/>
      <c r="B85" s="432"/>
      <c r="C85" s="611"/>
      <c r="D85" s="691"/>
      <c r="E85" s="12" t="s">
        <v>13701</v>
      </c>
      <c r="F85" s="13" t="s">
        <v>15604</v>
      </c>
      <c r="G85" s="285" t="s">
        <v>15652</v>
      </c>
      <c r="H85" s="71"/>
      <c r="I85" s="121"/>
      <c r="J85" s="597"/>
      <c r="K85" s="121"/>
      <c r="L85" s="613"/>
      <c r="M85" s="611"/>
      <c r="N85" s="685"/>
      <c r="O85" s="653"/>
      <c r="P85" s="685"/>
      <c r="Q85" s="616"/>
      <c r="R85" s="616"/>
      <c r="S85" s="692"/>
      <c r="T85" s="611"/>
      <c r="U85" s="613"/>
      <c r="V85" s="611"/>
      <c r="W85" s="18"/>
      <c r="X85" s="18"/>
      <c r="Y85" s="18"/>
      <c r="Z85" s="18"/>
      <c r="AA85" s="18"/>
    </row>
    <row r="86" spans="1:27" s="19" customFormat="1" ht="30" customHeight="1" x14ac:dyDescent="0.2">
      <c r="A86" s="432"/>
      <c r="B86" s="432"/>
      <c r="C86" s="611"/>
      <c r="D86" s="691"/>
      <c r="E86" s="12" t="s">
        <v>13412</v>
      </c>
      <c r="F86" s="13" t="s">
        <v>15572</v>
      </c>
      <c r="G86" s="285" t="s">
        <v>15653</v>
      </c>
      <c r="H86" s="71"/>
      <c r="I86" s="121"/>
      <c r="J86" s="597"/>
      <c r="K86" s="121"/>
      <c r="L86" s="613"/>
      <c r="M86" s="611"/>
      <c r="N86" s="685"/>
      <c r="O86" s="653"/>
      <c r="P86" s="685"/>
      <c r="Q86" s="616"/>
      <c r="R86" s="616"/>
      <c r="S86" s="692"/>
      <c r="T86" s="611"/>
      <c r="U86" s="613"/>
      <c r="V86" s="611"/>
      <c r="W86" s="18"/>
      <c r="X86" s="18"/>
      <c r="Y86" s="18"/>
      <c r="Z86" s="18"/>
      <c r="AA86" s="18"/>
    </row>
    <row r="87" spans="1:27" s="19" customFormat="1" ht="30" customHeight="1" x14ac:dyDescent="0.2">
      <c r="A87" s="432"/>
      <c r="B87" s="432"/>
      <c r="C87" s="611"/>
      <c r="D87" s="691"/>
      <c r="E87" s="12" t="s">
        <v>13728</v>
      </c>
      <c r="F87" s="13" t="s">
        <v>15572</v>
      </c>
      <c r="G87" s="285" t="s">
        <v>15654</v>
      </c>
      <c r="H87" s="71"/>
      <c r="I87" s="121"/>
      <c r="J87" s="597"/>
      <c r="K87" s="121"/>
      <c r="L87" s="613"/>
      <c r="M87" s="611"/>
      <c r="N87" s="685"/>
      <c r="O87" s="653"/>
      <c r="P87" s="685"/>
      <c r="Q87" s="616"/>
      <c r="R87" s="616"/>
      <c r="S87" s="692"/>
      <c r="T87" s="611"/>
      <c r="U87" s="613"/>
      <c r="V87" s="611"/>
      <c r="W87" s="18"/>
      <c r="X87" s="18"/>
      <c r="Y87" s="18"/>
      <c r="Z87" s="18"/>
      <c r="AA87" s="18"/>
    </row>
    <row r="88" spans="1:27" s="19" customFormat="1" ht="30" customHeight="1" x14ac:dyDescent="0.2">
      <c r="A88" s="432"/>
      <c r="B88" s="432"/>
      <c r="C88" s="611"/>
      <c r="D88" s="691"/>
      <c r="E88" s="12" t="s">
        <v>14787</v>
      </c>
      <c r="F88" s="13" t="s">
        <v>15610</v>
      </c>
      <c r="G88" s="285" t="s">
        <v>15655</v>
      </c>
      <c r="H88" s="611"/>
      <c r="I88" s="121"/>
      <c r="J88" s="597"/>
      <c r="K88" s="121"/>
      <c r="L88" s="613"/>
      <c r="M88" s="611"/>
      <c r="N88" s="685"/>
      <c r="O88" s="653"/>
      <c r="P88" s="685"/>
      <c r="Q88" s="616"/>
      <c r="R88" s="616"/>
      <c r="S88" s="692"/>
      <c r="T88" s="611"/>
      <c r="U88" s="613"/>
      <c r="V88" s="611"/>
      <c r="W88" s="18"/>
      <c r="X88" s="18"/>
      <c r="Y88" s="18"/>
      <c r="Z88" s="18"/>
      <c r="AA88" s="18"/>
    </row>
    <row r="89" spans="1:27" s="19" customFormat="1" ht="30" customHeight="1" x14ac:dyDescent="0.2">
      <c r="A89" s="432"/>
      <c r="B89" s="432"/>
      <c r="C89" s="611"/>
      <c r="D89" s="691"/>
      <c r="E89" s="12" t="s">
        <v>13546</v>
      </c>
      <c r="F89" s="13" t="s">
        <v>15572</v>
      </c>
      <c r="G89" s="285" t="s">
        <v>15656</v>
      </c>
      <c r="H89" s="611"/>
      <c r="I89" s="121"/>
      <c r="J89" s="597"/>
      <c r="K89" s="121"/>
      <c r="L89" s="613"/>
      <c r="M89" s="611"/>
      <c r="N89" s="685"/>
      <c r="O89" s="653"/>
      <c r="P89" s="685"/>
      <c r="Q89" s="616"/>
      <c r="R89" s="616"/>
      <c r="S89" s="692"/>
      <c r="T89" s="611"/>
      <c r="U89" s="613"/>
      <c r="V89" s="611"/>
      <c r="W89" s="18"/>
      <c r="X89" s="18"/>
      <c r="Y89" s="18"/>
      <c r="Z89" s="18"/>
      <c r="AA89" s="18"/>
    </row>
    <row r="90" spans="1:27" s="19" customFormat="1" ht="30" customHeight="1" x14ac:dyDescent="0.2">
      <c r="A90" s="432"/>
      <c r="B90" s="432"/>
      <c r="C90" s="611"/>
      <c r="D90" s="691"/>
      <c r="E90" s="12" t="s">
        <v>13412</v>
      </c>
      <c r="F90" s="13" t="s">
        <v>15572</v>
      </c>
      <c r="G90" s="285" t="s">
        <v>15657</v>
      </c>
      <c r="H90" s="611"/>
      <c r="I90" s="121"/>
      <c r="J90" s="597"/>
      <c r="K90" s="121"/>
      <c r="L90" s="613"/>
      <c r="M90" s="611"/>
      <c r="N90" s="685"/>
      <c r="O90" s="653"/>
      <c r="P90" s="685"/>
      <c r="Q90" s="616"/>
      <c r="R90" s="616"/>
      <c r="S90" s="692"/>
      <c r="T90" s="611"/>
      <c r="U90" s="613"/>
      <c r="V90" s="611"/>
      <c r="W90" s="18"/>
      <c r="X90" s="18"/>
      <c r="Y90" s="18"/>
      <c r="Z90" s="18"/>
      <c r="AA90" s="18"/>
    </row>
    <row r="91" spans="1:27" s="19" customFormat="1" ht="30" customHeight="1" x14ac:dyDescent="0.2">
      <c r="A91" s="432"/>
      <c r="B91" s="432"/>
      <c r="C91" s="611"/>
      <c r="D91" s="691"/>
      <c r="E91" s="12" t="s">
        <v>13412</v>
      </c>
      <c r="F91" s="13" t="s">
        <v>15572</v>
      </c>
      <c r="G91" s="285" t="s">
        <v>15658</v>
      </c>
      <c r="H91" s="611"/>
      <c r="I91" s="121"/>
      <c r="J91" s="597"/>
      <c r="K91" s="121"/>
      <c r="L91" s="613"/>
      <c r="M91" s="611"/>
      <c r="N91" s="685"/>
      <c r="O91" s="653"/>
      <c r="P91" s="685"/>
      <c r="Q91" s="616"/>
      <c r="R91" s="616"/>
      <c r="S91" s="692"/>
      <c r="T91" s="611"/>
      <c r="U91" s="613"/>
      <c r="V91" s="611"/>
      <c r="W91" s="18"/>
      <c r="X91" s="18"/>
      <c r="Y91" s="18"/>
      <c r="Z91" s="18"/>
      <c r="AA91" s="18"/>
    </row>
    <row r="92" spans="1:27" s="19" customFormat="1" ht="30" customHeight="1" x14ac:dyDescent="0.2">
      <c r="A92" s="432"/>
      <c r="B92" s="432"/>
      <c r="C92" s="611"/>
      <c r="D92" s="691"/>
      <c r="E92" s="12" t="s">
        <v>14787</v>
      </c>
      <c r="F92" s="13" t="s">
        <v>15572</v>
      </c>
      <c r="G92" s="285" t="s">
        <v>15659</v>
      </c>
      <c r="H92" s="611"/>
      <c r="I92" s="121"/>
      <c r="J92" s="597"/>
      <c r="K92" s="121"/>
      <c r="L92" s="613"/>
      <c r="M92" s="611"/>
      <c r="N92" s="685"/>
      <c r="O92" s="653"/>
      <c r="P92" s="685"/>
      <c r="Q92" s="616"/>
      <c r="R92" s="616"/>
      <c r="S92" s="692"/>
      <c r="T92" s="611"/>
      <c r="U92" s="613"/>
      <c r="V92" s="611"/>
      <c r="W92" s="18"/>
      <c r="X92" s="18"/>
      <c r="Y92" s="18"/>
      <c r="Z92" s="18"/>
      <c r="AA92" s="18"/>
    </row>
    <row r="93" spans="1:27" s="19" customFormat="1" ht="30" customHeight="1" x14ac:dyDescent="0.2">
      <c r="A93" s="432"/>
      <c r="B93" s="432"/>
      <c r="C93" s="611"/>
      <c r="D93" s="691"/>
      <c r="E93" s="12" t="s">
        <v>13676</v>
      </c>
      <c r="F93" s="13" t="s">
        <v>15572</v>
      </c>
      <c r="G93" s="285" t="s">
        <v>15660</v>
      </c>
      <c r="H93" s="611"/>
      <c r="I93" s="121"/>
      <c r="J93" s="597"/>
      <c r="K93" s="121"/>
      <c r="L93" s="613"/>
      <c r="M93" s="611"/>
      <c r="N93" s="685"/>
      <c r="O93" s="653"/>
      <c r="P93" s="685"/>
      <c r="Q93" s="616"/>
      <c r="R93" s="616"/>
      <c r="S93" s="692"/>
      <c r="T93" s="611"/>
      <c r="U93" s="613"/>
      <c r="V93" s="611"/>
      <c r="W93" s="18"/>
      <c r="X93" s="18"/>
      <c r="Y93" s="18"/>
      <c r="Z93" s="18"/>
      <c r="AA93" s="18"/>
    </row>
    <row r="94" spans="1:27" s="19" customFormat="1" ht="30" customHeight="1" x14ac:dyDescent="0.2">
      <c r="A94" s="432"/>
      <c r="B94" s="432"/>
      <c r="C94" s="611"/>
      <c r="D94" s="691"/>
      <c r="E94" s="12" t="s">
        <v>13676</v>
      </c>
      <c r="F94" s="13" t="s">
        <v>15572</v>
      </c>
      <c r="G94" s="285" t="s">
        <v>15661</v>
      </c>
      <c r="H94" s="611"/>
      <c r="I94" s="121"/>
      <c r="J94" s="597"/>
      <c r="K94" s="121"/>
      <c r="L94" s="613"/>
      <c r="M94" s="611"/>
      <c r="N94" s="685"/>
      <c r="O94" s="653"/>
      <c r="P94" s="685"/>
      <c r="Q94" s="616"/>
      <c r="R94" s="616"/>
      <c r="S94" s="692"/>
      <c r="T94" s="611"/>
      <c r="U94" s="613"/>
      <c r="V94" s="611"/>
      <c r="W94" s="18"/>
      <c r="X94" s="18"/>
      <c r="Y94" s="18"/>
      <c r="Z94" s="18"/>
      <c r="AA94" s="18"/>
    </row>
    <row r="95" spans="1:27" s="19" customFormat="1" ht="30" customHeight="1" x14ac:dyDescent="0.2">
      <c r="A95" s="432"/>
      <c r="B95" s="432"/>
      <c r="C95" s="611"/>
      <c r="D95" s="691"/>
      <c r="E95" s="12" t="s">
        <v>13371</v>
      </c>
      <c r="F95" s="13" t="s">
        <v>15581</v>
      </c>
      <c r="G95" s="285" t="s">
        <v>15662</v>
      </c>
      <c r="H95" s="611"/>
      <c r="I95" s="121"/>
      <c r="J95" s="597"/>
      <c r="K95" s="121"/>
      <c r="L95" s="613"/>
      <c r="M95" s="611"/>
      <c r="N95" s="685"/>
      <c r="O95" s="653"/>
      <c r="P95" s="685"/>
      <c r="Q95" s="616"/>
      <c r="R95" s="616"/>
      <c r="S95" s="692"/>
      <c r="T95" s="611"/>
      <c r="U95" s="613"/>
      <c r="V95" s="611"/>
      <c r="W95" s="18"/>
      <c r="X95" s="18"/>
      <c r="Y95" s="18"/>
      <c r="Z95" s="18"/>
      <c r="AA95" s="18"/>
    </row>
    <row r="96" spans="1:27" s="19" customFormat="1" ht="30" customHeight="1" x14ac:dyDescent="0.2">
      <c r="A96" s="432"/>
      <c r="B96" s="432"/>
      <c r="C96" s="611"/>
      <c r="D96" s="691"/>
      <c r="E96" s="12" t="s">
        <v>13371</v>
      </c>
      <c r="F96" s="13" t="s">
        <v>15572</v>
      </c>
      <c r="G96" s="285" t="s">
        <v>15662</v>
      </c>
      <c r="H96" s="611"/>
      <c r="I96" s="121"/>
      <c r="J96" s="597"/>
      <c r="K96" s="121"/>
      <c r="L96" s="613"/>
      <c r="M96" s="611"/>
      <c r="N96" s="685"/>
      <c r="O96" s="653"/>
      <c r="P96" s="685"/>
      <c r="Q96" s="616"/>
      <c r="R96" s="616"/>
      <c r="S96" s="692"/>
      <c r="T96" s="611"/>
      <c r="U96" s="613"/>
      <c r="V96" s="611"/>
      <c r="W96" s="18"/>
      <c r="X96" s="18"/>
      <c r="Y96" s="18"/>
      <c r="Z96" s="18"/>
      <c r="AA96" s="18"/>
    </row>
    <row r="97" spans="1:27" s="19" customFormat="1" ht="30" customHeight="1" x14ac:dyDescent="0.2">
      <c r="A97" s="432"/>
      <c r="B97" s="432"/>
      <c r="C97" s="611"/>
      <c r="D97" s="691"/>
      <c r="E97" s="12" t="s">
        <v>15232</v>
      </c>
      <c r="F97" s="13" t="s">
        <v>15572</v>
      </c>
      <c r="G97" s="285" t="s">
        <v>15663</v>
      </c>
      <c r="H97" s="611"/>
      <c r="I97" s="121"/>
      <c r="J97" s="597"/>
      <c r="K97" s="121"/>
      <c r="L97" s="613"/>
      <c r="M97" s="611"/>
      <c r="N97" s="685"/>
      <c r="O97" s="653"/>
      <c r="P97" s="685"/>
      <c r="Q97" s="616"/>
      <c r="R97" s="616"/>
      <c r="S97" s="692"/>
      <c r="T97" s="611"/>
      <c r="U97" s="613"/>
      <c r="V97" s="611"/>
      <c r="W97" s="18"/>
      <c r="X97" s="18"/>
      <c r="Y97" s="18"/>
      <c r="Z97" s="18"/>
      <c r="AA97" s="18"/>
    </row>
    <row r="98" spans="1:27" s="19" customFormat="1" ht="30" customHeight="1" x14ac:dyDescent="0.2">
      <c r="A98" s="432"/>
      <c r="B98" s="432"/>
      <c r="C98" s="611"/>
      <c r="D98" s="691"/>
      <c r="E98" s="12" t="s">
        <v>13687</v>
      </c>
      <c r="F98" s="13" t="s">
        <v>15572</v>
      </c>
      <c r="G98" s="285" t="s">
        <v>15664</v>
      </c>
      <c r="H98" s="611"/>
      <c r="I98" s="121"/>
      <c r="J98" s="597"/>
      <c r="K98" s="121"/>
      <c r="L98" s="613"/>
      <c r="M98" s="611"/>
      <c r="N98" s="685"/>
      <c r="O98" s="653"/>
      <c r="P98" s="685"/>
      <c r="Q98" s="616"/>
      <c r="R98" s="616"/>
      <c r="S98" s="692"/>
      <c r="T98" s="611"/>
      <c r="U98" s="613"/>
      <c r="V98" s="611"/>
      <c r="W98" s="18"/>
      <c r="X98" s="18"/>
      <c r="Y98" s="18"/>
      <c r="Z98" s="18"/>
      <c r="AA98" s="18"/>
    </row>
    <row r="99" spans="1:27" s="19" customFormat="1" ht="30" customHeight="1" x14ac:dyDescent="0.2">
      <c r="A99" s="432"/>
      <c r="B99" s="432"/>
      <c r="C99" s="611"/>
      <c r="D99" s="691"/>
      <c r="E99" s="12" t="s">
        <v>9478</v>
      </c>
      <c r="F99" s="13" t="s">
        <v>15665</v>
      </c>
      <c r="G99" s="285" t="s">
        <v>15666</v>
      </c>
      <c r="H99" s="611"/>
      <c r="I99" s="121"/>
      <c r="J99" s="597"/>
      <c r="K99" s="121"/>
      <c r="L99" s="613"/>
      <c r="M99" s="611"/>
      <c r="N99" s="685"/>
      <c r="O99" s="653"/>
      <c r="P99" s="685"/>
      <c r="Q99" s="616"/>
      <c r="R99" s="616"/>
      <c r="S99" s="692"/>
      <c r="T99" s="611"/>
      <c r="U99" s="613"/>
      <c r="V99" s="611"/>
      <c r="W99" s="18"/>
      <c r="X99" s="18"/>
      <c r="Y99" s="18"/>
      <c r="Z99" s="18"/>
      <c r="AA99" s="18"/>
    </row>
    <row r="100" spans="1:27" s="19" customFormat="1" ht="30" customHeight="1" x14ac:dyDescent="0.2">
      <c r="A100" s="432"/>
      <c r="B100" s="432"/>
      <c r="C100" s="611"/>
      <c r="D100" s="691"/>
      <c r="E100" s="12" t="s">
        <v>9478</v>
      </c>
      <c r="F100" s="13" t="s">
        <v>15572</v>
      </c>
      <c r="G100" s="285" t="s">
        <v>15667</v>
      </c>
      <c r="H100" s="611"/>
      <c r="I100" s="121"/>
      <c r="J100" s="597"/>
      <c r="K100" s="121"/>
      <c r="L100" s="613"/>
      <c r="M100" s="611"/>
      <c r="N100" s="685"/>
      <c r="O100" s="653"/>
      <c r="P100" s="685"/>
      <c r="Q100" s="616"/>
      <c r="R100" s="616"/>
      <c r="S100" s="692"/>
      <c r="T100" s="611"/>
      <c r="U100" s="613"/>
      <c r="V100" s="611"/>
      <c r="W100" s="18"/>
      <c r="X100" s="18"/>
      <c r="Y100" s="18"/>
      <c r="Z100" s="18"/>
      <c r="AA100" s="18"/>
    </row>
    <row r="101" spans="1:27" s="19" customFormat="1" ht="30" customHeight="1" x14ac:dyDescent="0.2">
      <c r="A101" s="432"/>
      <c r="B101" s="432"/>
      <c r="C101" s="611"/>
      <c r="D101" s="691"/>
      <c r="E101" s="12" t="s">
        <v>13406</v>
      </c>
      <c r="F101" s="13" t="s">
        <v>15572</v>
      </c>
      <c r="G101" s="285" t="s">
        <v>15668</v>
      </c>
      <c r="H101" s="611"/>
      <c r="I101" s="121"/>
      <c r="J101" s="597"/>
      <c r="K101" s="121"/>
      <c r="L101" s="613"/>
      <c r="M101" s="611"/>
      <c r="N101" s="685"/>
      <c r="O101" s="653"/>
      <c r="P101" s="685"/>
      <c r="Q101" s="616"/>
      <c r="R101" s="616"/>
      <c r="S101" s="692"/>
      <c r="T101" s="611"/>
      <c r="U101" s="613"/>
      <c r="V101" s="611"/>
      <c r="W101" s="18"/>
      <c r="X101" s="18"/>
      <c r="Y101" s="18"/>
      <c r="Z101" s="18"/>
      <c r="AA101" s="18"/>
    </row>
    <row r="102" spans="1:27" s="19" customFormat="1" ht="30" customHeight="1" x14ac:dyDescent="0.2">
      <c r="A102" s="432"/>
      <c r="B102" s="432"/>
      <c r="C102" s="611"/>
      <c r="D102" s="691"/>
      <c r="E102" s="12" t="s">
        <v>13701</v>
      </c>
      <c r="F102" s="13" t="s">
        <v>15606</v>
      </c>
      <c r="G102" s="285" t="s">
        <v>15669</v>
      </c>
      <c r="H102" s="611"/>
      <c r="I102" s="121"/>
      <c r="J102" s="597"/>
      <c r="K102" s="121"/>
      <c r="L102" s="613"/>
      <c r="M102" s="611"/>
      <c r="N102" s="685"/>
      <c r="O102" s="653"/>
      <c r="P102" s="685"/>
      <c r="Q102" s="616"/>
      <c r="R102" s="616"/>
      <c r="S102" s="692"/>
      <c r="T102" s="611"/>
      <c r="U102" s="613"/>
      <c r="V102" s="611"/>
      <c r="W102" s="18"/>
      <c r="X102" s="18"/>
      <c r="Y102" s="18"/>
      <c r="Z102" s="18"/>
      <c r="AA102" s="18"/>
    </row>
    <row r="103" spans="1:27" s="19" customFormat="1" ht="30" customHeight="1" x14ac:dyDescent="0.2">
      <c r="A103" s="432"/>
      <c r="B103" s="432"/>
      <c r="C103" s="611"/>
      <c r="D103" s="691"/>
      <c r="E103" s="12" t="s">
        <v>13701</v>
      </c>
      <c r="F103" s="13" t="s">
        <v>15606</v>
      </c>
      <c r="G103" s="285" t="s">
        <v>15670</v>
      </c>
      <c r="H103" s="611"/>
      <c r="I103" s="121"/>
      <c r="J103" s="597"/>
      <c r="K103" s="121"/>
      <c r="L103" s="613"/>
      <c r="M103" s="611"/>
      <c r="N103" s="685"/>
      <c r="O103" s="653"/>
      <c r="P103" s="685"/>
      <c r="Q103" s="616"/>
      <c r="R103" s="616"/>
      <c r="S103" s="692"/>
      <c r="T103" s="611"/>
      <c r="U103" s="613"/>
      <c r="V103" s="611"/>
      <c r="W103" s="18"/>
      <c r="X103" s="18"/>
      <c r="Y103" s="18"/>
      <c r="Z103" s="18"/>
      <c r="AA103" s="18"/>
    </row>
    <row r="104" spans="1:27" s="19" customFormat="1" ht="30" customHeight="1" x14ac:dyDescent="0.2">
      <c r="A104" s="432"/>
      <c r="B104" s="432"/>
      <c r="C104" s="611"/>
      <c r="D104" s="691"/>
      <c r="E104" s="12" t="s">
        <v>13701</v>
      </c>
      <c r="F104" s="13" t="s">
        <v>15606</v>
      </c>
      <c r="G104" s="285" t="s">
        <v>15671</v>
      </c>
      <c r="H104" s="611"/>
      <c r="I104" s="121"/>
      <c r="J104" s="597"/>
      <c r="K104" s="121"/>
      <c r="L104" s="613"/>
      <c r="M104" s="611"/>
      <c r="N104" s="685"/>
      <c r="O104" s="653"/>
      <c r="P104" s="685"/>
      <c r="Q104" s="616"/>
      <c r="R104" s="616"/>
      <c r="S104" s="692"/>
      <c r="T104" s="611"/>
      <c r="U104" s="613"/>
      <c r="V104" s="611"/>
      <c r="W104" s="18"/>
      <c r="X104" s="18"/>
      <c r="Y104" s="18"/>
      <c r="Z104" s="18"/>
      <c r="AA104" s="18"/>
    </row>
    <row r="105" spans="1:27" s="19" customFormat="1" ht="30" customHeight="1" x14ac:dyDescent="0.2">
      <c r="A105" s="432"/>
      <c r="B105" s="432"/>
      <c r="C105" s="611"/>
      <c r="D105" s="691"/>
      <c r="E105" s="12" t="s">
        <v>13701</v>
      </c>
      <c r="F105" s="13" t="s">
        <v>15581</v>
      </c>
      <c r="G105" s="285" t="s">
        <v>15672</v>
      </c>
      <c r="H105" s="611"/>
      <c r="I105" s="121"/>
      <c r="J105" s="597"/>
      <c r="K105" s="121"/>
      <c r="L105" s="613"/>
      <c r="M105" s="611"/>
      <c r="N105" s="685"/>
      <c r="O105" s="653"/>
      <c r="P105" s="685"/>
      <c r="Q105" s="616"/>
      <c r="R105" s="616"/>
      <c r="S105" s="692"/>
      <c r="T105" s="611"/>
      <c r="U105" s="613"/>
      <c r="V105" s="611"/>
      <c r="W105" s="18"/>
      <c r="X105" s="18"/>
      <c r="Y105" s="18"/>
      <c r="Z105" s="18"/>
      <c r="AA105" s="18"/>
    </row>
    <row r="106" spans="1:27" s="19" customFormat="1" ht="30" customHeight="1" x14ac:dyDescent="0.2">
      <c r="A106" s="432"/>
      <c r="B106" s="432"/>
      <c r="C106" s="611"/>
      <c r="D106" s="691"/>
      <c r="E106" s="12" t="s">
        <v>13687</v>
      </c>
      <c r="F106" s="13" t="s">
        <v>15581</v>
      </c>
      <c r="G106" s="285" t="s">
        <v>15673</v>
      </c>
      <c r="H106" s="611"/>
      <c r="I106" s="121"/>
      <c r="J106" s="597"/>
      <c r="K106" s="121"/>
      <c r="L106" s="613"/>
      <c r="M106" s="611"/>
      <c r="N106" s="685"/>
      <c r="O106" s="653"/>
      <c r="P106" s="685"/>
      <c r="Q106" s="616"/>
      <c r="R106" s="616"/>
      <c r="S106" s="692"/>
      <c r="T106" s="611"/>
      <c r="U106" s="613"/>
      <c r="V106" s="611"/>
      <c r="W106" s="18"/>
      <c r="X106" s="18"/>
      <c r="Y106" s="18"/>
      <c r="Z106" s="18"/>
      <c r="AA106" s="18"/>
    </row>
    <row r="107" spans="1:27" s="19" customFormat="1" ht="30" customHeight="1" x14ac:dyDescent="0.2">
      <c r="A107" s="432"/>
      <c r="B107" s="432"/>
      <c r="C107" s="611"/>
      <c r="D107" s="691"/>
      <c r="E107" s="12" t="s">
        <v>5394</v>
      </c>
      <c r="F107" s="13" t="s">
        <v>15572</v>
      </c>
      <c r="G107" s="285" t="s">
        <v>15674</v>
      </c>
      <c r="H107" s="611"/>
      <c r="I107" s="121"/>
      <c r="J107" s="597"/>
      <c r="K107" s="121"/>
      <c r="L107" s="613"/>
      <c r="M107" s="611"/>
      <c r="N107" s="685"/>
      <c r="O107" s="653"/>
      <c r="P107" s="685"/>
      <c r="Q107" s="616"/>
      <c r="R107" s="616"/>
      <c r="S107" s="692"/>
      <c r="T107" s="611"/>
      <c r="U107" s="613"/>
      <c r="V107" s="611"/>
      <c r="W107" s="18"/>
      <c r="X107" s="18"/>
      <c r="Y107" s="18"/>
      <c r="Z107" s="18"/>
      <c r="AA107" s="18"/>
    </row>
    <row r="108" spans="1:27" s="19" customFormat="1" ht="30" customHeight="1" x14ac:dyDescent="0.2">
      <c r="A108" s="432"/>
      <c r="B108" s="432"/>
      <c r="C108" s="611"/>
      <c r="D108" s="691"/>
      <c r="E108" s="12" t="s">
        <v>5394</v>
      </c>
      <c r="F108" s="13" t="s">
        <v>15604</v>
      </c>
      <c r="G108" s="285" t="s">
        <v>15674</v>
      </c>
      <c r="H108" s="611"/>
      <c r="I108" s="121"/>
      <c r="J108" s="597"/>
      <c r="K108" s="121"/>
      <c r="L108" s="613"/>
      <c r="M108" s="611"/>
      <c r="N108" s="685"/>
      <c r="O108" s="653"/>
      <c r="P108" s="685"/>
      <c r="Q108" s="616"/>
      <c r="R108" s="616"/>
      <c r="S108" s="692"/>
      <c r="T108" s="611"/>
      <c r="U108" s="613"/>
      <c r="V108" s="611"/>
      <c r="W108" s="18"/>
      <c r="X108" s="18"/>
      <c r="Y108" s="18"/>
      <c r="Z108" s="18"/>
      <c r="AA108" s="18"/>
    </row>
    <row r="109" spans="1:27" s="19" customFormat="1" ht="30" customHeight="1" x14ac:dyDescent="0.2">
      <c r="A109" s="432"/>
      <c r="B109" s="432"/>
      <c r="C109" s="611"/>
      <c r="D109" s="691"/>
      <c r="E109" s="12" t="s">
        <v>15222</v>
      </c>
      <c r="F109" s="13" t="s">
        <v>15572</v>
      </c>
      <c r="G109" s="285" t="s">
        <v>15675</v>
      </c>
      <c r="H109" s="611"/>
      <c r="I109" s="121"/>
      <c r="J109" s="597"/>
      <c r="K109" s="121"/>
      <c r="L109" s="613"/>
      <c r="M109" s="611"/>
      <c r="N109" s="685"/>
      <c r="O109" s="653"/>
      <c r="P109" s="685"/>
      <c r="Q109" s="616"/>
      <c r="R109" s="616"/>
      <c r="S109" s="692"/>
      <c r="T109" s="611"/>
      <c r="U109" s="613"/>
      <c r="V109" s="611"/>
      <c r="W109" s="18"/>
      <c r="X109" s="18"/>
      <c r="Y109" s="18"/>
      <c r="Z109" s="18"/>
      <c r="AA109" s="18"/>
    </row>
    <row r="110" spans="1:27" s="19" customFormat="1" ht="30" customHeight="1" x14ac:dyDescent="0.2">
      <c r="A110" s="432"/>
      <c r="B110" s="432"/>
      <c r="C110" s="611"/>
      <c r="D110" s="691"/>
      <c r="E110" s="12" t="s">
        <v>13728</v>
      </c>
      <c r="F110" s="13" t="s">
        <v>15572</v>
      </c>
      <c r="G110" s="285" t="s">
        <v>15676</v>
      </c>
      <c r="H110" s="611"/>
      <c r="I110" s="121"/>
      <c r="J110" s="597"/>
      <c r="K110" s="121"/>
      <c r="L110" s="613"/>
      <c r="M110" s="611"/>
      <c r="N110" s="685"/>
      <c r="O110" s="653"/>
      <c r="P110" s="685"/>
      <c r="Q110" s="616"/>
      <c r="R110" s="616"/>
      <c r="S110" s="692"/>
      <c r="T110" s="611"/>
      <c r="U110" s="613"/>
      <c r="V110" s="611"/>
      <c r="W110" s="18"/>
      <c r="X110" s="18"/>
      <c r="Y110" s="18"/>
      <c r="Z110" s="18"/>
      <c r="AA110" s="18"/>
    </row>
    <row r="111" spans="1:27" s="19" customFormat="1" ht="30" customHeight="1" x14ac:dyDescent="0.2">
      <c r="A111" s="432"/>
      <c r="B111" s="432"/>
      <c r="C111" s="611"/>
      <c r="D111" s="691"/>
      <c r="E111" s="12" t="s">
        <v>14787</v>
      </c>
      <c r="F111" s="13" t="s">
        <v>15610</v>
      </c>
      <c r="G111" s="285" t="s">
        <v>15677</v>
      </c>
      <c r="H111" s="611"/>
      <c r="I111" s="121"/>
      <c r="J111" s="597"/>
      <c r="K111" s="121"/>
      <c r="L111" s="613"/>
      <c r="M111" s="611"/>
      <c r="N111" s="685"/>
      <c r="O111" s="653"/>
      <c r="P111" s="685"/>
      <c r="Q111" s="616"/>
      <c r="R111" s="616"/>
      <c r="S111" s="692"/>
      <c r="T111" s="611"/>
      <c r="U111" s="613"/>
      <c r="V111" s="611"/>
      <c r="W111" s="18"/>
      <c r="X111" s="18"/>
      <c r="Y111" s="18"/>
      <c r="Z111" s="18"/>
      <c r="AA111" s="18"/>
    </row>
    <row r="112" spans="1:27" s="19" customFormat="1" ht="30" customHeight="1" x14ac:dyDescent="0.2">
      <c r="A112" s="432"/>
      <c r="B112" s="432"/>
      <c r="C112" s="611"/>
      <c r="D112" s="691"/>
      <c r="E112" s="12" t="s">
        <v>13701</v>
      </c>
      <c r="F112" s="13" t="s">
        <v>15604</v>
      </c>
      <c r="G112" s="285" t="s">
        <v>15678</v>
      </c>
      <c r="H112" s="611"/>
      <c r="I112" s="121"/>
      <c r="J112" s="597"/>
      <c r="K112" s="121"/>
      <c r="L112" s="613"/>
      <c r="M112" s="611"/>
      <c r="N112" s="685"/>
      <c r="O112" s="653"/>
      <c r="P112" s="685"/>
      <c r="Q112" s="616"/>
      <c r="R112" s="616"/>
      <c r="S112" s="692"/>
      <c r="T112" s="611"/>
      <c r="U112" s="613"/>
      <c r="V112" s="611"/>
      <c r="W112" s="18"/>
      <c r="X112" s="18"/>
      <c r="Y112" s="18"/>
      <c r="Z112" s="18"/>
      <c r="AA112" s="18"/>
    </row>
    <row r="113" spans="1:27" s="19" customFormat="1" ht="30" customHeight="1" x14ac:dyDescent="0.2">
      <c r="A113" s="432"/>
      <c r="B113" s="432"/>
      <c r="C113" s="611"/>
      <c r="D113" s="691"/>
      <c r="E113" s="12" t="s">
        <v>13701</v>
      </c>
      <c r="F113" s="13" t="s">
        <v>15604</v>
      </c>
      <c r="G113" s="285" t="s">
        <v>15679</v>
      </c>
      <c r="H113" s="611"/>
      <c r="I113" s="121"/>
      <c r="J113" s="597"/>
      <c r="K113" s="121"/>
      <c r="L113" s="613"/>
      <c r="M113" s="611"/>
      <c r="N113" s="685"/>
      <c r="O113" s="653"/>
      <c r="P113" s="685"/>
      <c r="Q113" s="616"/>
      <c r="R113" s="616"/>
      <c r="S113" s="692"/>
      <c r="T113" s="611"/>
      <c r="U113" s="613"/>
      <c r="V113" s="611"/>
      <c r="W113" s="18"/>
      <c r="X113" s="18"/>
      <c r="Y113" s="18"/>
      <c r="Z113" s="18"/>
      <c r="AA113" s="18"/>
    </row>
    <row r="114" spans="1:27" s="19" customFormat="1" ht="30" customHeight="1" x14ac:dyDescent="0.2">
      <c r="A114" s="432"/>
      <c r="B114" s="432"/>
      <c r="C114" s="611"/>
      <c r="D114" s="691"/>
      <c r="E114" s="12" t="s">
        <v>13701</v>
      </c>
      <c r="F114" s="13" t="s">
        <v>15604</v>
      </c>
      <c r="G114" s="285" t="s">
        <v>15680</v>
      </c>
      <c r="H114" s="611"/>
      <c r="I114" s="121"/>
      <c r="J114" s="597"/>
      <c r="K114" s="121"/>
      <c r="L114" s="613"/>
      <c r="M114" s="611"/>
      <c r="N114" s="685"/>
      <c r="O114" s="653"/>
      <c r="P114" s="685"/>
      <c r="Q114" s="616"/>
      <c r="R114" s="616"/>
      <c r="S114" s="692"/>
      <c r="T114" s="611"/>
      <c r="U114" s="613"/>
      <c r="V114" s="611"/>
      <c r="W114" s="18"/>
      <c r="X114" s="18"/>
      <c r="Y114" s="18"/>
      <c r="Z114" s="18"/>
      <c r="AA114" s="18"/>
    </row>
    <row r="115" spans="1:27" s="19" customFormat="1" ht="30" customHeight="1" x14ac:dyDescent="0.2">
      <c r="A115" s="432"/>
      <c r="B115" s="432"/>
      <c r="C115" s="611"/>
      <c r="D115" s="691"/>
      <c r="E115" s="12" t="s">
        <v>13701</v>
      </c>
      <c r="F115" s="13" t="s">
        <v>15604</v>
      </c>
      <c r="G115" s="285" t="s">
        <v>15681</v>
      </c>
      <c r="H115" s="611"/>
      <c r="I115" s="121"/>
      <c r="J115" s="597"/>
      <c r="K115" s="121"/>
      <c r="L115" s="613"/>
      <c r="M115" s="611"/>
      <c r="N115" s="685"/>
      <c r="O115" s="653"/>
      <c r="P115" s="685"/>
      <c r="Q115" s="616"/>
      <c r="R115" s="616"/>
      <c r="S115" s="692"/>
      <c r="T115" s="611"/>
      <c r="U115" s="613"/>
      <c r="V115" s="611"/>
      <c r="W115" s="18"/>
      <c r="X115" s="18"/>
      <c r="Y115" s="18"/>
      <c r="Z115" s="18"/>
      <c r="AA115" s="18"/>
    </row>
    <row r="116" spans="1:27" s="19" customFormat="1" ht="30" customHeight="1" x14ac:dyDescent="0.2">
      <c r="A116" s="432"/>
      <c r="B116" s="432"/>
      <c r="C116" s="611"/>
      <c r="D116" s="691"/>
      <c r="E116" s="12" t="s">
        <v>2223</v>
      </c>
      <c r="F116" s="13" t="s">
        <v>15572</v>
      </c>
      <c r="G116" s="285" t="s">
        <v>15682</v>
      </c>
      <c r="H116" s="611"/>
      <c r="I116" s="121"/>
      <c r="J116" s="597"/>
      <c r="K116" s="121"/>
      <c r="L116" s="613"/>
      <c r="M116" s="611"/>
      <c r="N116" s="685"/>
      <c r="O116" s="653"/>
      <c r="P116" s="685"/>
      <c r="Q116" s="616"/>
      <c r="R116" s="616"/>
      <c r="S116" s="692"/>
      <c r="T116" s="611"/>
      <c r="U116" s="613"/>
      <c r="V116" s="611"/>
      <c r="W116" s="18"/>
      <c r="X116" s="18"/>
      <c r="Y116" s="18"/>
      <c r="Z116" s="18"/>
      <c r="AA116" s="18"/>
    </row>
    <row r="117" spans="1:27" s="19" customFormat="1" ht="30" customHeight="1" x14ac:dyDescent="0.2">
      <c r="A117" s="432"/>
      <c r="B117" s="432"/>
      <c r="C117" s="611"/>
      <c r="D117" s="691"/>
      <c r="E117" s="12" t="s">
        <v>13701</v>
      </c>
      <c r="F117" s="13" t="s">
        <v>15604</v>
      </c>
      <c r="G117" s="285" t="s">
        <v>15683</v>
      </c>
      <c r="H117" s="611"/>
      <c r="I117" s="121"/>
      <c r="J117" s="597"/>
      <c r="K117" s="121"/>
      <c r="L117" s="613"/>
      <c r="M117" s="611"/>
      <c r="N117" s="685"/>
      <c r="O117" s="653"/>
      <c r="P117" s="685"/>
      <c r="Q117" s="616"/>
      <c r="R117" s="616"/>
      <c r="S117" s="692"/>
      <c r="T117" s="611"/>
      <c r="U117" s="613"/>
      <c r="V117" s="611"/>
      <c r="W117" s="18"/>
      <c r="X117" s="18"/>
      <c r="Y117" s="18"/>
      <c r="Z117" s="18"/>
      <c r="AA117" s="18"/>
    </row>
    <row r="118" spans="1:27" s="19" customFormat="1" ht="278.25" customHeight="1" x14ac:dyDescent="0.2">
      <c r="A118" s="432"/>
      <c r="B118" s="432"/>
      <c r="C118" s="611"/>
      <c r="D118" s="691"/>
      <c r="E118" s="22" t="s">
        <v>15684</v>
      </c>
      <c r="F118" s="255" t="s">
        <v>15685</v>
      </c>
      <c r="G118" s="285" t="s">
        <v>15686</v>
      </c>
      <c r="H118" s="611"/>
      <c r="I118" s="121"/>
      <c r="J118" s="597"/>
      <c r="K118" s="121"/>
      <c r="L118" s="613"/>
      <c r="M118" s="611"/>
      <c r="N118" s="685"/>
      <c r="O118" s="653"/>
      <c r="P118" s="685"/>
      <c r="Q118" s="616"/>
      <c r="R118" s="616"/>
      <c r="S118" s="692"/>
      <c r="T118" s="611"/>
      <c r="U118" s="613"/>
      <c r="V118" s="611"/>
      <c r="W118" s="18"/>
      <c r="X118" s="18"/>
      <c r="Y118" s="18"/>
      <c r="Z118" s="18"/>
      <c r="AA118" s="18"/>
    </row>
    <row r="119" spans="1:27" s="19" customFormat="1" ht="37.5" customHeight="1" x14ac:dyDescent="0.2">
      <c r="A119" s="326">
        <v>28</v>
      </c>
      <c r="B119" s="326" t="s">
        <v>15687</v>
      </c>
      <c r="C119" s="327" t="s">
        <v>15688</v>
      </c>
      <c r="D119" s="681" t="s">
        <v>15565</v>
      </c>
      <c r="E119" s="22"/>
      <c r="F119" s="255" t="s">
        <v>15689</v>
      </c>
      <c r="G119" s="426" t="s">
        <v>15690</v>
      </c>
      <c r="H119" s="327" t="s">
        <v>4296</v>
      </c>
      <c r="I119" s="327" t="s">
        <v>1586</v>
      </c>
      <c r="J119" s="590"/>
      <c r="K119" s="327" t="s">
        <v>3136</v>
      </c>
      <c r="L119" s="329" t="s">
        <v>15691</v>
      </c>
      <c r="M119" s="327" t="s">
        <v>15692</v>
      </c>
      <c r="N119" s="350">
        <v>2570</v>
      </c>
      <c r="O119" s="329" t="s">
        <v>15693</v>
      </c>
      <c r="P119" s="413">
        <f>132077.54+138665.66</f>
        <v>270743.2</v>
      </c>
      <c r="Q119" s="413">
        <v>195343.05</v>
      </c>
      <c r="R119" s="413">
        <f>P119-Q119</f>
        <v>75400.150000000023</v>
      </c>
      <c r="S119" s="693">
        <v>22191262</v>
      </c>
      <c r="T119" s="285"/>
      <c r="U119" s="14"/>
      <c r="V119" s="285"/>
      <c r="W119" s="18"/>
      <c r="X119" s="18"/>
      <c r="Y119" s="18"/>
      <c r="Z119" s="18"/>
      <c r="AA119" s="18"/>
    </row>
    <row r="120" spans="1:27" s="19" customFormat="1" ht="54.75" customHeight="1" x14ac:dyDescent="0.2">
      <c r="A120" s="432"/>
      <c r="B120" s="432"/>
      <c r="C120" s="611"/>
      <c r="D120" s="597"/>
      <c r="E120" s="22" t="s">
        <v>3746</v>
      </c>
      <c r="F120" s="255" t="s">
        <v>15694</v>
      </c>
      <c r="G120" s="285" t="s">
        <v>15695</v>
      </c>
      <c r="H120" s="611"/>
      <c r="I120" s="611"/>
      <c r="J120" s="597"/>
      <c r="K120" s="611"/>
      <c r="L120" s="613"/>
      <c r="M120" s="611"/>
      <c r="N120" s="685"/>
      <c r="O120" s="613"/>
      <c r="P120" s="616"/>
      <c r="Q120" s="616"/>
      <c r="R120" s="616"/>
      <c r="S120" s="692"/>
      <c r="T120" s="285" t="s">
        <v>15696</v>
      </c>
      <c r="U120" s="14">
        <v>40714</v>
      </c>
      <c r="V120" s="285">
        <v>686</v>
      </c>
      <c r="W120" s="18"/>
      <c r="X120" s="18"/>
      <c r="Y120" s="18"/>
      <c r="Z120" s="18"/>
      <c r="AA120" s="18"/>
    </row>
    <row r="121" spans="1:27" s="19" customFormat="1" ht="54.75" customHeight="1" x14ac:dyDescent="0.2">
      <c r="A121" s="432"/>
      <c r="B121" s="432"/>
      <c r="C121" s="611"/>
      <c r="D121" s="597"/>
      <c r="E121" s="363">
        <v>1997</v>
      </c>
      <c r="F121" s="694" t="s">
        <v>15697</v>
      </c>
      <c r="G121" s="695" t="s">
        <v>15698</v>
      </c>
      <c r="H121" s="611"/>
      <c r="I121" s="611"/>
      <c r="J121" s="597"/>
      <c r="K121" s="611"/>
      <c r="L121" s="613"/>
      <c r="M121" s="611"/>
      <c r="N121" s="685"/>
      <c r="O121" s="613"/>
      <c r="P121" s="616"/>
      <c r="Q121" s="616"/>
      <c r="R121" s="616"/>
      <c r="S121" s="692"/>
      <c r="T121" s="285" t="s">
        <v>15699</v>
      </c>
      <c r="U121" s="14">
        <v>42627</v>
      </c>
      <c r="V121" s="12" t="s">
        <v>1029</v>
      </c>
      <c r="W121" s="18"/>
      <c r="X121" s="18"/>
      <c r="Y121" s="18"/>
      <c r="Z121" s="18"/>
      <c r="AA121" s="18"/>
    </row>
    <row r="122" spans="1:27" s="19" customFormat="1" ht="54.75" customHeight="1" x14ac:dyDescent="0.2">
      <c r="A122" s="432"/>
      <c r="B122" s="432"/>
      <c r="C122" s="611"/>
      <c r="D122" s="597"/>
      <c r="E122" s="363">
        <v>1997</v>
      </c>
      <c r="F122" s="694" t="s">
        <v>15700</v>
      </c>
      <c r="G122" s="695" t="s">
        <v>15701</v>
      </c>
      <c r="H122" s="611"/>
      <c r="I122" s="611"/>
      <c r="J122" s="597"/>
      <c r="K122" s="611"/>
      <c r="L122" s="613"/>
      <c r="M122" s="611"/>
      <c r="N122" s="685"/>
      <c r="O122" s="613"/>
      <c r="P122" s="616"/>
      <c r="Q122" s="616"/>
      <c r="R122" s="616"/>
      <c r="S122" s="692"/>
      <c r="T122" s="285" t="s">
        <v>15699</v>
      </c>
      <c r="U122" s="14">
        <v>42627</v>
      </c>
      <c r="V122" s="12" t="s">
        <v>1029</v>
      </c>
      <c r="W122" s="18"/>
      <c r="X122" s="18"/>
      <c r="Y122" s="18"/>
      <c r="Z122" s="18"/>
      <c r="AA122" s="18"/>
    </row>
    <row r="123" spans="1:27" s="19" customFormat="1" ht="54.75" customHeight="1" x14ac:dyDescent="0.2">
      <c r="A123" s="432"/>
      <c r="B123" s="432"/>
      <c r="C123" s="611"/>
      <c r="D123" s="597"/>
      <c r="E123" s="363">
        <v>1997</v>
      </c>
      <c r="F123" s="694" t="s">
        <v>15702</v>
      </c>
      <c r="G123" s="695" t="s">
        <v>15703</v>
      </c>
      <c r="H123" s="611"/>
      <c r="I123" s="611"/>
      <c r="J123" s="597"/>
      <c r="K123" s="611"/>
      <c r="L123" s="613"/>
      <c r="M123" s="611"/>
      <c r="N123" s="685"/>
      <c r="O123" s="613"/>
      <c r="P123" s="616"/>
      <c r="Q123" s="616"/>
      <c r="R123" s="616"/>
      <c r="S123" s="692"/>
      <c r="T123" s="285" t="s">
        <v>15699</v>
      </c>
      <c r="U123" s="14">
        <v>42627</v>
      </c>
      <c r="V123" s="12" t="s">
        <v>1029</v>
      </c>
      <c r="W123" s="18"/>
      <c r="X123" s="18"/>
      <c r="Y123" s="18"/>
      <c r="Z123" s="18"/>
      <c r="AA123" s="18"/>
    </row>
    <row r="124" spans="1:27" s="19" customFormat="1" ht="54.75" customHeight="1" x14ac:dyDescent="0.2">
      <c r="A124" s="432"/>
      <c r="B124" s="432"/>
      <c r="C124" s="611"/>
      <c r="D124" s="597"/>
      <c r="E124" s="363">
        <v>1997</v>
      </c>
      <c r="F124" s="694" t="s">
        <v>15702</v>
      </c>
      <c r="G124" s="695" t="s">
        <v>15704</v>
      </c>
      <c r="H124" s="611"/>
      <c r="I124" s="611"/>
      <c r="J124" s="597"/>
      <c r="K124" s="611"/>
      <c r="L124" s="613"/>
      <c r="M124" s="611"/>
      <c r="N124" s="685"/>
      <c r="O124" s="613"/>
      <c r="P124" s="616"/>
      <c r="Q124" s="616"/>
      <c r="R124" s="616"/>
      <c r="S124" s="692"/>
      <c r="T124" s="285" t="s">
        <v>15699</v>
      </c>
      <c r="U124" s="14">
        <v>42627</v>
      </c>
      <c r="V124" s="12" t="s">
        <v>1029</v>
      </c>
      <c r="W124" s="18"/>
      <c r="X124" s="18"/>
      <c r="Y124" s="18"/>
      <c r="Z124" s="18"/>
      <c r="AA124" s="18"/>
    </row>
    <row r="125" spans="1:27" s="19" customFormat="1" ht="61.5" customHeight="1" x14ac:dyDescent="0.2">
      <c r="A125" s="432"/>
      <c r="B125" s="432"/>
      <c r="C125" s="611"/>
      <c r="D125" s="597"/>
      <c r="E125" s="363">
        <v>1997</v>
      </c>
      <c r="F125" s="694" t="s">
        <v>15700</v>
      </c>
      <c r="G125" s="695" t="s">
        <v>15705</v>
      </c>
      <c r="H125" s="611"/>
      <c r="I125" s="611"/>
      <c r="J125" s="597"/>
      <c r="K125" s="611"/>
      <c r="L125" s="613"/>
      <c r="M125" s="611"/>
      <c r="N125" s="685"/>
      <c r="O125" s="613"/>
      <c r="P125" s="616"/>
      <c r="Q125" s="616"/>
      <c r="R125" s="616"/>
      <c r="S125" s="692"/>
      <c r="T125" s="285" t="s">
        <v>15699</v>
      </c>
      <c r="U125" s="14">
        <v>42627</v>
      </c>
      <c r="V125" s="12" t="s">
        <v>1029</v>
      </c>
      <c r="W125" s="18"/>
      <c r="X125" s="18"/>
      <c r="Y125" s="18"/>
      <c r="Z125" s="18"/>
      <c r="AA125" s="18"/>
    </row>
    <row r="126" spans="1:27" s="19" customFormat="1" ht="49.5" customHeight="1" x14ac:dyDescent="0.2">
      <c r="A126" s="432"/>
      <c r="B126" s="432"/>
      <c r="C126" s="611"/>
      <c r="D126" s="597"/>
      <c r="E126" s="363">
        <v>1997</v>
      </c>
      <c r="F126" s="694" t="s">
        <v>15700</v>
      </c>
      <c r="G126" s="695" t="s">
        <v>15706</v>
      </c>
      <c r="H126" s="611"/>
      <c r="I126" s="611"/>
      <c r="J126" s="597"/>
      <c r="K126" s="611"/>
      <c r="L126" s="613"/>
      <c r="M126" s="611"/>
      <c r="N126" s="685"/>
      <c r="O126" s="613"/>
      <c r="P126" s="616"/>
      <c r="Q126" s="616"/>
      <c r="R126" s="616"/>
      <c r="S126" s="692"/>
      <c r="T126" s="285" t="s">
        <v>15699</v>
      </c>
      <c r="U126" s="14">
        <v>42627</v>
      </c>
      <c r="V126" s="12" t="s">
        <v>1029</v>
      </c>
      <c r="W126" s="18"/>
      <c r="X126" s="18"/>
      <c r="Y126" s="18"/>
      <c r="Z126" s="18"/>
      <c r="AA126" s="18"/>
    </row>
    <row r="127" spans="1:27" s="19" customFormat="1" ht="54.75" customHeight="1" x14ac:dyDescent="0.2">
      <c r="A127" s="432"/>
      <c r="B127" s="432"/>
      <c r="C127" s="611"/>
      <c r="D127" s="597"/>
      <c r="E127" s="363">
        <v>1997</v>
      </c>
      <c r="F127" s="694" t="s">
        <v>15702</v>
      </c>
      <c r="G127" s="695" t="s">
        <v>15707</v>
      </c>
      <c r="H127" s="611"/>
      <c r="I127" s="611"/>
      <c r="J127" s="597"/>
      <c r="K127" s="611"/>
      <c r="L127" s="613"/>
      <c r="M127" s="611"/>
      <c r="N127" s="685"/>
      <c r="O127" s="613"/>
      <c r="P127" s="616"/>
      <c r="Q127" s="616"/>
      <c r="R127" s="616"/>
      <c r="S127" s="692"/>
      <c r="T127" s="285" t="s">
        <v>15699</v>
      </c>
      <c r="U127" s="14">
        <v>42627</v>
      </c>
      <c r="V127" s="12" t="s">
        <v>1029</v>
      </c>
      <c r="W127" s="18"/>
      <c r="X127" s="18"/>
      <c r="Y127" s="18"/>
      <c r="Z127" s="18"/>
      <c r="AA127" s="18"/>
    </row>
    <row r="128" spans="1:27" s="19" customFormat="1" ht="50.25" customHeight="1" x14ac:dyDescent="0.2">
      <c r="A128" s="432"/>
      <c r="B128" s="432"/>
      <c r="C128" s="611"/>
      <c r="D128" s="597"/>
      <c r="E128" s="363">
        <v>1997</v>
      </c>
      <c r="F128" s="694" t="s">
        <v>15702</v>
      </c>
      <c r="G128" s="695" t="s">
        <v>15708</v>
      </c>
      <c r="H128" s="611"/>
      <c r="I128" s="611"/>
      <c r="J128" s="597"/>
      <c r="K128" s="611"/>
      <c r="L128" s="613"/>
      <c r="M128" s="611"/>
      <c r="N128" s="685"/>
      <c r="O128" s="613"/>
      <c r="P128" s="616"/>
      <c r="Q128" s="616"/>
      <c r="R128" s="616"/>
      <c r="S128" s="692"/>
      <c r="T128" s="285" t="s">
        <v>15699</v>
      </c>
      <c r="U128" s="14">
        <v>42627</v>
      </c>
      <c r="V128" s="12" t="s">
        <v>1029</v>
      </c>
      <c r="W128" s="18"/>
      <c r="X128" s="18"/>
      <c r="Y128" s="18"/>
      <c r="Z128" s="18"/>
      <c r="AA128" s="18"/>
    </row>
    <row r="129" spans="1:27" s="19" customFormat="1" ht="50.25" customHeight="1" x14ac:dyDescent="0.2">
      <c r="A129" s="432"/>
      <c r="B129" s="432"/>
      <c r="C129" s="611"/>
      <c r="D129" s="597"/>
      <c r="E129" s="363">
        <v>1997</v>
      </c>
      <c r="F129" s="694" t="s">
        <v>15702</v>
      </c>
      <c r="G129" s="695" t="s">
        <v>15709</v>
      </c>
      <c r="H129" s="611"/>
      <c r="I129" s="611"/>
      <c r="J129" s="597"/>
      <c r="K129" s="611"/>
      <c r="L129" s="613"/>
      <c r="M129" s="611"/>
      <c r="N129" s="685"/>
      <c r="O129" s="613"/>
      <c r="P129" s="616"/>
      <c r="Q129" s="616"/>
      <c r="R129" s="616"/>
      <c r="S129" s="692"/>
      <c r="T129" s="285" t="s">
        <v>15699</v>
      </c>
      <c r="U129" s="14">
        <v>42627</v>
      </c>
      <c r="V129" s="12" t="s">
        <v>1029</v>
      </c>
      <c r="W129" s="18"/>
      <c r="X129" s="18"/>
      <c r="Y129" s="18"/>
      <c r="Z129" s="18"/>
      <c r="AA129" s="18"/>
    </row>
    <row r="130" spans="1:27" s="19" customFormat="1" ht="48.75" customHeight="1" x14ac:dyDescent="0.2">
      <c r="A130" s="432"/>
      <c r="B130" s="432"/>
      <c r="C130" s="611"/>
      <c r="D130" s="597"/>
      <c r="E130" s="363">
        <v>1997</v>
      </c>
      <c r="F130" s="694" t="s">
        <v>15702</v>
      </c>
      <c r="G130" s="695" t="s">
        <v>15710</v>
      </c>
      <c r="H130" s="611"/>
      <c r="I130" s="611"/>
      <c r="J130" s="597"/>
      <c r="K130" s="611"/>
      <c r="L130" s="613"/>
      <c r="M130" s="611"/>
      <c r="N130" s="685"/>
      <c r="O130" s="613"/>
      <c r="P130" s="616"/>
      <c r="Q130" s="616"/>
      <c r="R130" s="616"/>
      <c r="S130" s="692"/>
      <c r="T130" s="285" t="s">
        <v>15699</v>
      </c>
      <c r="U130" s="14">
        <v>42627</v>
      </c>
      <c r="V130" s="12" t="s">
        <v>1029</v>
      </c>
      <c r="W130" s="18"/>
      <c r="X130" s="18"/>
      <c r="Y130" s="18"/>
      <c r="Z130" s="18"/>
      <c r="AA130" s="18"/>
    </row>
    <row r="131" spans="1:27" s="19" customFormat="1" ht="61.5" customHeight="1" x14ac:dyDescent="0.2">
      <c r="A131" s="432"/>
      <c r="B131" s="432"/>
      <c r="C131" s="611"/>
      <c r="D131" s="597"/>
      <c r="E131" s="363">
        <v>1998</v>
      </c>
      <c r="F131" s="694" t="s">
        <v>15697</v>
      </c>
      <c r="G131" s="361" t="s">
        <v>15711</v>
      </c>
      <c r="H131" s="611"/>
      <c r="I131" s="611"/>
      <c r="J131" s="597"/>
      <c r="K131" s="611"/>
      <c r="L131" s="613"/>
      <c r="M131" s="611"/>
      <c r="N131" s="685"/>
      <c r="O131" s="613"/>
      <c r="P131" s="616"/>
      <c r="Q131" s="616"/>
      <c r="R131" s="616"/>
      <c r="S131" s="692"/>
      <c r="T131" s="285" t="s">
        <v>15699</v>
      </c>
      <c r="U131" s="14">
        <v>42627</v>
      </c>
      <c r="V131" s="12" t="s">
        <v>1029</v>
      </c>
      <c r="W131" s="18"/>
      <c r="X131" s="18"/>
      <c r="Y131" s="18"/>
      <c r="Z131" s="18"/>
      <c r="AA131" s="18"/>
    </row>
    <row r="132" spans="1:27" s="19" customFormat="1" ht="64.5" customHeight="1" x14ac:dyDescent="0.2">
      <c r="A132" s="432"/>
      <c r="B132" s="432"/>
      <c r="C132" s="611"/>
      <c r="D132" s="597"/>
      <c r="E132" s="363">
        <v>2000</v>
      </c>
      <c r="F132" s="694" t="s">
        <v>15712</v>
      </c>
      <c r="G132" s="361" t="s">
        <v>15713</v>
      </c>
      <c r="H132" s="611"/>
      <c r="I132" s="611"/>
      <c r="J132" s="597"/>
      <c r="K132" s="611"/>
      <c r="L132" s="613"/>
      <c r="M132" s="611"/>
      <c r="N132" s="685"/>
      <c r="O132" s="613"/>
      <c r="P132" s="616"/>
      <c r="Q132" s="616"/>
      <c r="R132" s="616"/>
      <c r="S132" s="692"/>
      <c r="T132" s="285" t="s">
        <v>15699</v>
      </c>
      <c r="U132" s="14">
        <v>42627</v>
      </c>
      <c r="V132" s="12" t="s">
        <v>1029</v>
      </c>
      <c r="W132" s="18"/>
      <c r="X132" s="18"/>
      <c r="Y132" s="18"/>
      <c r="Z132" s="18"/>
      <c r="AA132" s="18"/>
    </row>
    <row r="133" spans="1:27" s="19" customFormat="1" ht="63.75" customHeight="1" x14ac:dyDescent="0.2">
      <c r="A133" s="432"/>
      <c r="B133" s="432"/>
      <c r="C133" s="611"/>
      <c r="D133" s="597"/>
      <c r="E133" s="363">
        <v>1999</v>
      </c>
      <c r="F133" s="694" t="s">
        <v>15697</v>
      </c>
      <c r="G133" s="361" t="s">
        <v>15714</v>
      </c>
      <c r="H133" s="611"/>
      <c r="I133" s="611"/>
      <c r="J133" s="597"/>
      <c r="K133" s="611"/>
      <c r="L133" s="613"/>
      <c r="M133" s="611"/>
      <c r="N133" s="685"/>
      <c r="O133" s="613"/>
      <c r="P133" s="616"/>
      <c r="Q133" s="616"/>
      <c r="R133" s="616"/>
      <c r="S133" s="692"/>
      <c r="T133" s="285" t="s">
        <v>15699</v>
      </c>
      <c r="U133" s="14">
        <v>42627</v>
      </c>
      <c r="V133" s="12" t="s">
        <v>1029</v>
      </c>
      <c r="W133" s="18"/>
      <c r="X133" s="18"/>
      <c r="Y133" s="18"/>
      <c r="Z133" s="18"/>
      <c r="AA133" s="18"/>
    </row>
    <row r="134" spans="1:27" s="19" customFormat="1" ht="63.75" customHeight="1" x14ac:dyDescent="0.2">
      <c r="A134" s="432"/>
      <c r="B134" s="432"/>
      <c r="C134" s="611"/>
      <c r="D134" s="597"/>
      <c r="E134" s="363">
        <v>2000</v>
      </c>
      <c r="F134" s="694" t="s">
        <v>15697</v>
      </c>
      <c r="G134" s="361" t="s">
        <v>15715</v>
      </c>
      <c r="H134" s="611"/>
      <c r="I134" s="611"/>
      <c r="J134" s="597"/>
      <c r="K134" s="611"/>
      <c r="L134" s="613"/>
      <c r="M134" s="611"/>
      <c r="N134" s="685"/>
      <c r="O134" s="613"/>
      <c r="P134" s="616"/>
      <c r="Q134" s="616"/>
      <c r="R134" s="616"/>
      <c r="S134" s="692"/>
      <c r="T134" s="285" t="s">
        <v>15699</v>
      </c>
      <c r="U134" s="14">
        <v>42627</v>
      </c>
      <c r="V134" s="12" t="s">
        <v>1029</v>
      </c>
      <c r="W134" s="18"/>
      <c r="X134" s="18"/>
      <c r="Y134" s="18"/>
      <c r="Z134" s="18"/>
      <c r="AA134" s="18"/>
    </row>
    <row r="135" spans="1:27" s="19" customFormat="1" ht="63.75" customHeight="1" x14ac:dyDescent="0.2">
      <c r="A135" s="331"/>
      <c r="B135" s="331"/>
      <c r="C135" s="332"/>
      <c r="D135" s="604"/>
      <c r="E135" s="363">
        <v>2000</v>
      </c>
      <c r="F135" s="694" t="s">
        <v>15697</v>
      </c>
      <c r="G135" s="361" t="s">
        <v>15716</v>
      </c>
      <c r="H135" s="332"/>
      <c r="I135" s="332"/>
      <c r="J135" s="604"/>
      <c r="K135" s="332"/>
      <c r="L135" s="334"/>
      <c r="M135" s="332"/>
      <c r="N135" s="355"/>
      <c r="O135" s="334"/>
      <c r="P135" s="414"/>
      <c r="Q135" s="414"/>
      <c r="R135" s="414"/>
      <c r="S135" s="696"/>
      <c r="T135" s="285" t="s">
        <v>15699</v>
      </c>
      <c r="U135" s="14">
        <v>42627</v>
      </c>
      <c r="V135" s="12" t="s">
        <v>1029</v>
      </c>
      <c r="W135" s="18"/>
      <c r="X135" s="18"/>
      <c r="Y135" s="18"/>
      <c r="Z135" s="18"/>
      <c r="AA135" s="18"/>
    </row>
    <row r="136" spans="1:27" ht="58.5" customHeight="1" x14ac:dyDescent="0.2">
      <c r="A136" s="326">
        <v>29</v>
      </c>
      <c r="B136" s="327" t="s">
        <v>15717</v>
      </c>
      <c r="C136" s="327" t="s">
        <v>15718</v>
      </c>
      <c r="D136" s="681" t="s">
        <v>15565</v>
      </c>
      <c r="E136" s="361"/>
      <c r="F136" s="255"/>
      <c r="G136" s="697" t="s">
        <v>15719</v>
      </c>
      <c r="H136" s="327" t="s">
        <v>4296</v>
      </c>
      <c r="I136" s="327" t="s">
        <v>1586</v>
      </c>
      <c r="J136" s="698"/>
      <c r="K136" s="327" t="s">
        <v>3136</v>
      </c>
      <c r="L136" s="329" t="s">
        <v>15720</v>
      </c>
      <c r="M136" s="327" t="s">
        <v>15721</v>
      </c>
      <c r="N136" s="683">
        <v>8484</v>
      </c>
      <c r="O136" s="330">
        <v>40603</v>
      </c>
      <c r="P136" s="413">
        <f>474316.07+22712.1</f>
        <v>497028.17</v>
      </c>
      <c r="Q136" s="699">
        <v>497028.17</v>
      </c>
      <c r="R136" s="413">
        <f>P136-Q136</f>
        <v>0</v>
      </c>
      <c r="S136" s="693">
        <v>33350257</v>
      </c>
      <c r="T136" s="327" t="s">
        <v>15479</v>
      </c>
      <c r="U136" s="329">
        <v>43223</v>
      </c>
      <c r="V136" s="700" t="s">
        <v>15722</v>
      </c>
      <c r="W136" s="701"/>
      <c r="X136" s="701"/>
      <c r="Y136" s="701"/>
      <c r="Z136" s="701"/>
      <c r="AA136" s="701"/>
    </row>
    <row r="137" spans="1:27" s="19" customFormat="1" ht="30" customHeight="1" x14ac:dyDescent="0.2">
      <c r="A137" s="432"/>
      <c r="B137" s="611"/>
      <c r="C137" s="611"/>
      <c r="D137" s="597"/>
      <c r="E137" s="12" t="s">
        <v>15723</v>
      </c>
      <c r="F137" s="702" t="s">
        <v>15604</v>
      </c>
      <c r="G137" s="285" t="s">
        <v>15724</v>
      </c>
      <c r="H137" s="611"/>
      <c r="I137" s="611"/>
      <c r="J137" s="703"/>
      <c r="K137" s="611"/>
      <c r="L137" s="613"/>
      <c r="M137" s="611"/>
      <c r="N137" s="684"/>
      <c r="O137" s="653"/>
      <c r="P137" s="616"/>
      <c r="Q137" s="616"/>
      <c r="R137" s="616"/>
      <c r="S137" s="704"/>
      <c r="T137" s="611"/>
      <c r="U137" s="613"/>
      <c r="V137" s="705"/>
      <c r="W137" s="18"/>
      <c r="X137" s="18"/>
      <c r="Y137" s="18"/>
      <c r="Z137" s="18"/>
      <c r="AA137" s="18"/>
    </row>
    <row r="138" spans="1:27" s="19" customFormat="1" ht="30" customHeight="1" x14ac:dyDescent="0.2">
      <c r="A138" s="432"/>
      <c r="B138" s="611"/>
      <c r="C138" s="611"/>
      <c r="D138" s="597"/>
      <c r="E138" s="12" t="s">
        <v>15725</v>
      </c>
      <c r="F138" s="706"/>
      <c r="G138" s="285" t="s">
        <v>15726</v>
      </c>
      <c r="H138" s="611"/>
      <c r="I138" s="611"/>
      <c r="J138" s="703"/>
      <c r="K138" s="611"/>
      <c r="L138" s="613"/>
      <c r="M138" s="611"/>
      <c r="N138" s="684"/>
      <c r="O138" s="653"/>
      <c r="P138" s="616"/>
      <c r="Q138" s="616"/>
      <c r="R138" s="616"/>
      <c r="S138" s="704"/>
      <c r="T138" s="611"/>
      <c r="U138" s="613"/>
      <c r="V138" s="705"/>
      <c r="W138" s="18"/>
      <c r="X138" s="18"/>
      <c r="Y138" s="18"/>
      <c r="Z138" s="18"/>
      <c r="AA138" s="18"/>
    </row>
    <row r="139" spans="1:27" s="19" customFormat="1" ht="30" customHeight="1" x14ac:dyDescent="0.2">
      <c r="A139" s="432"/>
      <c r="B139" s="611"/>
      <c r="C139" s="611"/>
      <c r="D139" s="597"/>
      <c r="E139" s="12" t="s">
        <v>15727</v>
      </c>
      <c r="F139" s="706"/>
      <c r="G139" s="285" t="s">
        <v>15728</v>
      </c>
      <c r="H139" s="611"/>
      <c r="I139" s="611"/>
      <c r="J139" s="703"/>
      <c r="K139" s="611"/>
      <c r="L139" s="613"/>
      <c r="M139" s="611"/>
      <c r="N139" s="684"/>
      <c r="O139" s="653"/>
      <c r="P139" s="616"/>
      <c r="Q139" s="616"/>
      <c r="R139" s="616"/>
      <c r="S139" s="704"/>
      <c r="T139" s="611"/>
      <c r="U139" s="613"/>
      <c r="V139" s="705"/>
      <c r="W139" s="18"/>
      <c r="X139" s="18"/>
      <c r="Y139" s="18"/>
      <c r="Z139" s="18"/>
      <c r="AA139" s="18"/>
    </row>
    <row r="140" spans="1:27" s="19" customFormat="1" ht="30" customHeight="1" x14ac:dyDescent="0.2">
      <c r="A140" s="432"/>
      <c r="B140" s="611"/>
      <c r="C140" s="611"/>
      <c r="D140" s="597"/>
      <c r="E140" s="12" t="s">
        <v>15729</v>
      </c>
      <c r="F140" s="706"/>
      <c r="G140" s="285" t="s">
        <v>15730</v>
      </c>
      <c r="H140" s="611"/>
      <c r="I140" s="611"/>
      <c r="J140" s="703"/>
      <c r="K140" s="611"/>
      <c r="L140" s="613"/>
      <c r="M140" s="611"/>
      <c r="N140" s="684"/>
      <c r="O140" s="653"/>
      <c r="P140" s="616"/>
      <c r="Q140" s="616"/>
      <c r="R140" s="616"/>
      <c r="S140" s="704"/>
      <c r="T140" s="611"/>
      <c r="U140" s="613"/>
      <c r="V140" s="705"/>
      <c r="W140" s="18"/>
      <c r="X140" s="18"/>
      <c r="Y140" s="18"/>
      <c r="Z140" s="18"/>
      <c r="AA140" s="18"/>
    </row>
    <row r="141" spans="1:27" s="19" customFormat="1" ht="30" customHeight="1" x14ac:dyDescent="0.2">
      <c r="A141" s="432"/>
      <c r="B141" s="611"/>
      <c r="C141" s="611"/>
      <c r="D141" s="597"/>
      <c r="E141" s="12" t="s">
        <v>15727</v>
      </c>
      <c r="F141" s="706"/>
      <c r="G141" s="285" t="s">
        <v>15731</v>
      </c>
      <c r="H141" s="611"/>
      <c r="I141" s="611"/>
      <c r="J141" s="703"/>
      <c r="K141" s="611"/>
      <c r="L141" s="613"/>
      <c r="M141" s="611"/>
      <c r="N141" s="684"/>
      <c r="O141" s="653"/>
      <c r="P141" s="616"/>
      <c r="Q141" s="616"/>
      <c r="R141" s="616"/>
      <c r="S141" s="704"/>
      <c r="T141" s="611"/>
      <c r="U141" s="613"/>
      <c r="V141" s="705"/>
      <c r="W141" s="18"/>
      <c r="X141" s="18"/>
      <c r="Y141" s="18"/>
      <c r="Z141" s="18"/>
      <c r="AA141" s="18"/>
    </row>
    <row r="142" spans="1:27" s="19" customFormat="1" ht="36.75" customHeight="1" x14ac:dyDescent="0.2">
      <c r="A142" s="432"/>
      <c r="B142" s="611"/>
      <c r="C142" s="611"/>
      <c r="D142" s="597"/>
      <c r="E142" s="12" t="s">
        <v>15729</v>
      </c>
      <c r="F142" s="706"/>
      <c r="G142" s="285" t="s">
        <v>15732</v>
      </c>
      <c r="H142" s="611"/>
      <c r="I142" s="611"/>
      <c r="J142" s="703"/>
      <c r="K142" s="611"/>
      <c r="L142" s="613"/>
      <c r="M142" s="611"/>
      <c r="N142" s="684"/>
      <c r="O142" s="653"/>
      <c r="P142" s="616"/>
      <c r="Q142" s="616"/>
      <c r="R142" s="616"/>
      <c r="S142" s="704"/>
      <c r="T142" s="611"/>
      <c r="U142" s="613"/>
      <c r="V142" s="705"/>
      <c r="W142" s="18"/>
      <c r="X142" s="18"/>
      <c r="Y142" s="18"/>
      <c r="Z142" s="18"/>
      <c r="AA142" s="18"/>
    </row>
    <row r="143" spans="1:27" s="19" customFormat="1" ht="30" customHeight="1" x14ac:dyDescent="0.2">
      <c r="A143" s="432"/>
      <c r="B143" s="611"/>
      <c r="C143" s="611"/>
      <c r="D143" s="597"/>
      <c r="E143" s="12" t="s">
        <v>13495</v>
      </c>
      <c r="F143" s="706"/>
      <c r="G143" s="285" t="s">
        <v>15733</v>
      </c>
      <c r="H143" s="611"/>
      <c r="I143" s="611"/>
      <c r="J143" s="703"/>
      <c r="K143" s="611"/>
      <c r="L143" s="613"/>
      <c r="M143" s="611"/>
      <c r="N143" s="684"/>
      <c r="O143" s="653"/>
      <c r="P143" s="616"/>
      <c r="Q143" s="616"/>
      <c r="R143" s="616"/>
      <c r="S143" s="704"/>
      <c r="T143" s="611"/>
      <c r="U143" s="613"/>
      <c r="V143" s="705"/>
      <c r="W143" s="18"/>
      <c r="X143" s="18"/>
      <c r="Y143" s="18"/>
      <c r="Z143" s="18"/>
      <c r="AA143" s="18"/>
    </row>
    <row r="144" spans="1:27" s="19" customFormat="1" ht="30" customHeight="1" x14ac:dyDescent="0.2">
      <c r="A144" s="432"/>
      <c r="B144" s="611"/>
      <c r="C144" s="611"/>
      <c r="D144" s="597"/>
      <c r="E144" s="12" t="s">
        <v>15723</v>
      </c>
      <c r="F144" s="706"/>
      <c r="G144" s="285" t="s">
        <v>15734</v>
      </c>
      <c r="H144" s="611"/>
      <c r="I144" s="611"/>
      <c r="J144" s="703"/>
      <c r="K144" s="611"/>
      <c r="L144" s="613"/>
      <c r="M144" s="611"/>
      <c r="N144" s="684"/>
      <c r="O144" s="653"/>
      <c r="P144" s="616"/>
      <c r="Q144" s="616"/>
      <c r="R144" s="616"/>
      <c r="S144" s="704"/>
      <c r="T144" s="611"/>
      <c r="U144" s="613"/>
      <c r="V144" s="705"/>
      <c r="W144" s="18"/>
      <c r="X144" s="18"/>
      <c r="Y144" s="18"/>
      <c r="Z144" s="18"/>
      <c r="AA144" s="18"/>
    </row>
    <row r="145" spans="1:27" s="19" customFormat="1" ht="30" customHeight="1" x14ac:dyDescent="0.2">
      <c r="A145" s="432"/>
      <c r="B145" s="611"/>
      <c r="C145" s="611"/>
      <c r="D145" s="597"/>
      <c r="E145" s="12" t="s">
        <v>15735</v>
      </c>
      <c r="F145" s="706"/>
      <c r="G145" s="285" t="s">
        <v>15736</v>
      </c>
      <c r="H145" s="611"/>
      <c r="I145" s="611"/>
      <c r="J145" s="703"/>
      <c r="K145" s="611"/>
      <c r="L145" s="613"/>
      <c r="M145" s="611"/>
      <c r="N145" s="684"/>
      <c r="O145" s="653"/>
      <c r="P145" s="616"/>
      <c r="Q145" s="616"/>
      <c r="R145" s="616"/>
      <c r="S145" s="704"/>
      <c r="T145" s="611"/>
      <c r="U145" s="613"/>
      <c r="V145" s="705"/>
      <c r="W145" s="18"/>
      <c r="X145" s="18"/>
      <c r="Y145" s="18"/>
      <c r="Z145" s="18"/>
      <c r="AA145" s="18"/>
    </row>
    <row r="146" spans="1:27" s="19" customFormat="1" ht="30" customHeight="1" x14ac:dyDescent="0.2">
      <c r="A146" s="432"/>
      <c r="B146" s="611"/>
      <c r="C146" s="611"/>
      <c r="D146" s="597"/>
      <c r="E146" s="12" t="s">
        <v>15737</v>
      </c>
      <c r="F146" s="706"/>
      <c r="G146" s="285" t="s">
        <v>15738</v>
      </c>
      <c r="H146" s="611"/>
      <c r="I146" s="611"/>
      <c r="J146" s="703"/>
      <c r="K146" s="611"/>
      <c r="L146" s="613"/>
      <c r="M146" s="611"/>
      <c r="N146" s="684"/>
      <c r="O146" s="653"/>
      <c r="P146" s="616"/>
      <c r="Q146" s="616"/>
      <c r="R146" s="616"/>
      <c r="S146" s="704"/>
      <c r="T146" s="611"/>
      <c r="U146" s="613"/>
      <c r="V146" s="705"/>
      <c r="W146" s="18"/>
      <c r="X146" s="18"/>
      <c r="Y146" s="18"/>
      <c r="Z146" s="18"/>
      <c r="AA146" s="18"/>
    </row>
    <row r="147" spans="1:27" s="19" customFormat="1" ht="30" customHeight="1" x14ac:dyDescent="0.2">
      <c r="A147" s="432"/>
      <c r="B147" s="611"/>
      <c r="C147" s="611"/>
      <c r="D147" s="597"/>
      <c r="E147" s="12" t="s">
        <v>15737</v>
      </c>
      <c r="F147" s="706"/>
      <c r="G147" s="285" t="s">
        <v>15739</v>
      </c>
      <c r="H147" s="611"/>
      <c r="I147" s="611"/>
      <c r="J147" s="703"/>
      <c r="K147" s="611"/>
      <c r="L147" s="613"/>
      <c r="M147" s="611"/>
      <c r="N147" s="684"/>
      <c r="O147" s="653"/>
      <c r="P147" s="616"/>
      <c r="Q147" s="616"/>
      <c r="R147" s="616"/>
      <c r="S147" s="704"/>
      <c r="T147" s="611"/>
      <c r="U147" s="613"/>
      <c r="V147" s="705"/>
      <c r="W147" s="18"/>
      <c r="X147" s="18"/>
      <c r="Y147" s="18"/>
      <c r="Z147" s="18"/>
      <c r="AA147" s="18"/>
    </row>
    <row r="148" spans="1:27" s="19" customFormat="1" ht="30" customHeight="1" x14ac:dyDescent="0.2">
      <c r="A148" s="432"/>
      <c r="B148" s="611"/>
      <c r="C148" s="611"/>
      <c r="D148" s="597"/>
      <c r="E148" s="12" t="s">
        <v>15735</v>
      </c>
      <c r="F148" s="706"/>
      <c r="G148" s="285" t="s">
        <v>15740</v>
      </c>
      <c r="H148" s="611"/>
      <c r="I148" s="611"/>
      <c r="J148" s="703"/>
      <c r="K148" s="611"/>
      <c r="L148" s="613"/>
      <c r="M148" s="611"/>
      <c r="N148" s="684"/>
      <c r="O148" s="653"/>
      <c r="P148" s="616"/>
      <c r="Q148" s="616"/>
      <c r="R148" s="616"/>
      <c r="S148" s="704"/>
      <c r="T148" s="611"/>
      <c r="U148" s="613"/>
      <c r="V148" s="705"/>
      <c r="W148" s="18"/>
      <c r="X148" s="18"/>
      <c r="Y148" s="18"/>
      <c r="Z148" s="18"/>
      <c r="AA148" s="18"/>
    </row>
    <row r="149" spans="1:27" s="19" customFormat="1" ht="30" customHeight="1" x14ac:dyDescent="0.2">
      <c r="A149" s="432"/>
      <c r="B149" s="611"/>
      <c r="C149" s="611"/>
      <c r="D149" s="597"/>
      <c r="E149" s="12" t="s">
        <v>13701</v>
      </c>
      <c r="F149" s="706"/>
      <c r="G149" s="285" t="s">
        <v>15741</v>
      </c>
      <c r="H149" s="611"/>
      <c r="I149" s="611"/>
      <c r="J149" s="703"/>
      <c r="K149" s="611"/>
      <c r="L149" s="613"/>
      <c r="M149" s="611"/>
      <c r="N149" s="684"/>
      <c r="O149" s="653"/>
      <c r="P149" s="616"/>
      <c r="Q149" s="616"/>
      <c r="R149" s="616"/>
      <c r="S149" s="704"/>
      <c r="T149" s="611"/>
      <c r="U149" s="613"/>
      <c r="V149" s="705"/>
      <c r="W149" s="18"/>
      <c r="X149" s="18"/>
      <c r="Y149" s="18"/>
      <c r="Z149" s="18"/>
      <c r="AA149" s="18"/>
    </row>
    <row r="150" spans="1:27" s="19" customFormat="1" ht="30" customHeight="1" x14ac:dyDescent="0.2">
      <c r="A150" s="432"/>
      <c r="B150" s="611"/>
      <c r="C150" s="611"/>
      <c r="D150" s="597"/>
      <c r="E150" s="12" t="s">
        <v>15735</v>
      </c>
      <c r="F150" s="706"/>
      <c r="G150" s="285" t="s">
        <v>15742</v>
      </c>
      <c r="H150" s="611"/>
      <c r="I150" s="611"/>
      <c r="J150" s="703"/>
      <c r="K150" s="611"/>
      <c r="L150" s="613"/>
      <c r="M150" s="611"/>
      <c r="N150" s="684"/>
      <c r="O150" s="653"/>
      <c r="P150" s="616"/>
      <c r="Q150" s="616"/>
      <c r="R150" s="616"/>
      <c r="S150" s="704"/>
      <c r="T150" s="611"/>
      <c r="U150" s="613"/>
      <c r="V150" s="705"/>
      <c r="W150" s="18"/>
      <c r="X150" s="18"/>
      <c r="Y150" s="18"/>
      <c r="Z150" s="18"/>
      <c r="AA150" s="18"/>
    </row>
    <row r="151" spans="1:27" s="19" customFormat="1" ht="30" customHeight="1" x14ac:dyDescent="0.2">
      <c r="A151" s="432"/>
      <c r="B151" s="611"/>
      <c r="C151" s="611"/>
      <c r="D151" s="597"/>
      <c r="E151" s="12" t="s">
        <v>13719</v>
      </c>
      <c r="F151" s="706"/>
      <c r="G151" s="285" t="s">
        <v>15743</v>
      </c>
      <c r="H151" s="611"/>
      <c r="I151" s="611"/>
      <c r="J151" s="703"/>
      <c r="K151" s="611"/>
      <c r="L151" s="613"/>
      <c r="M151" s="611"/>
      <c r="N151" s="684"/>
      <c r="O151" s="653"/>
      <c r="P151" s="616"/>
      <c r="Q151" s="616"/>
      <c r="R151" s="616"/>
      <c r="S151" s="704"/>
      <c r="T151" s="611"/>
      <c r="U151" s="613"/>
      <c r="V151" s="705"/>
      <c r="W151" s="18"/>
      <c r="X151" s="18"/>
      <c r="Y151" s="18"/>
      <c r="Z151" s="18"/>
      <c r="AA151" s="18"/>
    </row>
    <row r="152" spans="1:27" s="19" customFormat="1" ht="30" customHeight="1" x14ac:dyDescent="0.2">
      <c r="A152" s="432"/>
      <c r="B152" s="611"/>
      <c r="C152" s="611"/>
      <c r="D152" s="597"/>
      <c r="E152" s="12" t="s">
        <v>15723</v>
      </c>
      <c r="F152" s="706"/>
      <c r="G152" s="285" t="s">
        <v>15744</v>
      </c>
      <c r="H152" s="611"/>
      <c r="I152" s="611"/>
      <c r="J152" s="703"/>
      <c r="K152" s="611"/>
      <c r="L152" s="613"/>
      <c r="M152" s="611"/>
      <c r="N152" s="684"/>
      <c r="O152" s="653"/>
      <c r="P152" s="616"/>
      <c r="Q152" s="616"/>
      <c r="R152" s="616"/>
      <c r="S152" s="704"/>
      <c r="T152" s="611"/>
      <c r="U152" s="613"/>
      <c r="V152" s="705"/>
      <c r="W152" s="18"/>
      <c r="X152" s="18"/>
      <c r="Y152" s="18"/>
      <c r="Z152" s="18"/>
      <c r="AA152" s="18"/>
    </row>
    <row r="153" spans="1:27" s="19" customFormat="1" ht="30" customHeight="1" x14ac:dyDescent="0.2">
      <c r="A153" s="432"/>
      <c r="B153" s="611"/>
      <c r="C153" s="611"/>
      <c r="D153" s="597"/>
      <c r="E153" s="12" t="s">
        <v>13296</v>
      </c>
      <c r="F153" s="706"/>
      <c r="G153" s="285" t="s">
        <v>15745</v>
      </c>
      <c r="H153" s="611"/>
      <c r="I153" s="611"/>
      <c r="J153" s="703"/>
      <c r="K153" s="611"/>
      <c r="L153" s="613"/>
      <c r="M153" s="611"/>
      <c r="N153" s="684"/>
      <c r="O153" s="653"/>
      <c r="P153" s="616"/>
      <c r="Q153" s="616"/>
      <c r="R153" s="616"/>
      <c r="S153" s="704"/>
      <c r="T153" s="611"/>
      <c r="U153" s="613"/>
      <c r="V153" s="705"/>
      <c r="W153" s="18"/>
      <c r="X153" s="18"/>
      <c r="Y153" s="18"/>
      <c r="Z153" s="18"/>
      <c r="AA153" s="18"/>
    </row>
    <row r="154" spans="1:27" s="19" customFormat="1" ht="30" customHeight="1" x14ac:dyDescent="0.2">
      <c r="A154" s="432"/>
      <c r="B154" s="611"/>
      <c r="C154" s="611"/>
      <c r="D154" s="597"/>
      <c r="E154" s="12" t="s">
        <v>15735</v>
      </c>
      <c r="F154" s="706"/>
      <c r="G154" s="285" t="s">
        <v>15746</v>
      </c>
      <c r="H154" s="611"/>
      <c r="I154" s="611"/>
      <c r="J154" s="703"/>
      <c r="K154" s="611"/>
      <c r="L154" s="613"/>
      <c r="M154" s="611"/>
      <c r="N154" s="684"/>
      <c r="O154" s="653"/>
      <c r="P154" s="616"/>
      <c r="Q154" s="616"/>
      <c r="R154" s="616"/>
      <c r="S154" s="704"/>
      <c r="T154" s="611"/>
      <c r="U154" s="613"/>
      <c r="V154" s="705"/>
      <c r="W154" s="18"/>
      <c r="X154" s="18"/>
      <c r="Y154" s="18"/>
      <c r="Z154" s="18"/>
      <c r="AA154" s="18"/>
    </row>
    <row r="155" spans="1:27" s="19" customFormat="1" ht="30" customHeight="1" x14ac:dyDescent="0.2">
      <c r="A155" s="432"/>
      <c r="B155" s="611"/>
      <c r="C155" s="611"/>
      <c r="D155" s="597"/>
      <c r="E155" s="12" t="s">
        <v>15747</v>
      </c>
      <c r="F155" s="706"/>
      <c r="G155" s="285" t="s">
        <v>15748</v>
      </c>
      <c r="H155" s="611"/>
      <c r="I155" s="611"/>
      <c r="J155" s="703"/>
      <c r="K155" s="611"/>
      <c r="L155" s="613"/>
      <c r="M155" s="611"/>
      <c r="N155" s="684"/>
      <c r="O155" s="653"/>
      <c r="P155" s="616"/>
      <c r="Q155" s="616"/>
      <c r="R155" s="616"/>
      <c r="S155" s="704"/>
      <c r="T155" s="611"/>
      <c r="U155" s="613"/>
      <c r="V155" s="705"/>
      <c r="W155" s="18"/>
      <c r="X155" s="18"/>
      <c r="Y155" s="18"/>
      <c r="Z155" s="18"/>
      <c r="AA155" s="18"/>
    </row>
    <row r="156" spans="1:27" s="19" customFormat="1" ht="30" customHeight="1" x14ac:dyDescent="0.2">
      <c r="A156" s="432"/>
      <c r="B156" s="611"/>
      <c r="C156" s="611"/>
      <c r="D156" s="597"/>
      <c r="E156" s="12" t="s">
        <v>15735</v>
      </c>
      <c r="F156" s="706"/>
      <c r="G156" s="285" t="s">
        <v>15749</v>
      </c>
      <c r="H156" s="611"/>
      <c r="I156" s="611"/>
      <c r="J156" s="703"/>
      <c r="K156" s="611"/>
      <c r="L156" s="613"/>
      <c r="M156" s="611"/>
      <c r="N156" s="684"/>
      <c r="O156" s="653"/>
      <c r="P156" s="616"/>
      <c r="Q156" s="616"/>
      <c r="R156" s="616"/>
      <c r="S156" s="704"/>
      <c r="T156" s="611"/>
      <c r="U156" s="613"/>
      <c r="V156" s="705"/>
      <c r="W156" s="18"/>
      <c r="X156" s="18"/>
      <c r="Y156" s="18"/>
      <c r="Z156" s="18"/>
      <c r="AA156" s="18"/>
    </row>
    <row r="157" spans="1:27" s="19" customFormat="1" ht="30" customHeight="1" x14ac:dyDescent="0.2">
      <c r="A157" s="432"/>
      <c r="B157" s="611"/>
      <c r="C157" s="611"/>
      <c r="D157" s="597"/>
      <c r="E157" s="12" t="s">
        <v>15750</v>
      </c>
      <c r="F157" s="706"/>
      <c r="G157" s="285" t="s">
        <v>15751</v>
      </c>
      <c r="H157" s="611"/>
      <c r="I157" s="611"/>
      <c r="J157" s="703"/>
      <c r="K157" s="611"/>
      <c r="L157" s="613"/>
      <c r="M157" s="611"/>
      <c r="N157" s="684"/>
      <c r="O157" s="653"/>
      <c r="P157" s="616"/>
      <c r="Q157" s="616"/>
      <c r="R157" s="616"/>
      <c r="S157" s="704"/>
      <c r="T157" s="611"/>
      <c r="U157" s="613"/>
      <c r="V157" s="705"/>
      <c r="W157" s="18"/>
      <c r="X157" s="18"/>
      <c r="Y157" s="18"/>
      <c r="Z157" s="18"/>
      <c r="AA157" s="18"/>
    </row>
    <row r="158" spans="1:27" s="19" customFormat="1" ht="30" customHeight="1" x14ac:dyDescent="0.2">
      <c r="A158" s="432"/>
      <c r="B158" s="611"/>
      <c r="C158" s="611"/>
      <c r="D158" s="597"/>
      <c r="E158" s="12" t="s">
        <v>15747</v>
      </c>
      <c r="F158" s="706"/>
      <c r="G158" s="285" t="s">
        <v>15752</v>
      </c>
      <c r="H158" s="611"/>
      <c r="I158" s="611"/>
      <c r="J158" s="703"/>
      <c r="K158" s="611"/>
      <c r="L158" s="613"/>
      <c r="M158" s="611"/>
      <c r="N158" s="684"/>
      <c r="O158" s="653"/>
      <c r="P158" s="616"/>
      <c r="Q158" s="616"/>
      <c r="R158" s="616"/>
      <c r="S158" s="704"/>
      <c r="T158" s="611"/>
      <c r="U158" s="613"/>
      <c r="V158" s="705"/>
      <c r="W158" s="18"/>
      <c r="X158" s="18"/>
      <c r="Y158" s="18"/>
      <c r="Z158" s="18"/>
      <c r="AA158" s="18"/>
    </row>
    <row r="159" spans="1:27" s="19" customFormat="1" ht="30" customHeight="1" x14ac:dyDescent="0.2">
      <c r="A159" s="432"/>
      <c r="B159" s="611"/>
      <c r="C159" s="611"/>
      <c r="D159" s="597"/>
      <c r="E159" s="12" t="s">
        <v>15735</v>
      </c>
      <c r="F159" s="706"/>
      <c r="G159" s="285" t="s">
        <v>15753</v>
      </c>
      <c r="H159" s="611"/>
      <c r="I159" s="611"/>
      <c r="J159" s="703"/>
      <c r="K159" s="611"/>
      <c r="L159" s="613"/>
      <c r="M159" s="611"/>
      <c r="N159" s="684"/>
      <c r="O159" s="653"/>
      <c r="P159" s="616"/>
      <c r="Q159" s="616"/>
      <c r="R159" s="616"/>
      <c r="S159" s="704"/>
      <c r="T159" s="611"/>
      <c r="U159" s="613"/>
      <c r="V159" s="705"/>
      <c r="W159" s="18"/>
      <c r="X159" s="18"/>
      <c r="Y159" s="18"/>
      <c r="Z159" s="18"/>
      <c r="AA159" s="18"/>
    </row>
    <row r="160" spans="1:27" s="19" customFormat="1" ht="30" customHeight="1" x14ac:dyDescent="0.2">
      <c r="A160" s="432"/>
      <c r="B160" s="611"/>
      <c r="C160" s="611"/>
      <c r="D160" s="597"/>
      <c r="E160" s="12" t="s">
        <v>15735</v>
      </c>
      <c r="F160" s="706"/>
      <c r="G160" s="285" t="s">
        <v>15754</v>
      </c>
      <c r="H160" s="611"/>
      <c r="I160" s="611"/>
      <c r="J160" s="703"/>
      <c r="K160" s="611"/>
      <c r="L160" s="613"/>
      <c r="M160" s="611"/>
      <c r="N160" s="684"/>
      <c r="O160" s="653"/>
      <c r="P160" s="616"/>
      <c r="Q160" s="616"/>
      <c r="R160" s="616"/>
      <c r="S160" s="704"/>
      <c r="T160" s="611"/>
      <c r="U160" s="613"/>
      <c r="V160" s="705"/>
      <c r="W160" s="18"/>
      <c r="X160" s="18"/>
      <c r="Y160" s="18"/>
      <c r="Z160" s="18"/>
      <c r="AA160" s="18"/>
    </row>
    <row r="161" spans="1:27" s="19" customFormat="1" ht="30" customHeight="1" x14ac:dyDescent="0.2">
      <c r="A161" s="432"/>
      <c r="B161" s="611"/>
      <c r="C161" s="611"/>
      <c r="D161" s="597"/>
      <c r="E161" s="12" t="s">
        <v>15747</v>
      </c>
      <c r="F161" s="706"/>
      <c r="G161" s="285" t="s">
        <v>15755</v>
      </c>
      <c r="H161" s="611"/>
      <c r="I161" s="611"/>
      <c r="J161" s="703"/>
      <c r="K161" s="611"/>
      <c r="L161" s="613"/>
      <c r="M161" s="611"/>
      <c r="N161" s="684"/>
      <c r="O161" s="653"/>
      <c r="P161" s="616"/>
      <c r="Q161" s="616"/>
      <c r="R161" s="616"/>
      <c r="S161" s="704"/>
      <c r="T161" s="611"/>
      <c r="U161" s="613"/>
      <c r="V161" s="705"/>
      <c r="W161" s="18"/>
      <c r="X161" s="18"/>
      <c r="Y161" s="18"/>
      <c r="Z161" s="18"/>
      <c r="AA161" s="18"/>
    </row>
    <row r="162" spans="1:27" s="19" customFormat="1" ht="30" customHeight="1" x14ac:dyDescent="0.2">
      <c r="A162" s="432"/>
      <c r="B162" s="611"/>
      <c r="C162" s="611"/>
      <c r="D162" s="597"/>
      <c r="E162" s="12" t="s">
        <v>15729</v>
      </c>
      <c r="F162" s="706"/>
      <c r="G162" s="285" t="s">
        <v>15756</v>
      </c>
      <c r="H162" s="611"/>
      <c r="I162" s="611"/>
      <c r="J162" s="703"/>
      <c r="K162" s="611"/>
      <c r="L162" s="613"/>
      <c r="M162" s="611"/>
      <c r="N162" s="684"/>
      <c r="O162" s="653"/>
      <c r="P162" s="616"/>
      <c r="Q162" s="616"/>
      <c r="R162" s="616"/>
      <c r="S162" s="704"/>
      <c r="T162" s="611"/>
      <c r="U162" s="613"/>
      <c r="V162" s="705"/>
      <c r="W162" s="18"/>
      <c r="X162" s="18"/>
      <c r="Y162" s="18"/>
      <c r="Z162" s="18"/>
      <c r="AA162" s="18"/>
    </row>
    <row r="163" spans="1:27" s="19" customFormat="1" ht="30" customHeight="1" x14ac:dyDescent="0.2">
      <c r="A163" s="432"/>
      <c r="B163" s="611"/>
      <c r="C163" s="611"/>
      <c r="D163" s="597"/>
      <c r="E163" s="12" t="s">
        <v>15727</v>
      </c>
      <c r="F163" s="706"/>
      <c r="G163" s="285" t="s">
        <v>15757</v>
      </c>
      <c r="H163" s="611"/>
      <c r="I163" s="611"/>
      <c r="J163" s="703"/>
      <c r="K163" s="611"/>
      <c r="L163" s="613"/>
      <c r="M163" s="611"/>
      <c r="N163" s="684"/>
      <c r="O163" s="653"/>
      <c r="P163" s="616"/>
      <c r="Q163" s="616"/>
      <c r="R163" s="616"/>
      <c r="S163" s="704"/>
      <c r="T163" s="611"/>
      <c r="U163" s="613"/>
      <c r="V163" s="705"/>
      <c r="W163" s="18"/>
      <c r="X163" s="18"/>
      <c r="Y163" s="18"/>
      <c r="Z163" s="18"/>
      <c r="AA163" s="18"/>
    </row>
    <row r="164" spans="1:27" s="19" customFormat="1" ht="30" customHeight="1" x14ac:dyDescent="0.2">
      <c r="A164" s="432"/>
      <c r="B164" s="611"/>
      <c r="C164" s="611"/>
      <c r="D164" s="597"/>
      <c r="E164" s="12" t="s">
        <v>15727</v>
      </c>
      <c r="F164" s="707"/>
      <c r="G164" s="285" t="s">
        <v>15758</v>
      </c>
      <c r="H164" s="611"/>
      <c r="I164" s="611"/>
      <c r="J164" s="703"/>
      <c r="K164" s="611"/>
      <c r="L164" s="613"/>
      <c r="M164" s="611"/>
      <c r="N164" s="684"/>
      <c r="O164" s="653"/>
      <c r="P164" s="616"/>
      <c r="Q164" s="616"/>
      <c r="R164" s="616"/>
      <c r="S164" s="704"/>
      <c r="T164" s="611"/>
      <c r="U164" s="613"/>
      <c r="V164" s="705"/>
      <c r="W164" s="18"/>
      <c r="X164" s="18"/>
      <c r="Y164" s="18"/>
      <c r="Z164" s="18"/>
      <c r="AA164" s="18"/>
    </row>
    <row r="165" spans="1:27" s="19" customFormat="1" ht="30" customHeight="1" x14ac:dyDescent="0.2">
      <c r="A165" s="432"/>
      <c r="B165" s="611"/>
      <c r="C165" s="611"/>
      <c r="D165" s="597"/>
      <c r="E165" s="12" t="s">
        <v>15729</v>
      </c>
      <c r="F165" s="702" t="s">
        <v>15572</v>
      </c>
      <c r="G165" s="285" t="s">
        <v>15759</v>
      </c>
      <c r="H165" s="611"/>
      <c r="I165" s="611"/>
      <c r="J165" s="703"/>
      <c r="K165" s="611"/>
      <c r="L165" s="613"/>
      <c r="M165" s="611"/>
      <c r="N165" s="684"/>
      <c r="O165" s="653"/>
      <c r="P165" s="616"/>
      <c r="Q165" s="616"/>
      <c r="R165" s="616"/>
      <c r="S165" s="704"/>
      <c r="T165" s="611"/>
      <c r="U165" s="613"/>
      <c r="V165" s="705"/>
      <c r="W165" s="18"/>
      <c r="X165" s="18"/>
      <c r="Y165" s="18"/>
      <c r="Z165" s="18"/>
      <c r="AA165" s="18"/>
    </row>
    <row r="166" spans="1:27" s="19" customFormat="1" ht="30" customHeight="1" x14ac:dyDescent="0.2">
      <c r="A166" s="432"/>
      <c r="B166" s="611"/>
      <c r="C166" s="611"/>
      <c r="D166" s="597"/>
      <c r="E166" s="12" t="s">
        <v>5394</v>
      </c>
      <c r="F166" s="707"/>
      <c r="G166" s="285" t="s">
        <v>15760</v>
      </c>
      <c r="H166" s="611"/>
      <c r="I166" s="611"/>
      <c r="J166" s="703"/>
      <c r="K166" s="611"/>
      <c r="L166" s="613"/>
      <c r="M166" s="611"/>
      <c r="N166" s="684"/>
      <c r="O166" s="653"/>
      <c r="P166" s="616"/>
      <c r="Q166" s="616"/>
      <c r="R166" s="616"/>
      <c r="S166" s="704"/>
      <c r="T166" s="611"/>
      <c r="U166" s="613"/>
      <c r="V166" s="705"/>
      <c r="W166" s="18"/>
      <c r="X166" s="18"/>
      <c r="Y166" s="18"/>
      <c r="Z166" s="18"/>
      <c r="AA166" s="18"/>
    </row>
    <row r="167" spans="1:27" s="19" customFormat="1" ht="30" customHeight="1" x14ac:dyDescent="0.2">
      <c r="A167" s="331"/>
      <c r="B167" s="332"/>
      <c r="C167" s="332"/>
      <c r="D167" s="604"/>
      <c r="E167" s="12" t="s">
        <v>5394</v>
      </c>
      <c r="F167" s="13" t="s">
        <v>15604</v>
      </c>
      <c r="G167" s="285" t="s">
        <v>15760</v>
      </c>
      <c r="H167" s="332"/>
      <c r="I167" s="332"/>
      <c r="J167" s="708"/>
      <c r="K167" s="332"/>
      <c r="L167" s="334"/>
      <c r="M167" s="332"/>
      <c r="N167" s="686"/>
      <c r="O167" s="335"/>
      <c r="P167" s="414"/>
      <c r="Q167" s="414"/>
      <c r="R167" s="414"/>
      <c r="S167" s="709"/>
      <c r="T167" s="332"/>
      <c r="U167" s="334"/>
      <c r="V167" s="710"/>
      <c r="W167" s="18"/>
      <c r="X167" s="18"/>
      <c r="Y167" s="18"/>
      <c r="Z167" s="18"/>
      <c r="AA167" s="18"/>
    </row>
    <row r="168" spans="1:27" s="19" customFormat="1" ht="153.75" customHeight="1" x14ac:dyDescent="0.2">
      <c r="A168" s="289">
        <v>30</v>
      </c>
      <c r="B168" s="285" t="s">
        <v>15761</v>
      </c>
      <c r="C168" s="285" t="s">
        <v>15762</v>
      </c>
      <c r="D168" s="254" t="s">
        <v>15389</v>
      </c>
      <c r="E168" s="361">
        <v>1991</v>
      </c>
      <c r="F168" s="255" t="s">
        <v>15763</v>
      </c>
      <c r="G168" s="285" t="s">
        <v>15764</v>
      </c>
      <c r="H168" s="49" t="s">
        <v>7982</v>
      </c>
      <c r="I168" s="49" t="s">
        <v>5127</v>
      </c>
      <c r="J168" s="361"/>
      <c r="K168" s="285" t="s">
        <v>3136</v>
      </c>
      <c r="L168" s="231" t="s">
        <v>15765</v>
      </c>
      <c r="M168" s="29" t="s">
        <v>15766</v>
      </c>
      <c r="N168" s="562">
        <v>543</v>
      </c>
      <c r="O168" s="15">
        <v>41244</v>
      </c>
      <c r="P168" s="40">
        <v>616233.89</v>
      </c>
      <c r="Q168" s="40">
        <v>616233.89</v>
      </c>
      <c r="R168" s="711">
        <f>P168-Q168</f>
        <v>0</v>
      </c>
      <c r="S168" s="40">
        <v>2085010</v>
      </c>
      <c r="T168" s="285" t="s">
        <v>15479</v>
      </c>
      <c r="U168" s="14">
        <v>43208</v>
      </c>
      <c r="V168" s="14" t="s">
        <v>15767</v>
      </c>
      <c r="W168" s="18"/>
      <c r="X168" s="18"/>
      <c r="Y168" s="18"/>
      <c r="Z168" s="18"/>
      <c r="AA168" s="18"/>
    </row>
    <row r="169" spans="1:27" s="19" customFormat="1" ht="95.25" customHeight="1" x14ac:dyDescent="0.2">
      <c r="A169" s="712">
        <v>31</v>
      </c>
      <c r="B169" s="713" t="s">
        <v>15768</v>
      </c>
      <c r="C169" s="327" t="s">
        <v>15769</v>
      </c>
      <c r="D169" s="714" t="s">
        <v>15565</v>
      </c>
      <c r="E169" s="589">
        <v>1977</v>
      </c>
      <c r="F169" s="715"/>
      <c r="G169" s="716" t="s">
        <v>15770</v>
      </c>
      <c r="H169" s="590" t="s">
        <v>4296</v>
      </c>
      <c r="I169" s="327" t="s">
        <v>3793</v>
      </c>
      <c r="J169" s="590"/>
      <c r="K169" s="327" t="s">
        <v>3136</v>
      </c>
      <c r="L169" s="717" t="s">
        <v>15771</v>
      </c>
      <c r="M169" s="718" t="s">
        <v>15772</v>
      </c>
      <c r="N169" s="683">
        <v>4475</v>
      </c>
      <c r="O169" s="327" t="s">
        <v>15693</v>
      </c>
      <c r="P169" s="413">
        <v>582178.80000000005</v>
      </c>
      <c r="Q169" s="699">
        <v>582178.80000000005</v>
      </c>
      <c r="R169" s="413">
        <f>P169-Q169</f>
        <v>0</v>
      </c>
      <c r="S169" s="693">
        <v>17463561</v>
      </c>
      <c r="T169" s="327" t="s">
        <v>15773</v>
      </c>
      <c r="U169" s="329" t="s">
        <v>15774</v>
      </c>
      <c r="V169" s="328" t="s">
        <v>15775</v>
      </c>
      <c r="W169" s="18"/>
      <c r="X169" s="18"/>
      <c r="Y169" s="18"/>
      <c r="Z169" s="18"/>
      <c r="AA169" s="18"/>
    </row>
    <row r="170" spans="1:27" s="19" customFormat="1" ht="47.25" customHeight="1" x14ac:dyDescent="0.2">
      <c r="A170" s="719"/>
      <c r="B170" s="720"/>
      <c r="C170" s="611"/>
      <c r="D170" s="721"/>
      <c r="E170" s="363">
        <v>1996</v>
      </c>
      <c r="F170" s="694" t="s">
        <v>15776</v>
      </c>
      <c r="G170" s="361" t="s">
        <v>15777</v>
      </c>
      <c r="H170" s="597"/>
      <c r="I170" s="611"/>
      <c r="J170" s="597"/>
      <c r="K170" s="611"/>
      <c r="L170" s="722"/>
      <c r="M170" s="723"/>
      <c r="N170" s="684"/>
      <c r="O170" s="611"/>
      <c r="P170" s="616"/>
      <c r="Q170" s="616"/>
      <c r="R170" s="616"/>
      <c r="S170" s="653"/>
      <c r="T170" s="611"/>
      <c r="U170" s="613"/>
      <c r="V170" s="612"/>
      <c r="W170" s="18"/>
      <c r="X170" s="18"/>
      <c r="Y170" s="18"/>
      <c r="Z170" s="18"/>
      <c r="AA170" s="18"/>
    </row>
    <row r="171" spans="1:27" s="19" customFormat="1" ht="33.75" customHeight="1" x14ac:dyDescent="0.2">
      <c r="A171" s="719"/>
      <c r="B171" s="720"/>
      <c r="C171" s="611"/>
      <c r="D171" s="721"/>
      <c r="E171" s="363">
        <v>1985</v>
      </c>
      <c r="F171" s="694" t="s">
        <v>15712</v>
      </c>
      <c r="G171" s="695" t="s">
        <v>15778</v>
      </c>
      <c r="H171" s="597"/>
      <c r="I171" s="611"/>
      <c r="J171" s="597"/>
      <c r="K171" s="611"/>
      <c r="L171" s="633"/>
      <c r="M171" s="723"/>
      <c r="N171" s="684"/>
      <c r="O171" s="611"/>
      <c r="P171" s="616"/>
      <c r="Q171" s="616"/>
      <c r="R171" s="616"/>
      <c r="S171" s="653"/>
      <c r="T171" s="611"/>
      <c r="U171" s="613"/>
      <c r="V171" s="612"/>
      <c r="W171" s="18"/>
      <c r="X171" s="18"/>
      <c r="Y171" s="18"/>
      <c r="Z171" s="18"/>
      <c r="AA171" s="18"/>
    </row>
    <row r="172" spans="1:27" s="19" customFormat="1" ht="37.5" customHeight="1" x14ac:dyDescent="0.2">
      <c r="A172" s="719"/>
      <c r="B172" s="720"/>
      <c r="C172" s="611"/>
      <c r="D172" s="721"/>
      <c r="E172" s="363">
        <v>1996</v>
      </c>
      <c r="F172" s="694" t="s">
        <v>15712</v>
      </c>
      <c r="G172" s="695" t="s">
        <v>15779</v>
      </c>
      <c r="H172" s="597"/>
      <c r="I172" s="611"/>
      <c r="J172" s="597"/>
      <c r="K172" s="611"/>
      <c r="L172" s="633"/>
      <c r="M172" s="723"/>
      <c r="N172" s="684"/>
      <c r="O172" s="611"/>
      <c r="P172" s="616"/>
      <c r="Q172" s="616"/>
      <c r="R172" s="616"/>
      <c r="S172" s="653"/>
      <c r="T172" s="611"/>
      <c r="U172" s="613"/>
      <c r="V172" s="612"/>
      <c r="W172" s="18"/>
      <c r="X172" s="18"/>
      <c r="Y172" s="18"/>
      <c r="Z172" s="18"/>
      <c r="AA172" s="18"/>
    </row>
    <row r="173" spans="1:27" s="19" customFormat="1" ht="38.25" customHeight="1" x14ac:dyDescent="0.2">
      <c r="A173" s="719"/>
      <c r="B173" s="720"/>
      <c r="C173" s="611"/>
      <c r="D173" s="721"/>
      <c r="E173" s="363">
        <v>1985</v>
      </c>
      <c r="F173" s="694" t="s">
        <v>15712</v>
      </c>
      <c r="G173" s="695" t="s">
        <v>15780</v>
      </c>
      <c r="H173" s="597"/>
      <c r="I173" s="611"/>
      <c r="J173" s="597"/>
      <c r="K173" s="611"/>
      <c r="L173" s="633"/>
      <c r="M173" s="723"/>
      <c r="N173" s="684"/>
      <c r="O173" s="611"/>
      <c r="P173" s="616"/>
      <c r="Q173" s="616"/>
      <c r="R173" s="616"/>
      <c r="S173" s="653"/>
      <c r="T173" s="611"/>
      <c r="U173" s="613"/>
      <c r="V173" s="612"/>
      <c r="W173" s="18"/>
      <c r="X173" s="18"/>
      <c r="Y173" s="18"/>
      <c r="Z173" s="18"/>
      <c r="AA173" s="18"/>
    </row>
    <row r="174" spans="1:27" s="19" customFormat="1" ht="27" customHeight="1" x14ac:dyDescent="0.2">
      <c r="A174" s="719"/>
      <c r="B174" s="720"/>
      <c r="C174" s="611"/>
      <c r="D174" s="721"/>
      <c r="E174" s="361" t="s">
        <v>15781</v>
      </c>
      <c r="F174" s="694" t="s">
        <v>15782</v>
      </c>
      <c r="G174" s="695" t="s">
        <v>15783</v>
      </c>
      <c r="H174" s="597"/>
      <c r="I174" s="611"/>
      <c r="J174" s="597"/>
      <c r="K174" s="611"/>
      <c r="L174" s="633"/>
      <c r="M174" s="723"/>
      <c r="N174" s="684"/>
      <c r="O174" s="611"/>
      <c r="P174" s="616"/>
      <c r="Q174" s="616"/>
      <c r="R174" s="616"/>
      <c r="S174" s="653"/>
      <c r="T174" s="611"/>
      <c r="U174" s="613"/>
      <c r="V174" s="612"/>
      <c r="W174" s="18"/>
      <c r="X174" s="18"/>
      <c r="Y174" s="18"/>
      <c r="Z174" s="18"/>
      <c r="AA174" s="18"/>
    </row>
    <row r="175" spans="1:27" s="19" customFormat="1" ht="45" customHeight="1" x14ac:dyDescent="0.2">
      <c r="A175" s="719"/>
      <c r="B175" s="720"/>
      <c r="C175" s="611"/>
      <c r="D175" s="721"/>
      <c r="E175" s="363">
        <v>1985</v>
      </c>
      <c r="F175" s="694" t="s">
        <v>15712</v>
      </c>
      <c r="G175" s="695" t="s">
        <v>15784</v>
      </c>
      <c r="H175" s="597"/>
      <c r="I175" s="611"/>
      <c r="J175" s="597"/>
      <c r="K175" s="611"/>
      <c r="L175" s="633"/>
      <c r="M175" s="723"/>
      <c r="N175" s="684"/>
      <c r="O175" s="611"/>
      <c r="P175" s="616"/>
      <c r="Q175" s="616"/>
      <c r="R175" s="616"/>
      <c r="S175" s="653"/>
      <c r="T175" s="611"/>
      <c r="U175" s="613"/>
      <c r="V175" s="612"/>
      <c r="W175" s="18"/>
      <c r="X175" s="18"/>
      <c r="Y175" s="18"/>
      <c r="Z175" s="18"/>
      <c r="AA175" s="18"/>
    </row>
    <row r="176" spans="1:27" s="19" customFormat="1" ht="37.5" customHeight="1" x14ac:dyDescent="0.2">
      <c r="A176" s="719"/>
      <c r="B176" s="720"/>
      <c r="C176" s="611"/>
      <c r="D176" s="721"/>
      <c r="E176" s="363">
        <v>1985</v>
      </c>
      <c r="F176" s="694" t="s">
        <v>15782</v>
      </c>
      <c r="G176" s="695" t="s">
        <v>15785</v>
      </c>
      <c r="H176" s="597"/>
      <c r="I176" s="611"/>
      <c r="J176" s="597"/>
      <c r="K176" s="611"/>
      <c r="L176" s="633"/>
      <c r="M176" s="723"/>
      <c r="N176" s="684"/>
      <c r="O176" s="611"/>
      <c r="P176" s="616"/>
      <c r="Q176" s="616"/>
      <c r="R176" s="616"/>
      <c r="S176" s="653"/>
      <c r="T176" s="611"/>
      <c r="U176" s="613"/>
      <c r="V176" s="612"/>
      <c r="W176" s="18"/>
      <c r="X176" s="18"/>
      <c r="Y176" s="18"/>
      <c r="Z176" s="18"/>
      <c r="AA176" s="18"/>
    </row>
    <row r="177" spans="1:27" s="19" customFormat="1" ht="69" customHeight="1" x14ac:dyDescent="0.2">
      <c r="A177" s="724"/>
      <c r="B177" s="725"/>
      <c r="C177" s="332"/>
      <c r="D177" s="726"/>
      <c r="E177" s="22" t="s">
        <v>15786</v>
      </c>
      <c r="F177" s="255"/>
      <c r="G177" s="285" t="s">
        <v>15787</v>
      </c>
      <c r="H177" s="604"/>
      <c r="I177" s="332"/>
      <c r="J177" s="604"/>
      <c r="K177" s="332"/>
      <c r="L177" s="634"/>
      <c r="M177" s="727"/>
      <c r="N177" s="686"/>
      <c r="O177" s="332"/>
      <c r="P177" s="414"/>
      <c r="Q177" s="414"/>
      <c r="R177" s="414"/>
      <c r="S177" s="335"/>
      <c r="T177" s="332"/>
      <c r="U177" s="334"/>
      <c r="V177" s="333"/>
      <c r="W177" s="18"/>
      <c r="X177" s="18"/>
      <c r="Y177" s="18"/>
      <c r="Z177" s="18"/>
      <c r="AA177" s="18"/>
    </row>
    <row r="178" spans="1:27" s="19" customFormat="1" ht="208.5" customHeight="1" x14ac:dyDescent="0.2">
      <c r="A178" s="30">
        <v>32</v>
      </c>
      <c r="B178" s="49" t="s">
        <v>15788</v>
      </c>
      <c r="C178" s="49" t="s">
        <v>15789</v>
      </c>
      <c r="D178" s="587" t="s">
        <v>15565</v>
      </c>
      <c r="E178" s="361"/>
      <c r="F178" s="255"/>
      <c r="G178" s="426" t="s">
        <v>15790</v>
      </c>
      <c r="H178" s="49" t="s">
        <v>4296</v>
      </c>
      <c r="I178" s="49" t="s">
        <v>1586</v>
      </c>
      <c r="J178" s="589"/>
      <c r="K178" s="49" t="s">
        <v>3136</v>
      </c>
      <c r="L178" s="53" t="s">
        <v>15791</v>
      </c>
      <c r="M178" s="49" t="s">
        <v>15792</v>
      </c>
      <c r="N178" s="728">
        <v>14240</v>
      </c>
      <c r="O178" s="53" t="s">
        <v>15793</v>
      </c>
      <c r="P178" s="100">
        <f>72046+1396672.21+12388.42+8093454.5+7</f>
        <v>9574568.129999999</v>
      </c>
      <c r="Q178" s="40">
        <v>9551336.0899999999</v>
      </c>
      <c r="R178" s="100">
        <f>P178-Q178</f>
        <v>23232.039999999106</v>
      </c>
      <c r="S178" s="477">
        <v>75094921</v>
      </c>
      <c r="T178" s="46" t="s">
        <v>15794</v>
      </c>
      <c r="U178" s="49" t="s">
        <v>15795</v>
      </c>
      <c r="V178" s="53" t="s">
        <v>15796</v>
      </c>
      <c r="W178" s="18"/>
      <c r="X178" s="18"/>
      <c r="Y178" s="18"/>
      <c r="Z178" s="18"/>
      <c r="AA178" s="18"/>
    </row>
    <row r="179" spans="1:27" s="19" customFormat="1" ht="48" customHeight="1" x14ac:dyDescent="0.2">
      <c r="A179" s="268"/>
      <c r="B179" s="71"/>
      <c r="C179" s="71"/>
      <c r="D179" s="596"/>
      <c r="E179" s="22" t="s">
        <v>15797</v>
      </c>
      <c r="F179" s="255"/>
      <c r="G179" s="285" t="s">
        <v>15798</v>
      </c>
      <c r="H179" s="71"/>
      <c r="I179" s="71"/>
      <c r="J179" s="596"/>
      <c r="K179" s="71"/>
      <c r="L179" s="274"/>
      <c r="M179" s="71"/>
      <c r="N179" s="729"/>
      <c r="O179" s="274"/>
      <c r="P179" s="406"/>
      <c r="Q179" s="410"/>
      <c r="R179" s="410"/>
      <c r="S179" s="618"/>
      <c r="T179" s="121"/>
      <c r="U179" s="71"/>
      <c r="V179" s="274"/>
      <c r="W179" s="18"/>
      <c r="X179" s="18"/>
      <c r="Y179" s="18"/>
      <c r="Z179" s="18"/>
      <c r="AA179" s="18"/>
    </row>
    <row r="180" spans="1:27" s="19" customFormat="1" ht="40.5" customHeight="1" x14ac:dyDescent="0.2">
      <c r="A180" s="268"/>
      <c r="B180" s="71"/>
      <c r="C180" s="71"/>
      <c r="D180" s="596"/>
      <c r="E180" s="361">
        <v>2015</v>
      </c>
      <c r="F180" s="255" t="s">
        <v>15799</v>
      </c>
      <c r="G180" s="361" t="s">
        <v>15800</v>
      </c>
      <c r="H180" s="71"/>
      <c r="I180" s="71"/>
      <c r="J180" s="596"/>
      <c r="K180" s="71"/>
      <c r="L180" s="274"/>
      <c r="M180" s="71"/>
      <c r="N180" s="729"/>
      <c r="O180" s="274"/>
      <c r="P180" s="406"/>
      <c r="Q180" s="410"/>
      <c r="R180" s="410"/>
      <c r="S180" s="618"/>
      <c r="T180" s="121"/>
      <c r="U180" s="71"/>
      <c r="V180" s="274"/>
      <c r="W180" s="18"/>
      <c r="X180" s="18"/>
      <c r="Y180" s="18"/>
      <c r="Z180" s="18"/>
      <c r="AA180" s="18"/>
    </row>
    <row r="181" spans="1:27" s="19" customFormat="1" ht="39.75" customHeight="1" x14ac:dyDescent="0.2">
      <c r="A181" s="268"/>
      <c r="B181" s="71"/>
      <c r="C181" s="71"/>
      <c r="D181" s="596"/>
      <c r="E181" s="361">
        <v>2008</v>
      </c>
      <c r="F181" s="255" t="s">
        <v>15782</v>
      </c>
      <c r="G181" s="361" t="s">
        <v>15801</v>
      </c>
      <c r="H181" s="71"/>
      <c r="I181" s="71"/>
      <c r="J181" s="596"/>
      <c r="K181" s="71"/>
      <c r="L181" s="274"/>
      <c r="M181" s="71"/>
      <c r="N181" s="729"/>
      <c r="O181" s="274"/>
      <c r="P181" s="406"/>
      <c r="Q181" s="410"/>
      <c r="R181" s="410"/>
      <c r="S181" s="618"/>
      <c r="T181" s="71"/>
      <c r="U181" s="71"/>
      <c r="V181" s="274"/>
      <c r="W181" s="18"/>
      <c r="X181" s="18"/>
      <c r="Y181" s="18"/>
      <c r="Z181" s="18"/>
      <c r="AA181" s="18"/>
    </row>
    <row r="182" spans="1:27" s="19" customFormat="1" ht="38.25" customHeight="1" x14ac:dyDescent="0.2">
      <c r="A182" s="268"/>
      <c r="B182" s="71"/>
      <c r="C182" s="71"/>
      <c r="D182" s="596"/>
      <c r="E182" s="361">
        <v>1985</v>
      </c>
      <c r="F182" s="255" t="s">
        <v>15782</v>
      </c>
      <c r="G182" s="361" t="s">
        <v>15802</v>
      </c>
      <c r="H182" s="71"/>
      <c r="I182" s="71"/>
      <c r="J182" s="596"/>
      <c r="K182" s="71"/>
      <c r="L182" s="274"/>
      <c r="M182" s="71"/>
      <c r="N182" s="729"/>
      <c r="O182" s="274"/>
      <c r="P182" s="406"/>
      <c r="Q182" s="410"/>
      <c r="R182" s="410"/>
      <c r="S182" s="618"/>
      <c r="T182" s="71"/>
      <c r="U182" s="71"/>
      <c r="V182" s="274"/>
      <c r="W182" s="18"/>
      <c r="X182" s="18"/>
      <c r="Y182" s="18"/>
      <c r="Z182" s="18"/>
      <c r="AA182" s="18"/>
    </row>
    <row r="183" spans="1:27" s="19" customFormat="1" ht="38.25" customHeight="1" x14ac:dyDescent="0.2">
      <c r="A183" s="268"/>
      <c r="B183" s="71"/>
      <c r="C183" s="71"/>
      <c r="D183" s="596"/>
      <c r="E183" s="361">
        <v>1985</v>
      </c>
      <c r="F183" s="255" t="s">
        <v>15782</v>
      </c>
      <c r="G183" s="361" t="s">
        <v>15803</v>
      </c>
      <c r="H183" s="71"/>
      <c r="I183" s="71"/>
      <c r="J183" s="596"/>
      <c r="K183" s="71"/>
      <c r="L183" s="274"/>
      <c r="M183" s="71"/>
      <c r="N183" s="729"/>
      <c r="O183" s="274"/>
      <c r="P183" s="406"/>
      <c r="Q183" s="410"/>
      <c r="R183" s="410"/>
      <c r="S183" s="618"/>
      <c r="T183" s="71"/>
      <c r="U183" s="71"/>
      <c r="V183" s="274"/>
      <c r="W183" s="18"/>
      <c r="X183" s="18"/>
      <c r="Y183" s="18"/>
      <c r="Z183" s="18"/>
      <c r="AA183" s="18"/>
    </row>
    <row r="184" spans="1:27" s="19" customFormat="1" ht="36" customHeight="1" x14ac:dyDescent="0.2">
      <c r="A184" s="268"/>
      <c r="B184" s="71"/>
      <c r="C184" s="71"/>
      <c r="D184" s="596"/>
      <c r="E184" s="361">
        <v>2010</v>
      </c>
      <c r="F184" s="255" t="s">
        <v>15782</v>
      </c>
      <c r="G184" s="361" t="s">
        <v>15804</v>
      </c>
      <c r="H184" s="71"/>
      <c r="I184" s="71"/>
      <c r="J184" s="596"/>
      <c r="K184" s="71"/>
      <c r="L184" s="274"/>
      <c r="M184" s="71"/>
      <c r="N184" s="729"/>
      <c r="O184" s="274"/>
      <c r="P184" s="406"/>
      <c r="Q184" s="410"/>
      <c r="R184" s="410"/>
      <c r="S184" s="618"/>
      <c r="T184" s="71"/>
      <c r="U184" s="71"/>
      <c r="V184" s="274"/>
      <c r="W184" s="18"/>
      <c r="X184" s="18"/>
      <c r="Y184" s="18"/>
      <c r="Z184" s="18"/>
      <c r="AA184" s="18"/>
    </row>
    <row r="185" spans="1:27" s="19" customFormat="1" ht="36" customHeight="1" x14ac:dyDescent="0.2">
      <c r="A185" s="268"/>
      <c r="B185" s="71"/>
      <c r="C185" s="71"/>
      <c r="D185" s="596"/>
      <c r="E185" s="361">
        <v>1985</v>
      </c>
      <c r="F185" s="255" t="s">
        <v>15782</v>
      </c>
      <c r="G185" s="361" t="s">
        <v>15805</v>
      </c>
      <c r="H185" s="71"/>
      <c r="I185" s="71"/>
      <c r="J185" s="596"/>
      <c r="K185" s="71"/>
      <c r="L185" s="274"/>
      <c r="M185" s="71"/>
      <c r="N185" s="729"/>
      <c r="O185" s="274"/>
      <c r="P185" s="406"/>
      <c r="Q185" s="410"/>
      <c r="R185" s="410"/>
      <c r="S185" s="618"/>
      <c r="T185" s="71"/>
      <c r="U185" s="71"/>
      <c r="V185" s="274"/>
      <c r="W185" s="18"/>
      <c r="X185" s="18"/>
      <c r="Y185" s="18"/>
      <c r="Z185" s="18"/>
      <c r="AA185" s="18"/>
    </row>
    <row r="186" spans="1:27" s="19" customFormat="1" ht="35.25" customHeight="1" x14ac:dyDescent="0.2">
      <c r="A186" s="268"/>
      <c r="B186" s="71"/>
      <c r="C186" s="71"/>
      <c r="D186" s="596"/>
      <c r="E186" s="361">
        <v>1985</v>
      </c>
      <c r="F186" s="255" t="s">
        <v>15782</v>
      </c>
      <c r="G186" s="361" t="s">
        <v>15806</v>
      </c>
      <c r="H186" s="71"/>
      <c r="I186" s="71"/>
      <c r="J186" s="596"/>
      <c r="K186" s="71"/>
      <c r="L186" s="274"/>
      <c r="M186" s="71"/>
      <c r="N186" s="729"/>
      <c r="O186" s="274"/>
      <c r="P186" s="406"/>
      <c r="Q186" s="410"/>
      <c r="R186" s="410"/>
      <c r="S186" s="618"/>
      <c r="T186" s="71"/>
      <c r="U186" s="71"/>
      <c r="V186" s="274"/>
      <c r="W186" s="18"/>
      <c r="X186" s="18"/>
      <c r="Y186" s="18"/>
      <c r="Z186" s="18"/>
      <c r="AA186" s="18"/>
    </row>
    <row r="187" spans="1:27" s="19" customFormat="1" ht="39.75" customHeight="1" x14ac:dyDescent="0.2">
      <c r="A187" s="268"/>
      <c r="B187" s="71"/>
      <c r="C187" s="71"/>
      <c r="D187" s="596"/>
      <c r="E187" s="361">
        <v>1985</v>
      </c>
      <c r="F187" s="255" t="s">
        <v>15782</v>
      </c>
      <c r="G187" s="361" t="s">
        <v>15807</v>
      </c>
      <c r="H187" s="71"/>
      <c r="I187" s="71"/>
      <c r="J187" s="596"/>
      <c r="K187" s="71"/>
      <c r="L187" s="274"/>
      <c r="M187" s="71"/>
      <c r="N187" s="729"/>
      <c r="O187" s="274"/>
      <c r="P187" s="406"/>
      <c r="Q187" s="410"/>
      <c r="R187" s="410"/>
      <c r="S187" s="618"/>
      <c r="T187" s="71"/>
      <c r="U187" s="71"/>
      <c r="V187" s="274"/>
      <c r="W187" s="18"/>
      <c r="X187" s="18"/>
      <c r="Y187" s="18"/>
      <c r="Z187" s="18"/>
      <c r="AA187" s="18"/>
    </row>
    <row r="188" spans="1:27" s="19" customFormat="1" ht="33.75" customHeight="1" x14ac:dyDescent="0.2">
      <c r="A188" s="268"/>
      <c r="B188" s="71"/>
      <c r="C188" s="71"/>
      <c r="D188" s="596"/>
      <c r="E188" s="361" t="s">
        <v>15808</v>
      </c>
      <c r="F188" s="255" t="s">
        <v>15782</v>
      </c>
      <c r="G188" s="695" t="s">
        <v>15809</v>
      </c>
      <c r="H188" s="71"/>
      <c r="I188" s="71"/>
      <c r="J188" s="596"/>
      <c r="K188" s="71"/>
      <c r="L188" s="274"/>
      <c r="M188" s="71"/>
      <c r="N188" s="729"/>
      <c r="O188" s="274"/>
      <c r="P188" s="406"/>
      <c r="Q188" s="410"/>
      <c r="R188" s="410"/>
      <c r="S188" s="618"/>
      <c r="T188" s="71"/>
      <c r="U188" s="71"/>
      <c r="V188" s="274"/>
      <c r="W188" s="18"/>
      <c r="X188" s="18"/>
      <c r="Y188" s="18"/>
      <c r="Z188" s="18"/>
      <c r="AA188" s="18"/>
    </row>
    <row r="189" spans="1:27" s="19" customFormat="1" ht="63.75" customHeight="1" x14ac:dyDescent="0.2">
      <c r="A189" s="268"/>
      <c r="B189" s="71"/>
      <c r="C189" s="71"/>
      <c r="D189" s="596"/>
      <c r="E189" s="361">
        <v>1997</v>
      </c>
      <c r="F189" s="255" t="s">
        <v>15782</v>
      </c>
      <c r="G189" s="361" t="s">
        <v>15810</v>
      </c>
      <c r="H189" s="71"/>
      <c r="I189" s="71"/>
      <c r="J189" s="596"/>
      <c r="K189" s="71"/>
      <c r="L189" s="274"/>
      <c r="M189" s="71"/>
      <c r="N189" s="729"/>
      <c r="O189" s="274"/>
      <c r="P189" s="406"/>
      <c r="Q189" s="410"/>
      <c r="R189" s="410"/>
      <c r="S189" s="618"/>
      <c r="T189" s="71"/>
      <c r="U189" s="71"/>
      <c r="V189" s="274"/>
      <c r="W189" s="18"/>
      <c r="X189" s="18"/>
      <c r="Y189" s="18"/>
      <c r="Z189" s="18"/>
      <c r="AA189" s="18"/>
    </row>
    <row r="190" spans="1:27" s="19" customFormat="1" ht="40.5" customHeight="1" x14ac:dyDescent="0.2">
      <c r="A190" s="268"/>
      <c r="B190" s="71"/>
      <c r="C190" s="71"/>
      <c r="D190" s="596"/>
      <c r="E190" s="361">
        <v>1985</v>
      </c>
      <c r="F190" s="255" t="s">
        <v>15782</v>
      </c>
      <c r="G190" s="695" t="s">
        <v>15811</v>
      </c>
      <c r="H190" s="71"/>
      <c r="I190" s="71"/>
      <c r="J190" s="596"/>
      <c r="K190" s="71"/>
      <c r="L190" s="274"/>
      <c r="M190" s="71"/>
      <c r="N190" s="729"/>
      <c r="O190" s="274"/>
      <c r="P190" s="406"/>
      <c r="Q190" s="410"/>
      <c r="R190" s="410"/>
      <c r="S190" s="618"/>
      <c r="T190" s="71"/>
      <c r="U190" s="71"/>
      <c r="V190" s="274"/>
      <c r="W190" s="18"/>
      <c r="X190" s="18"/>
      <c r="Y190" s="18"/>
      <c r="Z190" s="18"/>
      <c r="AA190" s="18"/>
    </row>
    <row r="191" spans="1:27" s="19" customFormat="1" ht="53.25" customHeight="1" x14ac:dyDescent="0.2">
      <c r="A191" s="268"/>
      <c r="B191" s="71"/>
      <c r="C191" s="71"/>
      <c r="D191" s="596"/>
      <c r="E191" s="361">
        <v>1985</v>
      </c>
      <c r="F191" s="255" t="s">
        <v>15782</v>
      </c>
      <c r="G191" s="361" t="s">
        <v>15812</v>
      </c>
      <c r="H191" s="71"/>
      <c r="I191" s="71"/>
      <c r="J191" s="596"/>
      <c r="K191" s="71"/>
      <c r="L191" s="274"/>
      <c r="M191" s="71"/>
      <c r="N191" s="729"/>
      <c r="O191" s="274"/>
      <c r="P191" s="406"/>
      <c r="Q191" s="410"/>
      <c r="R191" s="410"/>
      <c r="S191" s="618"/>
      <c r="T191" s="71"/>
      <c r="U191" s="71"/>
      <c r="V191" s="274"/>
      <c r="W191" s="18"/>
      <c r="X191" s="18"/>
      <c r="Y191" s="18"/>
      <c r="Z191" s="18"/>
      <c r="AA191" s="18"/>
    </row>
    <row r="192" spans="1:27" s="19" customFormat="1" ht="33.75" customHeight="1" x14ac:dyDescent="0.2">
      <c r="A192" s="268"/>
      <c r="B192" s="71"/>
      <c r="C192" s="71"/>
      <c r="D192" s="596"/>
      <c r="E192" s="361">
        <v>2010</v>
      </c>
      <c r="F192" s="255" t="s">
        <v>15782</v>
      </c>
      <c r="G192" s="695" t="s">
        <v>15813</v>
      </c>
      <c r="H192" s="71"/>
      <c r="I192" s="71"/>
      <c r="J192" s="596"/>
      <c r="K192" s="71"/>
      <c r="L192" s="274"/>
      <c r="M192" s="71"/>
      <c r="N192" s="729"/>
      <c r="O192" s="274"/>
      <c r="P192" s="406"/>
      <c r="Q192" s="410"/>
      <c r="R192" s="410"/>
      <c r="S192" s="618"/>
      <c r="T192" s="71"/>
      <c r="U192" s="71"/>
      <c r="V192" s="274"/>
      <c r="W192" s="18"/>
      <c r="X192" s="18"/>
      <c r="Y192" s="18"/>
      <c r="Z192" s="18"/>
      <c r="AA192" s="18"/>
    </row>
    <row r="193" spans="1:27" s="19" customFormat="1" ht="36.75" customHeight="1" x14ac:dyDescent="0.2">
      <c r="A193" s="268"/>
      <c r="B193" s="71"/>
      <c r="C193" s="71"/>
      <c r="D193" s="596"/>
      <c r="E193" s="361">
        <v>1985</v>
      </c>
      <c r="F193" s="255" t="s">
        <v>15782</v>
      </c>
      <c r="G193" s="695" t="s">
        <v>15814</v>
      </c>
      <c r="H193" s="71"/>
      <c r="I193" s="71"/>
      <c r="J193" s="596"/>
      <c r="K193" s="71"/>
      <c r="L193" s="274"/>
      <c r="M193" s="71"/>
      <c r="N193" s="729"/>
      <c r="O193" s="274"/>
      <c r="P193" s="406"/>
      <c r="Q193" s="410"/>
      <c r="R193" s="410"/>
      <c r="S193" s="618"/>
      <c r="T193" s="71"/>
      <c r="U193" s="71"/>
      <c r="V193" s="274"/>
      <c r="W193" s="18"/>
      <c r="X193" s="18"/>
      <c r="Y193" s="18"/>
      <c r="Z193" s="18"/>
      <c r="AA193" s="18"/>
    </row>
    <row r="194" spans="1:27" s="19" customFormat="1" ht="42" customHeight="1" x14ac:dyDescent="0.2">
      <c r="A194" s="268"/>
      <c r="B194" s="71"/>
      <c r="C194" s="71"/>
      <c r="D194" s="596"/>
      <c r="E194" s="361">
        <v>1985</v>
      </c>
      <c r="F194" s="255" t="s">
        <v>15782</v>
      </c>
      <c r="G194" s="695" t="s">
        <v>15815</v>
      </c>
      <c r="H194" s="71"/>
      <c r="I194" s="71"/>
      <c r="J194" s="596"/>
      <c r="K194" s="71"/>
      <c r="L194" s="274"/>
      <c r="M194" s="71"/>
      <c r="N194" s="729"/>
      <c r="O194" s="274"/>
      <c r="P194" s="406"/>
      <c r="Q194" s="410"/>
      <c r="R194" s="410"/>
      <c r="S194" s="618"/>
      <c r="T194" s="71"/>
      <c r="U194" s="71"/>
      <c r="V194" s="274"/>
      <c r="W194" s="18"/>
      <c r="X194" s="18"/>
      <c r="Y194" s="18"/>
      <c r="Z194" s="18"/>
      <c r="AA194" s="18"/>
    </row>
    <row r="195" spans="1:27" s="19" customFormat="1" ht="63" customHeight="1" x14ac:dyDescent="0.2">
      <c r="A195" s="268"/>
      <c r="B195" s="71"/>
      <c r="C195" s="71"/>
      <c r="D195" s="596"/>
      <c r="E195" s="361" t="s">
        <v>15816</v>
      </c>
      <c r="F195" s="255" t="s">
        <v>15817</v>
      </c>
      <c r="G195" s="361" t="s">
        <v>15818</v>
      </c>
      <c r="H195" s="71"/>
      <c r="I195" s="71"/>
      <c r="J195" s="596"/>
      <c r="K195" s="71"/>
      <c r="L195" s="274"/>
      <c r="M195" s="71"/>
      <c r="N195" s="729"/>
      <c r="O195" s="274"/>
      <c r="P195" s="406"/>
      <c r="Q195" s="410"/>
      <c r="R195" s="410"/>
      <c r="S195" s="618"/>
      <c r="T195" s="71"/>
      <c r="U195" s="71"/>
      <c r="V195" s="274"/>
      <c r="W195" s="18"/>
      <c r="X195" s="18"/>
      <c r="Y195" s="18"/>
      <c r="Z195" s="18"/>
      <c r="AA195" s="18"/>
    </row>
    <row r="196" spans="1:27" s="19" customFormat="1" ht="64.5" customHeight="1" x14ac:dyDescent="0.2">
      <c r="A196" s="268"/>
      <c r="B196" s="71"/>
      <c r="C196" s="71"/>
      <c r="D196" s="596"/>
      <c r="E196" s="361" t="s">
        <v>15819</v>
      </c>
      <c r="F196" s="583" t="s">
        <v>15820</v>
      </c>
      <c r="G196" s="361" t="s">
        <v>15821</v>
      </c>
      <c r="H196" s="71"/>
      <c r="I196" s="71"/>
      <c r="J196" s="596"/>
      <c r="K196" s="71"/>
      <c r="L196" s="274"/>
      <c r="M196" s="71"/>
      <c r="N196" s="729"/>
      <c r="O196" s="274"/>
      <c r="P196" s="406"/>
      <c r="Q196" s="410"/>
      <c r="R196" s="410"/>
      <c r="S196" s="618"/>
      <c r="T196" s="71"/>
      <c r="U196" s="71"/>
      <c r="V196" s="274"/>
      <c r="W196" s="18"/>
      <c r="X196" s="18"/>
      <c r="Y196" s="18"/>
      <c r="Z196" s="18"/>
      <c r="AA196" s="18"/>
    </row>
    <row r="197" spans="1:27" s="19" customFormat="1" ht="39" customHeight="1" x14ac:dyDescent="0.2">
      <c r="A197" s="268"/>
      <c r="B197" s="71"/>
      <c r="C197" s="71"/>
      <c r="D197" s="596"/>
      <c r="E197" s="361">
        <v>1997</v>
      </c>
      <c r="F197" s="583" t="s">
        <v>15782</v>
      </c>
      <c r="G197" s="695" t="s">
        <v>15822</v>
      </c>
      <c r="H197" s="71"/>
      <c r="I197" s="71"/>
      <c r="J197" s="596"/>
      <c r="K197" s="71"/>
      <c r="L197" s="274"/>
      <c r="M197" s="71"/>
      <c r="N197" s="729"/>
      <c r="O197" s="274"/>
      <c r="P197" s="406"/>
      <c r="Q197" s="410"/>
      <c r="R197" s="410"/>
      <c r="S197" s="618"/>
      <c r="T197" s="71"/>
      <c r="U197" s="71"/>
      <c r="V197" s="274"/>
      <c r="W197" s="18"/>
      <c r="X197" s="18"/>
      <c r="Y197" s="18"/>
      <c r="Z197" s="18"/>
      <c r="AA197" s="18"/>
    </row>
    <row r="198" spans="1:27" s="19" customFormat="1" ht="42" customHeight="1" x14ac:dyDescent="0.2">
      <c r="A198" s="268"/>
      <c r="B198" s="71"/>
      <c r="C198" s="71"/>
      <c r="D198" s="596"/>
      <c r="E198" s="361">
        <v>1994</v>
      </c>
      <c r="F198" s="583" t="s">
        <v>15782</v>
      </c>
      <c r="G198" s="695" t="s">
        <v>15823</v>
      </c>
      <c r="H198" s="71"/>
      <c r="I198" s="71"/>
      <c r="J198" s="596"/>
      <c r="K198" s="71"/>
      <c r="L198" s="274"/>
      <c r="M198" s="71"/>
      <c r="N198" s="729"/>
      <c r="O198" s="274"/>
      <c r="P198" s="406"/>
      <c r="Q198" s="410"/>
      <c r="R198" s="410"/>
      <c r="S198" s="618"/>
      <c r="T198" s="71"/>
      <c r="U198" s="71"/>
      <c r="V198" s="274"/>
      <c r="W198" s="18"/>
      <c r="X198" s="18"/>
      <c r="Y198" s="18"/>
      <c r="Z198" s="18"/>
      <c r="AA198" s="18"/>
    </row>
    <row r="199" spans="1:27" s="19" customFormat="1" ht="42" customHeight="1" x14ac:dyDescent="0.2">
      <c r="A199" s="268"/>
      <c r="B199" s="71"/>
      <c r="C199" s="71"/>
      <c r="D199" s="596"/>
      <c r="E199" s="361">
        <v>2001</v>
      </c>
      <c r="F199" s="583" t="s">
        <v>15782</v>
      </c>
      <c r="G199" s="695" t="s">
        <v>15824</v>
      </c>
      <c r="H199" s="71"/>
      <c r="I199" s="71"/>
      <c r="J199" s="596"/>
      <c r="K199" s="71"/>
      <c r="L199" s="274"/>
      <c r="M199" s="71"/>
      <c r="N199" s="729"/>
      <c r="O199" s="274"/>
      <c r="P199" s="406"/>
      <c r="Q199" s="410"/>
      <c r="R199" s="410"/>
      <c r="S199" s="618"/>
      <c r="T199" s="71"/>
      <c r="U199" s="71"/>
      <c r="V199" s="274"/>
      <c r="W199" s="18"/>
      <c r="X199" s="18"/>
      <c r="Y199" s="18"/>
      <c r="Z199" s="18"/>
      <c r="AA199" s="18"/>
    </row>
    <row r="200" spans="1:27" s="19" customFormat="1" ht="41.25" customHeight="1" x14ac:dyDescent="0.2">
      <c r="A200" s="268"/>
      <c r="B200" s="71"/>
      <c r="C200" s="71"/>
      <c r="D200" s="596"/>
      <c r="E200" s="361">
        <v>2006</v>
      </c>
      <c r="F200" s="583" t="s">
        <v>15782</v>
      </c>
      <c r="G200" s="695" t="s">
        <v>15825</v>
      </c>
      <c r="H200" s="71"/>
      <c r="I200" s="71"/>
      <c r="J200" s="596"/>
      <c r="K200" s="71"/>
      <c r="L200" s="274"/>
      <c r="M200" s="71"/>
      <c r="N200" s="729"/>
      <c r="O200" s="274"/>
      <c r="P200" s="406"/>
      <c r="Q200" s="410"/>
      <c r="R200" s="410"/>
      <c r="S200" s="618"/>
      <c r="T200" s="71"/>
      <c r="U200" s="71"/>
      <c r="V200" s="274"/>
      <c r="W200" s="18"/>
      <c r="X200" s="18"/>
      <c r="Y200" s="18"/>
      <c r="Z200" s="18"/>
      <c r="AA200" s="18"/>
    </row>
    <row r="201" spans="1:27" s="19" customFormat="1" ht="37.5" customHeight="1" x14ac:dyDescent="0.2">
      <c r="A201" s="268"/>
      <c r="B201" s="71"/>
      <c r="C201" s="71"/>
      <c r="D201" s="596"/>
      <c r="E201" s="361">
        <v>1985</v>
      </c>
      <c r="F201" s="583" t="s">
        <v>15782</v>
      </c>
      <c r="G201" s="695" t="s">
        <v>15826</v>
      </c>
      <c r="H201" s="71"/>
      <c r="I201" s="71"/>
      <c r="J201" s="596"/>
      <c r="K201" s="71"/>
      <c r="L201" s="274"/>
      <c r="M201" s="71"/>
      <c r="N201" s="729"/>
      <c r="O201" s="274"/>
      <c r="P201" s="406"/>
      <c r="Q201" s="410"/>
      <c r="R201" s="410"/>
      <c r="S201" s="618"/>
      <c r="T201" s="71"/>
      <c r="U201" s="71"/>
      <c r="V201" s="274"/>
      <c r="W201" s="18"/>
      <c r="X201" s="18"/>
      <c r="Y201" s="18"/>
      <c r="Z201" s="18"/>
      <c r="AA201" s="18"/>
    </row>
    <row r="202" spans="1:27" s="19" customFormat="1" ht="39.75" customHeight="1" x14ac:dyDescent="0.2">
      <c r="A202" s="268"/>
      <c r="B202" s="71"/>
      <c r="C202" s="71"/>
      <c r="D202" s="596"/>
      <c r="E202" s="361">
        <v>2008</v>
      </c>
      <c r="F202" s="583" t="s">
        <v>15782</v>
      </c>
      <c r="G202" s="695" t="s">
        <v>15827</v>
      </c>
      <c r="H202" s="71"/>
      <c r="I202" s="71"/>
      <c r="J202" s="596"/>
      <c r="K202" s="71"/>
      <c r="L202" s="274"/>
      <c r="M202" s="71"/>
      <c r="N202" s="729"/>
      <c r="O202" s="274"/>
      <c r="P202" s="406"/>
      <c r="Q202" s="410"/>
      <c r="R202" s="410"/>
      <c r="S202" s="618"/>
      <c r="T202" s="71"/>
      <c r="U202" s="71"/>
      <c r="V202" s="274"/>
      <c r="W202" s="18"/>
      <c r="X202" s="18"/>
      <c r="Y202" s="18"/>
      <c r="Z202" s="18"/>
      <c r="AA202" s="18"/>
    </row>
    <row r="203" spans="1:27" s="19" customFormat="1" ht="60.75" customHeight="1" x14ac:dyDescent="0.2">
      <c r="A203" s="268"/>
      <c r="B203" s="71"/>
      <c r="C203" s="71"/>
      <c r="D203" s="596"/>
      <c r="E203" s="361">
        <v>2001</v>
      </c>
      <c r="F203" s="583" t="s">
        <v>15782</v>
      </c>
      <c r="G203" s="361" t="s">
        <v>15828</v>
      </c>
      <c r="H203" s="71"/>
      <c r="I203" s="71"/>
      <c r="J203" s="596"/>
      <c r="K203" s="71"/>
      <c r="L203" s="274"/>
      <c r="M203" s="71"/>
      <c r="N203" s="729"/>
      <c r="O203" s="274"/>
      <c r="P203" s="406"/>
      <c r="Q203" s="410"/>
      <c r="R203" s="410"/>
      <c r="S203" s="618"/>
      <c r="T203" s="71"/>
      <c r="U203" s="71"/>
      <c r="V203" s="274"/>
      <c r="W203" s="18"/>
      <c r="X203" s="18"/>
      <c r="Y203" s="18"/>
      <c r="Z203" s="18"/>
      <c r="AA203" s="18"/>
    </row>
    <row r="204" spans="1:27" s="19" customFormat="1" ht="37.5" customHeight="1" x14ac:dyDescent="0.2">
      <c r="A204" s="268"/>
      <c r="B204" s="71"/>
      <c r="C204" s="71"/>
      <c r="D204" s="596"/>
      <c r="E204" s="361">
        <v>1998</v>
      </c>
      <c r="F204" s="583" t="s">
        <v>15782</v>
      </c>
      <c r="G204" s="695" t="s">
        <v>15829</v>
      </c>
      <c r="H204" s="71"/>
      <c r="I204" s="71"/>
      <c r="J204" s="596"/>
      <c r="K204" s="71"/>
      <c r="L204" s="274"/>
      <c r="M204" s="71"/>
      <c r="N204" s="729"/>
      <c r="O204" s="274"/>
      <c r="P204" s="406"/>
      <c r="Q204" s="410"/>
      <c r="R204" s="410"/>
      <c r="S204" s="618"/>
      <c r="T204" s="71"/>
      <c r="U204" s="71"/>
      <c r="V204" s="274"/>
      <c r="W204" s="18"/>
      <c r="X204" s="18"/>
      <c r="Y204" s="18"/>
      <c r="Z204" s="18"/>
      <c r="AA204" s="18"/>
    </row>
    <row r="205" spans="1:27" s="19" customFormat="1" ht="39" customHeight="1" x14ac:dyDescent="0.2">
      <c r="A205" s="268"/>
      <c r="B205" s="71"/>
      <c r="C205" s="71"/>
      <c r="D205" s="596"/>
      <c r="E205" s="361">
        <v>2014</v>
      </c>
      <c r="F205" s="583" t="s">
        <v>15782</v>
      </c>
      <c r="G205" s="695" t="s">
        <v>15830</v>
      </c>
      <c r="H205" s="71"/>
      <c r="I205" s="71"/>
      <c r="J205" s="596"/>
      <c r="K205" s="71"/>
      <c r="L205" s="274"/>
      <c r="M205" s="71"/>
      <c r="N205" s="729"/>
      <c r="O205" s="274"/>
      <c r="P205" s="406"/>
      <c r="Q205" s="410"/>
      <c r="R205" s="410"/>
      <c r="S205" s="618"/>
      <c r="T205" s="71"/>
      <c r="U205" s="71"/>
      <c r="V205" s="274"/>
      <c r="W205" s="18"/>
      <c r="X205" s="18"/>
      <c r="Y205" s="18"/>
      <c r="Z205" s="18"/>
      <c r="AA205" s="18"/>
    </row>
    <row r="206" spans="1:27" s="19" customFormat="1" ht="54" customHeight="1" x14ac:dyDescent="0.2">
      <c r="A206" s="268"/>
      <c r="B206" s="71"/>
      <c r="C206" s="71"/>
      <c r="D206" s="596"/>
      <c r="E206" s="361">
        <v>1985</v>
      </c>
      <c r="F206" s="583" t="s">
        <v>15782</v>
      </c>
      <c r="G206" s="361" t="s">
        <v>15831</v>
      </c>
      <c r="H206" s="71"/>
      <c r="I206" s="71"/>
      <c r="J206" s="596"/>
      <c r="K206" s="71"/>
      <c r="L206" s="274"/>
      <c r="M206" s="71"/>
      <c r="N206" s="729"/>
      <c r="O206" s="274"/>
      <c r="P206" s="406"/>
      <c r="Q206" s="410"/>
      <c r="R206" s="410"/>
      <c r="S206" s="618"/>
      <c r="T206" s="71"/>
      <c r="U206" s="71"/>
      <c r="V206" s="274"/>
      <c r="W206" s="18"/>
      <c r="X206" s="18"/>
      <c r="Y206" s="18"/>
      <c r="Z206" s="18"/>
      <c r="AA206" s="18"/>
    </row>
    <row r="207" spans="1:27" s="19" customFormat="1" ht="62.25" customHeight="1" x14ac:dyDescent="0.2">
      <c r="A207" s="268"/>
      <c r="B207" s="71"/>
      <c r="C207" s="71"/>
      <c r="D207" s="596"/>
      <c r="E207" s="361">
        <v>1985</v>
      </c>
      <c r="F207" s="583" t="s">
        <v>15782</v>
      </c>
      <c r="G207" s="361" t="s">
        <v>15832</v>
      </c>
      <c r="H207" s="71"/>
      <c r="I207" s="71"/>
      <c r="J207" s="596"/>
      <c r="K207" s="71"/>
      <c r="L207" s="274"/>
      <c r="M207" s="71"/>
      <c r="N207" s="729"/>
      <c r="O207" s="274"/>
      <c r="P207" s="406"/>
      <c r="Q207" s="410"/>
      <c r="R207" s="410"/>
      <c r="S207" s="618"/>
      <c r="T207" s="71"/>
      <c r="U207" s="71"/>
      <c r="V207" s="274"/>
      <c r="W207" s="18"/>
      <c r="X207" s="18"/>
      <c r="Y207" s="18"/>
      <c r="Z207" s="18"/>
      <c r="AA207" s="18"/>
    </row>
    <row r="208" spans="1:27" s="19" customFormat="1" ht="54" customHeight="1" x14ac:dyDescent="0.2">
      <c r="A208" s="268"/>
      <c r="B208" s="71"/>
      <c r="C208" s="71"/>
      <c r="D208" s="596"/>
      <c r="E208" s="361">
        <v>1985</v>
      </c>
      <c r="F208" s="583" t="s">
        <v>15782</v>
      </c>
      <c r="G208" s="361" t="s">
        <v>15833</v>
      </c>
      <c r="H208" s="71"/>
      <c r="I208" s="71"/>
      <c r="J208" s="596"/>
      <c r="K208" s="71"/>
      <c r="L208" s="274"/>
      <c r="M208" s="71"/>
      <c r="N208" s="729"/>
      <c r="O208" s="274"/>
      <c r="P208" s="406"/>
      <c r="Q208" s="410"/>
      <c r="R208" s="410"/>
      <c r="S208" s="618"/>
      <c r="T208" s="71"/>
      <c r="U208" s="71"/>
      <c r="V208" s="274"/>
      <c r="W208" s="18"/>
      <c r="X208" s="18"/>
      <c r="Y208" s="18"/>
      <c r="Z208" s="18"/>
      <c r="AA208" s="18"/>
    </row>
    <row r="209" spans="1:27" s="19" customFormat="1" ht="38.25" customHeight="1" x14ac:dyDescent="0.2">
      <c r="A209" s="268"/>
      <c r="B209" s="71"/>
      <c r="C209" s="71"/>
      <c r="D209" s="596"/>
      <c r="E209" s="361">
        <v>1985</v>
      </c>
      <c r="F209" s="583" t="s">
        <v>15782</v>
      </c>
      <c r="G209" s="695" t="s">
        <v>15834</v>
      </c>
      <c r="H209" s="71"/>
      <c r="I209" s="71"/>
      <c r="J209" s="596"/>
      <c r="K209" s="71"/>
      <c r="L209" s="274"/>
      <c r="M209" s="71"/>
      <c r="N209" s="729"/>
      <c r="O209" s="274"/>
      <c r="P209" s="406"/>
      <c r="Q209" s="410"/>
      <c r="R209" s="410"/>
      <c r="S209" s="618"/>
      <c r="T209" s="71"/>
      <c r="U209" s="71"/>
      <c r="V209" s="274"/>
      <c r="W209" s="18"/>
      <c r="X209" s="18"/>
      <c r="Y209" s="18"/>
      <c r="Z209" s="18"/>
      <c r="AA209" s="18"/>
    </row>
    <row r="210" spans="1:27" s="19" customFormat="1" ht="48" customHeight="1" x14ac:dyDescent="0.2">
      <c r="A210" s="268"/>
      <c r="B210" s="71"/>
      <c r="C210" s="71"/>
      <c r="D210" s="596"/>
      <c r="E210" s="361">
        <v>1985</v>
      </c>
      <c r="F210" s="583" t="s">
        <v>15782</v>
      </c>
      <c r="G210" s="361" t="s">
        <v>15835</v>
      </c>
      <c r="H210" s="71"/>
      <c r="I210" s="71"/>
      <c r="J210" s="596"/>
      <c r="K210" s="71"/>
      <c r="L210" s="274"/>
      <c r="M210" s="71"/>
      <c r="N210" s="729"/>
      <c r="O210" s="274"/>
      <c r="P210" s="406"/>
      <c r="Q210" s="410"/>
      <c r="R210" s="410"/>
      <c r="S210" s="618"/>
      <c r="T210" s="71"/>
      <c r="U210" s="71"/>
      <c r="V210" s="274"/>
      <c r="W210" s="18"/>
      <c r="X210" s="18"/>
      <c r="Y210" s="18"/>
      <c r="Z210" s="18"/>
      <c r="AA210" s="18"/>
    </row>
    <row r="211" spans="1:27" s="19" customFormat="1" ht="36.75" customHeight="1" x14ac:dyDescent="0.2">
      <c r="A211" s="268"/>
      <c r="B211" s="71"/>
      <c r="C211" s="71"/>
      <c r="D211" s="596"/>
      <c r="E211" s="361">
        <v>1985</v>
      </c>
      <c r="F211" s="583" t="s">
        <v>15782</v>
      </c>
      <c r="G211" s="695" t="s">
        <v>15836</v>
      </c>
      <c r="H211" s="71"/>
      <c r="I211" s="71"/>
      <c r="J211" s="596"/>
      <c r="K211" s="71"/>
      <c r="L211" s="274"/>
      <c r="M211" s="71"/>
      <c r="N211" s="729"/>
      <c r="O211" s="274"/>
      <c r="P211" s="406"/>
      <c r="Q211" s="410"/>
      <c r="R211" s="410"/>
      <c r="S211" s="618"/>
      <c r="T211" s="71"/>
      <c r="U211" s="71"/>
      <c r="V211" s="274"/>
      <c r="W211" s="18"/>
      <c r="X211" s="18"/>
      <c r="Y211" s="18"/>
      <c r="Z211" s="18"/>
      <c r="AA211" s="18"/>
    </row>
    <row r="212" spans="1:27" s="19" customFormat="1" ht="62.25" customHeight="1" x14ac:dyDescent="0.2">
      <c r="A212" s="268"/>
      <c r="B212" s="71"/>
      <c r="C212" s="71"/>
      <c r="D212" s="596"/>
      <c r="E212" s="361">
        <v>2008</v>
      </c>
      <c r="F212" s="583" t="s">
        <v>15837</v>
      </c>
      <c r="G212" s="285" t="s">
        <v>15838</v>
      </c>
      <c r="H212" s="71"/>
      <c r="I212" s="71"/>
      <c r="J212" s="596"/>
      <c r="K212" s="71"/>
      <c r="L212" s="274"/>
      <c r="M212" s="71"/>
      <c r="N212" s="729"/>
      <c r="O212" s="274"/>
      <c r="P212" s="406"/>
      <c r="Q212" s="410"/>
      <c r="R212" s="410"/>
      <c r="S212" s="618"/>
      <c r="T212" s="71"/>
      <c r="U212" s="71"/>
      <c r="V212" s="274"/>
      <c r="W212" s="18"/>
      <c r="X212" s="18"/>
      <c r="Y212" s="18"/>
      <c r="Z212" s="18"/>
      <c r="AA212" s="18"/>
    </row>
    <row r="213" spans="1:27" s="19" customFormat="1" ht="43.5" customHeight="1" x14ac:dyDescent="0.2">
      <c r="A213" s="268"/>
      <c r="B213" s="71"/>
      <c r="C213" s="71"/>
      <c r="D213" s="596"/>
      <c r="E213" s="361">
        <v>1985</v>
      </c>
      <c r="F213" s="583" t="s">
        <v>15782</v>
      </c>
      <c r="G213" s="695" t="s">
        <v>15839</v>
      </c>
      <c r="H213" s="71"/>
      <c r="I213" s="71"/>
      <c r="J213" s="596"/>
      <c r="K213" s="71"/>
      <c r="L213" s="274"/>
      <c r="M213" s="71"/>
      <c r="N213" s="729"/>
      <c r="O213" s="274"/>
      <c r="P213" s="406"/>
      <c r="Q213" s="410"/>
      <c r="R213" s="410"/>
      <c r="S213" s="618"/>
      <c r="T213" s="71"/>
      <c r="U213" s="71"/>
      <c r="V213" s="274"/>
      <c r="W213" s="18"/>
      <c r="X213" s="18"/>
      <c r="Y213" s="18"/>
      <c r="Z213" s="18"/>
      <c r="AA213" s="18"/>
    </row>
    <row r="214" spans="1:27" s="19" customFormat="1" ht="52.5" customHeight="1" x14ac:dyDescent="0.2">
      <c r="A214" s="268"/>
      <c r="B214" s="71"/>
      <c r="C214" s="71"/>
      <c r="D214" s="596"/>
      <c r="E214" s="361">
        <v>1985</v>
      </c>
      <c r="F214" s="583" t="s">
        <v>15782</v>
      </c>
      <c r="G214" s="361" t="s">
        <v>15840</v>
      </c>
      <c r="H214" s="71"/>
      <c r="I214" s="71"/>
      <c r="J214" s="596"/>
      <c r="K214" s="71"/>
      <c r="L214" s="274"/>
      <c r="M214" s="71"/>
      <c r="N214" s="729"/>
      <c r="O214" s="274"/>
      <c r="P214" s="406"/>
      <c r="Q214" s="410"/>
      <c r="R214" s="410"/>
      <c r="S214" s="618"/>
      <c r="T214" s="71"/>
      <c r="U214" s="71"/>
      <c r="V214" s="274"/>
      <c r="W214" s="18"/>
      <c r="X214" s="18"/>
      <c r="Y214" s="18"/>
      <c r="Z214" s="18"/>
      <c r="AA214" s="18"/>
    </row>
    <row r="215" spans="1:27" s="19" customFormat="1" ht="40.5" customHeight="1" x14ac:dyDescent="0.2">
      <c r="A215" s="268"/>
      <c r="B215" s="71"/>
      <c r="C215" s="71"/>
      <c r="D215" s="596"/>
      <c r="E215" s="361">
        <v>1985</v>
      </c>
      <c r="F215" s="583" t="s">
        <v>15782</v>
      </c>
      <c r="G215" s="695" t="s">
        <v>15841</v>
      </c>
      <c r="H215" s="71"/>
      <c r="I215" s="71"/>
      <c r="J215" s="596"/>
      <c r="K215" s="71"/>
      <c r="L215" s="274"/>
      <c r="M215" s="71"/>
      <c r="N215" s="729"/>
      <c r="O215" s="274"/>
      <c r="P215" s="406"/>
      <c r="Q215" s="410"/>
      <c r="R215" s="410"/>
      <c r="S215" s="618"/>
      <c r="T215" s="71"/>
      <c r="U215" s="71"/>
      <c r="V215" s="274"/>
      <c r="W215" s="18"/>
      <c r="X215" s="18"/>
      <c r="Y215" s="18"/>
      <c r="Z215" s="18"/>
      <c r="AA215" s="18"/>
    </row>
    <row r="216" spans="1:27" s="19" customFormat="1" ht="49.5" customHeight="1" x14ac:dyDescent="0.2">
      <c r="A216" s="268"/>
      <c r="B216" s="71"/>
      <c r="C216" s="71"/>
      <c r="D216" s="596"/>
      <c r="E216" s="361">
        <v>1985</v>
      </c>
      <c r="F216" s="583" t="s">
        <v>15782</v>
      </c>
      <c r="G216" s="361" t="s">
        <v>15842</v>
      </c>
      <c r="H216" s="71"/>
      <c r="I216" s="71"/>
      <c r="J216" s="596"/>
      <c r="K216" s="71"/>
      <c r="L216" s="274"/>
      <c r="M216" s="71"/>
      <c r="N216" s="729"/>
      <c r="O216" s="274"/>
      <c r="P216" s="406"/>
      <c r="Q216" s="410"/>
      <c r="R216" s="410"/>
      <c r="S216" s="618"/>
      <c r="T216" s="71"/>
      <c r="U216" s="71"/>
      <c r="V216" s="274"/>
      <c r="W216" s="18"/>
      <c r="X216" s="18"/>
      <c r="Y216" s="18"/>
      <c r="Z216" s="18"/>
      <c r="AA216" s="18"/>
    </row>
    <row r="217" spans="1:27" s="19" customFormat="1" ht="51" customHeight="1" x14ac:dyDescent="0.2">
      <c r="A217" s="268"/>
      <c r="B217" s="71"/>
      <c r="C217" s="71"/>
      <c r="D217" s="596"/>
      <c r="E217" s="361">
        <v>2009</v>
      </c>
      <c r="F217" s="583" t="s">
        <v>15782</v>
      </c>
      <c r="G217" s="361" t="s">
        <v>15843</v>
      </c>
      <c r="H217" s="71"/>
      <c r="I217" s="71"/>
      <c r="J217" s="596"/>
      <c r="K217" s="71"/>
      <c r="L217" s="274"/>
      <c r="M217" s="71"/>
      <c r="N217" s="729"/>
      <c r="O217" s="274"/>
      <c r="P217" s="406"/>
      <c r="Q217" s="410"/>
      <c r="R217" s="410"/>
      <c r="S217" s="618"/>
      <c r="T217" s="71"/>
      <c r="U217" s="71"/>
      <c r="V217" s="274"/>
      <c r="W217" s="18"/>
      <c r="X217" s="18"/>
      <c r="Y217" s="18"/>
      <c r="Z217" s="18"/>
      <c r="AA217" s="18"/>
    </row>
    <row r="218" spans="1:27" s="19" customFormat="1" ht="53.25" customHeight="1" x14ac:dyDescent="0.2">
      <c r="A218" s="268"/>
      <c r="B218" s="71"/>
      <c r="C218" s="71"/>
      <c r="D218" s="596"/>
      <c r="E218" s="361">
        <v>1985</v>
      </c>
      <c r="F218" s="583" t="s">
        <v>15782</v>
      </c>
      <c r="G218" s="361" t="s">
        <v>15844</v>
      </c>
      <c r="H218" s="71"/>
      <c r="I218" s="71"/>
      <c r="J218" s="596"/>
      <c r="K218" s="71"/>
      <c r="L218" s="274"/>
      <c r="M218" s="71"/>
      <c r="N218" s="729"/>
      <c r="O218" s="274"/>
      <c r="P218" s="406"/>
      <c r="Q218" s="410"/>
      <c r="R218" s="410"/>
      <c r="S218" s="618"/>
      <c r="T218" s="71"/>
      <c r="U218" s="71"/>
      <c r="V218" s="274"/>
      <c r="W218" s="18"/>
      <c r="X218" s="18"/>
      <c r="Y218" s="18"/>
      <c r="Z218" s="18"/>
      <c r="AA218" s="18"/>
    </row>
    <row r="219" spans="1:27" s="19" customFormat="1" ht="48.75" customHeight="1" x14ac:dyDescent="0.2">
      <c r="A219" s="268"/>
      <c r="B219" s="71"/>
      <c r="C219" s="71"/>
      <c r="D219" s="596"/>
      <c r="E219" s="361">
        <v>1985</v>
      </c>
      <c r="F219" s="583" t="s">
        <v>15782</v>
      </c>
      <c r="G219" s="361" t="s">
        <v>15845</v>
      </c>
      <c r="H219" s="71"/>
      <c r="I219" s="71"/>
      <c r="J219" s="596"/>
      <c r="K219" s="71"/>
      <c r="L219" s="274"/>
      <c r="M219" s="71"/>
      <c r="N219" s="729"/>
      <c r="O219" s="274"/>
      <c r="P219" s="406"/>
      <c r="Q219" s="410"/>
      <c r="R219" s="410"/>
      <c r="S219" s="618"/>
      <c r="T219" s="71"/>
      <c r="U219" s="71"/>
      <c r="V219" s="274"/>
      <c r="W219" s="18"/>
      <c r="X219" s="18"/>
      <c r="Y219" s="18"/>
      <c r="Z219" s="18"/>
      <c r="AA219" s="18"/>
    </row>
    <row r="220" spans="1:27" s="19" customFormat="1" ht="45.75" customHeight="1" x14ac:dyDescent="0.2">
      <c r="A220" s="268"/>
      <c r="B220" s="71"/>
      <c r="C220" s="71"/>
      <c r="D220" s="596"/>
      <c r="E220" s="361">
        <v>1985</v>
      </c>
      <c r="F220" s="583" t="s">
        <v>15782</v>
      </c>
      <c r="G220" s="695" t="s">
        <v>15846</v>
      </c>
      <c r="H220" s="71"/>
      <c r="I220" s="71"/>
      <c r="J220" s="596"/>
      <c r="K220" s="71"/>
      <c r="L220" s="274"/>
      <c r="M220" s="71"/>
      <c r="N220" s="729"/>
      <c r="O220" s="274"/>
      <c r="P220" s="406"/>
      <c r="Q220" s="410"/>
      <c r="R220" s="410"/>
      <c r="S220" s="618"/>
      <c r="T220" s="71"/>
      <c r="U220" s="71"/>
      <c r="V220" s="274"/>
      <c r="W220" s="18"/>
      <c r="X220" s="18"/>
      <c r="Y220" s="18"/>
      <c r="Z220" s="18"/>
      <c r="AA220" s="18"/>
    </row>
    <row r="221" spans="1:27" s="19" customFormat="1" ht="48.75" customHeight="1" x14ac:dyDescent="0.2">
      <c r="A221" s="268"/>
      <c r="B221" s="71"/>
      <c r="C221" s="71"/>
      <c r="D221" s="596"/>
      <c r="E221" s="361">
        <v>2009</v>
      </c>
      <c r="F221" s="583" t="s">
        <v>15782</v>
      </c>
      <c r="G221" s="361" t="s">
        <v>15847</v>
      </c>
      <c r="H221" s="71"/>
      <c r="I221" s="71"/>
      <c r="J221" s="596"/>
      <c r="K221" s="71"/>
      <c r="L221" s="274"/>
      <c r="M221" s="71"/>
      <c r="N221" s="729"/>
      <c r="O221" s="274"/>
      <c r="P221" s="406"/>
      <c r="Q221" s="410"/>
      <c r="R221" s="410"/>
      <c r="S221" s="618"/>
      <c r="T221" s="71"/>
      <c r="U221" s="71"/>
      <c r="V221" s="274"/>
      <c r="W221" s="18"/>
      <c r="X221" s="18"/>
      <c r="Y221" s="18"/>
      <c r="Z221" s="18"/>
      <c r="AA221" s="18"/>
    </row>
    <row r="222" spans="1:27" s="19" customFormat="1" ht="51.75" customHeight="1" x14ac:dyDescent="0.2">
      <c r="A222" s="268"/>
      <c r="B222" s="71"/>
      <c r="C222" s="71"/>
      <c r="D222" s="596"/>
      <c r="E222" s="361">
        <v>2010</v>
      </c>
      <c r="F222" s="583" t="s">
        <v>15782</v>
      </c>
      <c r="G222" s="361" t="s">
        <v>15848</v>
      </c>
      <c r="H222" s="71"/>
      <c r="I222" s="71"/>
      <c r="J222" s="596"/>
      <c r="K222" s="71"/>
      <c r="L222" s="274"/>
      <c r="M222" s="71"/>
      <c r="N222" s="729"/>
      <c r="O222" s="274"/>
      <c r="P222" s="406"/>
      <c r="Q222" s="410"/>
      <c r="R222" s="410"/>
      <c r="S222" s="618"/>
      <c r="T222" s="71"/>
      <c r="U222" s="71"/>
      <c r="V222" s="274"/>
      <c r="W222" s="18"/>
      <c r="X222" s="18"/>
      <c r="Y222" s="18"/>
      <c r="Z222" s="18"/>
      <c r="AA222" s="18"/>
    </row>
    <row r="223" spans="1:27" s="19" customFormat="1" ht="51.75" customHeight="1" x14ac:dyDescent="0.2">
      <c r="A223" s="268"/>
      <c r="B223" s="71"/>
      <c r="C223" s="71"/>
      <c r="D223" s="596"/>
      <c r="E223" s="361">
        <v>1995</v>
      </c>
      <c r="F223" s="583" t="s">
        <v>15849</v>
      </c>
      <c r="G223" s="361" t="s">
        <v>15850</v>
      </c>
      <c r="H223" s="71"/>
      <c r="I223" s="71"/>
      <c r="J223" s="596"/>
      <c r="K223" s="71"/>
      <c r="L223" s="274"/>
      <c r="M223" s="71"/>
      <c r="N223" s="729"/>
      <c r="O223" s="274"/>
      <c r="P223" s="406"/>
      <c r="Q223" s="410"/>
      <c r="R223" s="410"/>
      <c r="S223" s="618"/>
      <c r="T223" s="71"/>
      <c r="U223" s="71"/>
      <c r="V223" s="274"/>
      <c r="W223" s="18"/>
      <c r="X223" s="18"/>
      <c r="Y223" s="18"/>
      <c r="Z223" s="18"/>
      <c r="AA223" s="18"/>
    </row>
    <row r="224" spans="1:27" s="19" customFormat="1" ht="40.5" customHeight="1" x14ac:dyDescent="0.2">
      <c r="A224" s="268"/>
      <c r="B224" s="71"/>
      <c r="C224" s="71"/>
      <c r="D224" s="596"/>
      <c r="E224" s="361">
        <v>1985</v>
      </c>
      <c r="F224" s="583" t="s">
        <v>15782</v>
      </c>
      <c r="G224" s="695" t="s">
        <v>15851</v>
      </c>
      <c r="H224" s="71"/>
      <c r="I224" s="71"/>
      <c r="J224" s="596"/>
      <c r="K224" s="71"/>
      <c r="L224" s="274"/>
      <c r="M224" s="71"/>
      <c r="N224" s="729"/>
      <c r="O224" s="274"/>
      <c r="P224" s="406"/>
      <c r="Q224" s="410"/>
      <c r="R224" s="410"/>
      <c r="S224" s="618"/>
      <c r="T224" s="71"/>
      <c r="U224" s="71"/>
      <c r="V224" s="274"/>
      <c r="W224" s="18"/>
      <c r="X224" s="18"/>
      <c r="Y224" s="18"/>
      <c r="Z224" s="18"/>
      <c r="AA224" s="18"/>
    </row>
    <row r="225" spans="1:27" s="19" customFormat="1" ht="38.25" customHeight="1" x14ac:dyDescent="0.2">
      <c r="A225" s="268"/>
      <c r="B225" s="71"/>
      <c r="C225" s="71"/>
      <c r="D225" s="596"/>
      <c r="E225" s="361">
        <v>1991</v>
      </c>
      <c r="F225" s="583" t="s">
        <v>15782</v>
      </c>
      <c r="G225" s="695" t="s">
        <v>15852</v>
      </c>
      <c r="H225" s="71"/>
      <c r="I225" s="71"/>
      <c r="J225" s="596"/>
      <c r="K225" s="71"/>
      <c r="L225" s="274"/>
      <c r="M225" s="71"/>
      <c r="N225" s="729"/>
      <c r="O225" s="274"/>
      <c r="P225" s="406"/>
      <c r="Q225" s="410"/>
      <c r="R225" s="410"/>
      <c r="S225" s="618"/>
      <c r="T225" s="71"/>
      <c r="U225" s="71"/>
      <c r="V225" s="274"/>
      <c r="W225" s="18"/>
      <c r="X225" s="18"/>
      <c r="Y225" s="18"/>
      <c r="Z225" s="18"/>
      <c r="AA225" s="18"/>
    </row>
    <row r="226" spans="1:27" s="19" customFormat="1" ht="36" customHeight="1" x14ac:dyDescent="0.2">
      <c r="A226" s="268"/>
      <c r="B226" s="71"/>
      <c r="C226" s="71"/>
      <c r="D226" s="596"/>
      <c r="E226" s="361">
        <v>1985</v>
      </c>
      <c r="F226" s="583" t="s">
        <v>15782</v>
      </c>
      <c r="G226" s="361" t="s">
        <v>15853</v>
      </c>
      <c r="H226" s="71"/>
      <c r="I226" s="71"/>
      <c r="J226" s="596"/>
      <c r="K226" s="71"/>
      <c r="L226" s="274"/>
      <c r="M226" s="71"/>
      <c r="N226" s="729"/>
      <c r="O226" s="274"/>
      <c r="P226" s="406"/>
      <c r="Q226" s="410"/>
      <c r="R226" s="410"/>
      <c r="S226" s="618"/>
      <c r="T226" s="71"/>
      <c r="U226" s="71"/>
      <c r="V226" s="274"/>
      <c r="W226" s="18"/>
      <c r="X226" s="18"/>
      <c r="Y226" s="18"/>
      <c r="Z226" s="18"/>
      <c r="AA226" s="18"/>
    </row>
    <row r="227" spans="1:27" s="19" customFormat="1" ht="49.5" customHeight="1" x14ac:dyDescent="0.2">
      <c r="A227" s="268"/>
      <c r="B227" s="71"/>
      <c r="C227" s="71"/>
      <c r="D227" s="596"/>
      <c r="E227" s="361">
        <v>1994</v>
      </c>
      <c r="F227" s="583" t="s">
        <v>15782</v>
      </c>
      <c r="G227" s="361" t="s">
        <v>15854</v>
      </c>
      <c r="H227" s="71"/>
      <c r="I227" s="71"/>
      <c r="J227" s="596"/>
      <c r="K227" s="71"/>
      <c r="L227" s="274"/>
      <c r="M227" s="71"/>
      <c r="N227" s="729"/>
      <c r="O227" s="274"/>
      <c r="P227" s="406"/>
      <c r="Q227" s="410"/>
      <c r="R227" s="410"/>
      <c r="S227" s="618"/>
      <c r="T227" s="71"/>
      <c r="U227" s="71"/>
      <c r="V227" s="274"/>
      <c r="W227" s="18"/>
      <c r="X227" s="18"/>
      <c r="Y227" s="18"/>
      <c r="Z227" s="18"/>
      <c r="AA227" s="18"/>
    </row>
    <row r="228" spans="1:27" s="19" customFormat="1" ht="38.25" customHeight="1" x14ac:dyDescent="0.2">
      <c r="A228" s="268"/>
      <c r="B228" s="71"/>
      <c r="C228" s="71"/>
      <c r="D228" s="596"/>
      <c r="E228" s="361">
        <v>1985</v>
      </c>
      <c r="F228" s="583" t="s">
        <v>15782</v>
      </c>
      <c r="G228" s="695" t="s">
        <v>15855</v>
      </c>
      <c r="H228" s="71"/>
      <c r="I228" s="71"/>
      <c r="J228" s="596"/>
      <c r="K228" s="71"/>
      <c r="L228" s="274"/>
      <c r="M228" s="71"/>
      <c r="N228" s="729"/>
      <c r="O228" s="274"/>
      <c r="P228" s="406"/>
      <c r="Q228" s="410"/>
      <c r="R228" s="410"/>
      <c r="S228" s="618"/>
      <c r="T228" s="71"/>
      <c r="U228" s="71"/>
      <c r="V228" s="274"/>
      <c r="W228" s="18"/>
      <c r="X228" s="18"/>
      <c r="Y228" s="18"/>
      <c r="Z228" s="18"/>
      <c r="AA228" s="18"/>
    </row>
    <row r="229" spans="1:27" s="19" customFormat="1" ht="59.25" customHeight="1" x14ac:dyDescent="0.2">
      <c r="A229" s="268"/>
      <c r="B229" s="71"/>
      <c r="C229" s="71"/>
      <c r="D229" s="596"/>
      <c r="E229" s="361">
        <v>1985</v>
      </c>
      <c r="F229" s="583" t="s">
        <v>15782</v>
      </c>
      <c r="G229" s="361" t="s">
        <v>15856</v>
      </c>
      <c r="H229" s="71"/>
      <c r="I229" s="71"/>
      <c r="J229" s="596"/>
      <c r="K229" s="71"/>
      <c r="L229" s="274"/>
      <c r="M229" s="71"/>
      <c r="N229" s="729"/>
      <c r="O229" s="274"/>
      <c r="P229" s="406"/>
      <c r="Q229" s="410"/>
      <c r="R229" s="410"/>
      <c r="S229" s="618"/>
      <c r="T229" s="71"/>
      <c r="U229" s="71"/>
      <c r="V229" s="274"/>
      <c r="W229" s="18"/>
      <c r="X229" s="18"/>
      <c r="Y229" s="18"/>
      <c r="Z229" s="18"/>
      <c r="AA229" s="18"/>
    </row>
    <row r="230" spans="1:27" s="19" customFormat="1" ht="54" customHeight="1" x14ac:dyDescent="0.2">
      <c r="A230" s="268"/>
      <c r="B230" s="71"/>
      <c r="C230" s="71"/>
      <c r="D230" s="596"/>
      <c r="E230" s="361">
        <v>1996</v>
      </c>
      <c r="F230" s="583" t="s">
        <v>15782</v>
      </c>
      <c r="G230" s="361" t="s">
        <v>15857</v>
      </c>
      <c r="H230" s="71"/>
      <c r="I230" s="71"/>
      <c r="J230" s="596"/>
      <c r="K230" s="71"/>
      <c r="L230" s="274"/>
      <c r="M230" s="71"/>
      <c r="N230" s="729"/>
      <c r="O230" s="274"/>
      <c r="P230" s="406"/>
      <c r="Q230" s="410"/>
      <c r="R230" s="410"/>
      <c r="S230" s="618"/>
      <c r="T230" s="71"/>
      <c r="U230" s="71"/>
      <c r="V230" s="274"/>
      <c r="W230" s="18"/>
      <c r="X230" s="18"/>
      <c r="Y230" s="18"/>
      <c r="Z230" s="18"/>
      <c r="AA230" s="18"/>
    </row>
    <row r="231" spans="1:27" s="19" customFormat="1" ht="52.5" customHeight="1" x14ac:dyDescent="0.2">
      <c r="A231" s="268"/>
      <c r="B231" s="71"/>
      <c r="C231" s="71"/>
      <c r="D231" s="596"/>
      <c r="E231" s="361">
        <v>2006</v>
      </c>
      <c r="F231" s="583" t="s">
        <v>15782</v>
      </c>
      <c r="G231" s="361" t="s">
        <v>15858</v>
      </c>
      <c r="H231" s="71"/>
      <c r="I231" s="71"/>
      <c r="J231" s="596"/>
      <c r="K231" s="71"/>
      <c r="L231" s="274"/>
      <c r="M231" s="71"/>
      <c r="N231" s="729"/>
      <c r="O231" s="274"/>
      <c r="P231" s="406"/>
      <c r="Q231" s="410"/>
      <c r="R231" s="410"/>
      <c r="S231" s="618"/>
      <c r="T231" s="71"/>
      <c r="U231" s="71"/>
      <c r="V231" s="274"/>
      <c r="W231" s="18"/>
      <c r="X231" s="18"/>
      <c r="Y231" s="18"/>
      <c r="Z231" s="18"/>
      <c r="AA231" s="18"/>
    </row>
    <row r="232" spans="1:27" s="19" customFormat="1" ht="54.75" customHeight="1" x14ac:dyDescent="0.2">
      <c r="A232" s="268"/>
      <c r="B232" s="71"/>
      <c r="C232" s="71"/>
      <c r="D232" s="596"/>
      <c r="E232" s="361">
        <v>1985</v>
      </c>
      <c r="F232" s="583" t="s">
        <v>15782</v>
      </c>
      <c r="G232" s="361" t="s">
        <v>15859</v>
      </c>
      <c r="H232" s="71"/>
      <c r="I232" s="71"/>
      <c r="J232" s="596"/>
      <c r="K232" s="71"/>
      <c r="L232" s="274"/>
      <c r="M232" s="71"/>
      <c r="N232" s="729"/>
      <c r="O232" s="274"/>
      <c r="P232" s="406"/>
      <c r="Q232" s="410"/>
      <c r="R232" s="410"/>
      <c r="S232" s="618"/>
      <c r="T232" s="71"/>
      <c r="U232" s="71"/>
      <c r="V232" s="274"/>
      <c r="W232" s="18"/>
      <c r="X232" s="18"/>
      <c r="Y232" s="18"/>
      <c r="Z232" s="18"/>
      <c r="AA232" s="18"/>
    </row>
    <row r="233" spans="1:27" s="19" customFormat="1" ht="35.25" customHeight="1" x14ac:dyDescent="0.2">
      <c r="A233" s="268"/>
      <c r="B233" s="71"/>
      <c r="C233" s="71"/>
      <c r="D233" s="596"/>
      <c r="E233" s="361">
        <v>2000</v>
      </c>
      <c r="F233" s="583" t="s">
        <v>15712</v>
      </c>
      <c r="G233" s="695" t="s">
        <v>15860</v>
      </c>
      <c r="H233" s="71"/>
      <c r="I233" s="71"/>
      <c r="J233" s="596"/>
      <c r="K233" s="71"/>
      <c r="L233" s="274"/>
      <c r="M233" s="71"/>
      <c r="N233" s="729"/>
      <c r="O233" s="274"/>
      <c r="P233" s="406"/>
      <c r="Q233" s="410"/>
      <c r="R233" s="410"/>
      <c r="S233" s="618"/>
      <c r="T233" s="71"/>
      <c r="U233" s="71"/>
      <c r="V233" s="274"/>
      <c r="W233" s="18"/>
      <c r="X233" s="18"/>
      <c r="Y233" s="18"/>
      <c r="Z233" s="18"/>
      <c r="AA233" s="18"/>
    </row>
    <row r="234" spans="1:27" s="19" customFormat="1" ht="52.5" customHeight="1" x14ac:dyDescent="0.2">
      <c r="A234" s="268"/>
      <c r="B234" s="71"/>
      <c r="C234" s="71"/>
      <c r="D234" s="596"/>
      <c r="E234" s="361">
        <v>1985</v>
      </c>
      <c r="F234" s="583" t="s">
        <v>15782</v>
      </c>
      <c r="G234" s="361" t="s">
        <v>15861</v>
      </c>
      <c r="H234" s="71"/>
      <c r="I234" s="71"/>
      <c r="J234" s="596"/>
      <c r="K234" s="71"/>
      <c r="L234" s="274"/>
      <c r="M234" s="71"/>
      <c r="N234" s="729"/>
      <c r="O234" s="274"/>
      <c r="P234" s="406"/>
      <c r="Q234" s="410"/>
      <c r="R234" s="410"/>
      <c r="S234" s="618"/>
      <c r="T234" s="71"/>
      <c r="U234" s="71"/>
      <c r="V234" s="274"/>
      <c r="W234" s="18"/>
      <c r="X234" s="18"/>
      <c r="Y234" s="18"/>
      <c r="Z234" s="18"/>
      <c r="AA234" s="18"/>
    </row>
    <row r="235" spans="1:27" s="19" customFormat="1" ht="61.5" customHeight="1" x14ac:dyDescent="0.2">
      <c r="A235" s="268"/>
      <c r="B235" s="71"/>
      <c r="C235" s="71"/>
      <c r="D235" s="596"/>
      <c r="E235" s="361">
        <v>1985</v>
      </c>
      <c r="F235" s="583" t="s">
        <v>15782</v>
      </c>
      <c r="G235" s="361" t="s">
        <v>15862</v>
      </c>
      <c r="H235" s="71"/>
      <c r="I235" s="71"/>
      <c r="J235" s="596"/>
      <c r="K235" s="71"/>
      <c r="L235" s="274"/>
      <c r="M235" s="71"/>
      <c r="N235" s="729"/>
      <c r="O235" s="274"/>
      <c r="P235" s="406"/>
      <c r="Q235" s="410"/>
      <c r="R235" s="410"/>
      <c r="S235" s="618"/>
      <c r="T235" s="71"/>
      <c r="U235" s="71"/>
      <c r="V235" s="274"/>
      <c r="W235" s="18"/>
      <c r="X235" s="18"/>
      <c r="Y235" s="18"/>
      <c r="Z235" s="18"/>
      <c r="AA235" s="18"/>
    </row>
    <row r="236" spans="1:27" s="19" customFormat="1" ht="57.75" customHeight="1" x14ac:dyDescent="0.2">
      <c r="A236" s="268"/>
      <c r="B236" s="71"/>
      <c r="C236" s="71"/>
      <c r="D236" s="596"/>
      <c r="E236" s="361">
        <v>1985</v>
      </c>
      <c r="F236" s="583" t="s">
        <v>15782</v>
      </c>
      <c r="G236" s="361" t="s">
        <v>15863</v>
      </c>
      <c r="H236" s="71"/>
      <c r="I236" s="71"/>
      <c r="J236" s="596"/>
      <c r="K236" s="71"/>
      <c r="L236" s="274"/>
      <c r="M236" s="71"/>
      <c r="N236" s="729"/>
      <c r="O236" s="274"/>
      <c r="P236" s="406"/>
      <c r="Q236" s="410"/>
      <c r="R236" s="410"/>
      <c r="S236" s="618"/>
      <c r="T236" s="71"/>
      <c r="U236" s="71"/>
      <c r="V236" s="274"/>
      <c r="W236" s="18"/>
      <c r="X236" s="18"/>
      <c r="Y236" s="18"/>
      <c r="Z236" s="18"/>
      <c r="AA236" s="18"/>
    </row>
    <row r="237" spans="1:27" s="19" customFormat="1" ht="39" customHeight="1" x14ac:dyDescent="0.2">
      <c r="A237" s="268"/>
      <c r="B237" s="71"/>
      <c r="C237" s="71"/>
      <c r="D237" s="596"/>
      <c r="E237" s="361">
        <v>1985</v>
      </c>
      <c r="F237" s="583" t="s">
        <v>15782</v>
      </c>
      <c r="G237" s="695" t="s">
        <v>15864</v>
      </c>
      <c r="H237" s="71"/>
      <c r="I237" s="71"/>
      <c r="J237" s="596"/>
      <c r="K237" s="71"/>
      <c r="L237" s="274"/>
      <c r="M237" s="71"/>
      <c r="N237" s="729"/>
      <c r="O237" s="274"/>
      <c r="P237" s="406"/>
      <c r="Q237" s="410"/>
      <c r="R237" s="410"/>
      <c r="S237" s="618"/>
      <c r="T237" s="71"/>
      <c r="U237" s="71"/>
      <c r="V237" s="274"/>
      <c r="W237" s="18"/>
      <c r="X237" s="18"/>
      <c r="Y237" s="18"/>
      <c r="Z237" s="18"/>
      <c r="AA237" s="18"/>
    </row>
    <row r="238" spans="1:27" s="19" customFormat="1" ht="51.75" customHeight="1" x14ac:dyDescent="0.2">
      <c r="A238" s="268"/>
      <c r="B238" s="71"/>
      <c r="C238" s="71"/>
      <c r="D238" s="596"/>
      <c r="E238" s="361">
        <v>1985</v>
      </c>
      <c r="F238" s="583" t="s">
        <v>15782</v>
      </c>
      <c r="G238" s="361" t="s">
        <v>15865</v>
      </c>
      <c r="H238" s="71"/>
      <c r="I238" s="71"/>
      <c r="J238" s="596"/>
      <c r="K238" s="71"/>
      <c r="L238" s="274"/>
      <c r="M238" s="71"/>
      <c r="N238" s="729"/>
      <c r="O238" s="274"/>
      <c r="P238" s="406"/>
      <c r="Q238" s="410"/>
      <c r="R238" s="410"/>
      <c r="S238" s="618"/>
      <c r="T238" s="71"/>
      <c r="U238" s="71"/>
      <c r="V238" s="274"/>
      <c r="W238" s="18"/>
      <c r="X238" s="18"/>
      <c r="Y238" s="18"/>
      <c r="Z238" s="18"/>
      <c r="AA238" s="18"/>
    </row>
    <row r="239" spans="1:27" s="19" customFormat="1" ht="52.5" customHeight="1" x14ac:dyDescent="0.2">
      <c r="A239" s="268"/>
      <c r="B239" s="71"/>
      <c r="C239" s="71"/>
      <c r="D239" s="596"/>
      <c r="E239" s="361" t="s">
        <v>15866</v>
      </c>
      <c r="F239" s="583" t="s">
        <v>15867</v>
      </c>
      <c r="G239" s="361" t="s">
        <v>15868</v>
      </c>
      <c r="H239" s="71"/>
      <c r="I239" s="71"/>
      <c r="J239" s="596"/>
      <c r="K239" s="71"/>
      <c r="L239" s="274"/>
      <c r="M239" s="71"/>
      <c r="N239" s="729"/>
      <c r="O239" s="274"/>
      <c r="P239" s="406"/>
      <c r="Q239" s="410"/>
      <c r="R239" s="410"/>
      <c r="S239" s="618"/>
      <c r="T239" s="71"/>
      <c r="U239" s="71"/>
      <c r="V239" s="274"/>
      <c r="W239" s="18"/>
      <c r="X239" s="18"/>
      <c r="Y239" s="18"/>
      <c r="Z239" s="18"/>
      <c r="AA239" s="18"/>
    </row>
    <row r="240" spans="1:27" s="19" customFormat="1" ht="34.5" customHeight="1" x14ac:dyDescent="0.2">
      <c r="A240" s="268"/>
      <c r="B240" s="71"/>
      <c r="C240" s="71"/>
      <c r="D240" s="596"/>
      <c r="E240" s="361">
        <v>2010</v>
      </c>
      <c r="F240" s="583" t="s">
        <v>15782</v>
      </c>
      <c r="G240" s="695" t="s">
        <v>15869</v>
      </c>
      <c r="H240" s="71"/>
      <c r="I240" s="71"/>
      <c r="J240" s="596"/>
      <c r="K240" s="71"/>
      <c r="L240" s="274"/>
      <c r="M240" s="71"/>
      <c r="N240" s="729"/>
      <c r="O240" s="274"/>
      <c r="P240" s="406"/>
      <c r="Q240" s="410"/>
      <c r="R240" s="410"/>
      <c r="S240" s="618"/>
      <c r="T240" s="71"/>
      <c r="U240" s="71"/>
      <c r="V240" s="274"/>
      <c r="W240" s="18"/>
      <c r="X240" s="18"/>
      <c r="Y240" s="18"/>
      <c r="Z240" s="18"/>
      <c r="AA240" s="18"/>
    </row>
    <row r="241" spans="1:27" s="19" customFormat="1" ht="62.25" customHeight="1" x14ac:dyDescent="0.2">
      <c r="A241" s="268"/>
      <c r="B241" s="71"/>
      <c r="C241" s="71"/>
      <c r="D241" s="596"/>
      <c r="E241" s="361">
        <v>2000</v>
      </c>
      <c r="F241" s="583" t="s">
        <v>15870</v>
      </c>
      <c r="G241" s="695" t="s">
        <v>15871</v>
      </c>
      <c r="H241" s="71"/>
      <c r="I241" s="71"/>
      <c r="J241" s="596"/>
      <c r="K241" s="71"/>
      <c r="L241" s="274"/>
      <c r="M241" s="71"/>
      <c r="N241" s="729"/>
      <c r="O241" s="274"/>
      <c r="P241" s="406"/>
      <c r="Q241" s="410"/>
      <c r="R241" s="410"/>
      <c r="S241" s="618"/>
      <c r="T241" s="71"/>
      <c r="U241" s="71"/>
      <c r="V241" s="274"/>
      <c r="W241" s="18"/>
      <c r="X241" s="18"/>
      <c r="Y241" s="18"/>
      <c r="Z241" s="18"/>
      <c r="AA241" s="18"/>
    </row>
    <row r="242" spans="1:27" s="19" customFormat="1" ht="47.25" customHeight="1" x14ac:dyDescent="0.2">
      <c r="A242" s="268"/>
      <c r="B242" s="71"/>
      <c r="C242" s="71"/>
      <c r="D242" s="596"/>
      <c r="E242" s="361">
        <v>1985</v>
      </c>
      <c r="F242" s="583" t="s">
        <v>15782</v>
      </c>
      <c r="G242" s="695" t="s">
        <v>15872</v>
      </c>
      <c r="H242" s="71"/>
      <c r="I242" s="71"/>
      <c r="J242" s="596"/>
      <c r="K242" s="71"/>
      <c r="L242" s="274"/>
      <c r="M242" s="71"/>
      <c r="N242" s="729"/>
      <c r="O242" s="274"/>
      <c r="P242" s="406"/>
      <c r="Q242" s="410"/>
      <c r="R242" s="410"/>
      <c r="S242" s="618"/>
      <c r="T242" s="71"/>
      <c r="U242" s="71"/>
      <c r="V242" s="274"/>
      <c r="W242" s="18"/>
      <c r="X242" s="18"/>
      <c r="Y242" s="18"/>
      <c r="Z242" s="18"/>
      <c r="AA242" s="18"/>
    </row>
    <row r="243" spans="1:27" s="19" customFormat="1" ht="48" customHeight="1" x14ac:dyDescent="0.2">
      <c r="A243" s="268"/>
      <c r="B243" s="71"/>
      <c r="C243" s="71"/>
      <c r="D243" s="596"/>
      <c r="E243" s="361">
        <v>1985</v>
      </c>
      <c r="F243" s="583" t="s">
        <v>15782</v>
      </c>
      <c r="G243" s="695" t="s">
        <v>15873</v>
      </c>
      <c r="H243" s="71"/>
      <c r="I243" s="71"/>
      <c r="J243" s="596"/>
      <c r="K243" s="71"/>
      <c r="L243" s="274"/>
      <c r="M243" s="71"/>
      <c r="N243" s="729"/>
      <c r="O243" s="274"/>
      <c r="P243" s="406"/>
      <c r="Q243" s="410"/>
      <c r="R243" s="410"/>
      <c r="S243" s="618"/>
      <c r="T243" s="71"/>
      <c r="U243" s="71"/>
      <c r="V243" s="274"/>
      <c r="W243" s="18"/>
      <c r="X243" s="18"/>
      <c r="Y243" s="18"/>
      <c r="Z243" s="18"/>
      <c r="AA243" s="18"/>
    </row>
    <row r="244" spans="1:27" s="19" customFormat="1" ht="42" customHeight="1" x14ac:dyDescent="0.2">
      <c r="A244" s="268"/>
      <c r="B244" s="71"/>
      <c r="C244" s="71"/>
      <c r="D244" s="596"/>
      <c r="E244" s="361">
        <v>2007</v>
      </c>
      <c r="F244" s="583" t="s">
        <v>15782</v>
      </c>
      <c r="G244" s="361" t="s">
        <v>15874</v>
      </c>
      <c r="H244" s="71"/>
      <c r="I244" s="71"/>
      <c r="J244" s="596"/>
      <c r="K244" s="71"/>
      <c r="L244" s="274"/>
      <c r="M244" s="71"/>
      <c r="N244" s="729"/>
      <c r="O244" s="274"/>
      <c r="P244" s="406"/>
      <c r="Q244" s="410"/>
      <c r="R244" s="410"/>
      <c r="S244" s="618"/>
      <c r="T244" s="71"/>
      <c r="U244" s="71"/>
      <c r="V244" s="274"/>
      <c r="W244" s="18"/>
      <c r="X244" s="18"/>
      <c r="Y244" s="18"/>
      <c r="Z244" s="18"/>
      <c r="AA244" s="18"/>
    </row>
    <row r="245" spans="1:27" s="19" customFormat="1" ht="36.75" customHeight="1" x14ac:dyDescent="0.2">
      <c r="A245" s="268"/>
      <c r="B245" s="71"/>
      <c r="C245" s="71"/>
      <c r="D245" s="596"/>
      <c r="E245" s="361">
        <v>1985</v>
      </c>
      <c r="F245" s="583" t="s">
        <v>15782</v>
      </c>
      <c r="G245" s="695" t="s">
        <v>15875</v>
      </c>
      <c r="H245" s="71"/>
      <c r="I245" s="71"/>
      <c r="J245" s="596"/>
      <c r="K245" s="71"/>
      <c r="L245" s="274"/>
      <c r="M245" s="71"/>
      <c r="N245" s="729"/>
      <c r="O245" s="274"/>
      <c r="P245" s="406"/>
      <c r="Q245" s="410"/>
      <c r="R245" s="410"/>
      <c r="S245" s="618"/>
      <c r="T245" s="71"/>
      <c r="U245" s="71"/>
      <c r="V245" s="274"/>
      <c r="W245" s="18"/>
      <c r="X245" s="18"/>
      <c r="Y245" s="18"/>
      <c r="Z245" s="18"/>
      <c r="AA245" s="18"/>
    </row>
    <row r="246" spans="1:27" s="19" customFormat="1" ht="38.25" customHeight="1" x14ac:dyDescent="0.2">
      <c r="A246" s="268"/>
      <c r="B246" s="71"/>
      <c r="C246" s="71"/>
      <c r="D246" s="596"/>
      <c r="E246" s="361">
        <v>2009</v>
      </c>
      <c r="F246" s="583" t="s">
        <v>15782</v>
      </c>
      <c r="G246" s="695" t="s">
        <v>15876</v>
      </c>
      <c r="H246" s="71"/>
      <c r="I246" s="71"/>
      <c r="J246" s="596"/>
      <c r="K246" s="71"/>
      <c r="L246" s="274"/>
      <c r="M246" s="71"/>
      <c r="N246" s="729"/>
      <c r="O246" s="274"/>
      <c r="P246" s="406"/>
      <c r="Q246" s="410"/>
      <c r="R246" s="410"/>
      <c r="S246" s="618"/>
      <c r="T246" s="71"/>
      <c r="U246" s="71"/>
      <c r="V246" s="274"/>
      <c r="W246" s="18"/>
      <c r="X246" s="18"/>
      <c r="Y246" s="18"/>
      <c r="Z246" s="18"/>
      <c r="AA246" s="18"/>
    </row>
    <row r="247" spans="1:27" s="19" customFormat="1" ht="48.75" customHeight="1" x14ac:dyDescent="0.2">
      <c r="A247" s="268"/>
      <c r="B247" s="71"/>
      <c r="C247" s="71"/>
      <c r="D247" s="596"/>
      <c r="E247" s="361">
        <v>1985</v>
      </c>
      <c r="F247" s="583" t="s">
        <v>15782</v>
      </c>
      <c r="G247" s="695" t="s">
        <v>15877</v>
      </c>
      <c r="H247" s="71"/>
      <c r="I247" s="71"/>
      <c r="J247" s="596"/>
      <c r="K247" s="71"/>
      <c r="L247" s="274"/>
      <c r="M247" s="71"/>
      <c r="N247" s="729"/>
      <c r="O247" s="274"/>
      <c r="P247" s="406"/>
      <c r="Q247" s="410"/>
      <c r="R247" s="410"/>
      <c r="S247" s="618"/>
      <c r="T247" s="71"/>
      <c r="U247" s="71"/>
      <c r="V247" s="274"/>
      <c r="W247" s="18"/>
      <c r="X247" s="18"/>
      <c r="Y247" s="18"/>
      <c r="Z247" s="18"/>
      <c r="AA247" s="18"/>
    </row>
    <row r="248" spans="1:27" s="19" customFormat="1" ht="37.5" customHeight="1" x14ac:dyDescent="0.2">
      <c r="A248" s="268"/>
      <c r="B248" s="71"/>
      <c r="C248" s="71"/>
      <c r="D248" s="596"/>
      <c r="E248" s="361">
        <v>1985</v>
      </c>
      <c r="F248" s="583" t="s">
        <v>15782</v>
      </c>
      <c r="G248" s="695" t="s">
        <v>15878</v>
      </c>
      <c r="H248" s="71"/>
      <c r="I248" s="71"/>
      <c r="J248" s="596"/>
      <c r="K248" s="71"/>
      <c r="L248" s="274"/>
      <c r="M248" s="71"/>
      <c r="N248" s="729"/>
      <c r="O248" s="274"/>
      <c r="P248" s="406"/>
      <c r="Q248" s="410"/>
      <c r="R248" s="410"/>
      <c r="S248" s="618"/>
      <c r="T248" s="71"/>
      <c r="U248" s="71"/>
      <c r="V248" s="274"/>
      <c r="W248" s="18"/>
      <c r="X248" s="18"/>
      <c r="Y248" s="18"/>
      <c r="Z248" s="18"/>
      <c r="AA248" s="18"/>
    </row>
    <row r="249" spans="1:27" s="19" customFormat="1" ht="35.25" customHeight="1" x14ac:dyDescent="0.2">
      <c r="A249" s="268"/>
      <c r="B249" s="71"/>
      <c r="C249" s="71"/>
      <c r="D249" s="596"/>
      <c r="E249" s="361">
        <v>1985</v>
      </c>
      <c r="F249" s="583" t="s">
        <v>15782</v>
      </c>
      <c r="G249" s="695" t="s">
        <v>15879</v>
      </c>
      <c r="H249" s="71"/>
      <c r="I249" s="71"/>
      <c r="J249" s="596"/>
      <c r="K249" s="71"/>
      <c r="L249" s="274"/>
      <c r="M249" s="71"/>
      <c r="N249" s="729"/>
      <c r="O249" s="274"/>
      <c r="P249" s="406"/>
      <c r="Q249" s="410"/>
      <c r="R249" s="410"/>
      <c r="S249" s="618"/>
      <c r="T249" s="71"/>
      <c r="U249" s="71"/>
      <c r="V249" s="274"/>
      <c r="W249" s="18"/>
      <c r="X249" s="18"/>
      <c r="Y249" s="18"/>
      <c r="Z249" s="18"/>
      <c r="AA249" s="18"/>
    </row>
    <row r="250" spans="1:27" s="19" customFormat="1" ht="38.25" customHeight="1" x14ac:dyDescent="0.2">
      <c r="A250" s="268"/>
      <c r="B250" s="71"/>
      <c r="C250" s="71"/>
      <c r="D250" s="596"/>
      <c r="E250" s="361">
        <v>1985</v>
      </c>
      <c r="F250" s="583" t="s">
        <v>15782</v>
      </c>
      <c r="G250" s="695" t="s">
        <v>15880</v>
      </c>
      <c r="H250" s="71"/>
      <c r="I250" s="71"/>
      <c r="J250" s="596"/>
      <c r="K250" s="71"/>
      <c r="L250" s="274"/>
      <c r="M250" s="71"/>
      <c r="N250" s="729"/>
      <c r="O250" s="274"/>
      <c r="P250" s="406"/>
      <c r="Q250" s="410"/>
      <c r="R250" s="410"/>
      <c r="S250" s="618"/>
      <c r="T250" s="71"/>
      <c r="U250" s="71"/>
      <c r="V250" s="274"/>
      <c r="W250" s="18"/>
      <c r="X250" s="18"/>
      <c r="Y250" s="18"/>
      <c r="Z250" s="18"/>
      <c r="AA250" s="18"/>
    </row>
    <row r="251" spans="1:27" s="19" customFormat="1" ht="35.25" customHeight="1" x14ac:dyDescent="0.2">
      <c r="A251" s="268"/>
      <c r="B251" s="71"/>
      <c r="C251" s="71"/>
      <c r="D251" s="596"/>
      <c r="E251" s="361">
        <v>1985</v>
      </c>
      <c r="F251" s="583" t="s">
        <v>15782</v>
      </c>
      <c r="G251" s="695" t="s">
        <v>15881</v>
      </c>
      <c r="H251" s="71"/>
      <c r="I251" s="71"/>
      <c r="J251" s="596"/>
      <c r="K251" s="71"/>
      <c r="L251" s="274"/>
      <c r="M251" s="71"/>
      <c r="N251" s="729"/>
      <c r="O251" s="274"/>
      <c r="P251" s="406"/>
      <c r="Q251" s="410"/>
      <c r="R251" s="410"/>
      <c r="S251" s="618"/>
      <c r="T251" s="71"/>
      <c r="U251" s="71"/>
      <c r="V251" s="274"/>
      <c r="W251" s="18"/>
      <c r="X251" s="18"/>
      <c r="Y251" s="18"/>
      <c r="Z251" s="18"/>
      <c r="AA251" s="18"/>
    </row>
    <row r="252" spans="1:27" s="19" customFormat="1" ht="36.75" customHeight="1" x14ac:dyDescent="0.2">
      <c r="A252" s="268"/>
      <c r="B252" s="71"/>
      <c r="C252" s="71"/>
      <c r="D252" s="596"/>
      <c r="E252" s="361">
        <v>1985</v>
      </c>
      <c r="F252" s="583" t="s">
        <v>15782</v>
      </c>
      <c r="G252" s="695" t="s">
        <v>15882</v>
      </c>
      <c r="H252" s="71"/>
      <c r="I252" s="71"/>
      <c r="J252" s="596"/>
      <c r="K252" s="71"/>
      <c r="L252" s="274"/>
      <c r="M252" s="71"/>
      <c r="N252" s="729"/>
      <c r="O252" s="274"/>
      <c r="P252" s="406"/>
      <c r="Q252" s="410"/>
      <c r="R252" s="410"/>
      <c r="S252" s="618"/>
      <c r="T252" s="71"/>
      <c r="U252" s="71"/>
      <c r="V252" s="274"/>
      <c r="W252" s="18"/>
      <c r="X252" s="18"/>
      <c r="Y252" s="18"/>
      <c r="Z252" s="18"/>
      <c r="AA252" s="18"/>
    </row>
    <row r="253" spans="1:27" s="19" customFormat="1" ht="48.75" customHeight="1" x14ac:dyDescent="0.2">
      <c r="A253" s="268"/>
      <c r="B253" s="71"/>
      <c r="C253" s="71"/>
      <c r="D253" s="596"/>
      <c r="E253" s="361">
        <v>1985</v>
      </c>
      <c r="F253" s="583" t="s">
        <v>15782</v>
      </c>
      <c r="G253" s="695" t="s">
        <v>15883</v>
      </c>
      <c r="H253" s="71"/>
      <c r="I253" s="71"/>
      <c r="J253" s="596"/>
      <c r="K253" s="71"/>
      <c r="L253" s="274"/>
      <c r="M253" s="71"/>
      <c r="N253" s="729"/>
      <c r="O253" s="274"/>
      <c r="P253" s="406"/>
      <c r="Q253" s="410"/>
      <c r="R253" s="410"/>
      <c r="S253" s="618"/>
      <c r="T253" s="71"/>
      <c r="U253" s="71"/>
      <c r="V253" s="274"/>
      <c r="W253" s="18"/>
      <c r="X253" s="18"/>
      <c r="Y253" s="18"/>
      <c r="Z253" s="18"/>
      <c r="AA253" s="18"/>
    </row>
    <row r="254" spans="1:27" s="19" customFormat="1" ht="38.25" customHeight="1" x14ac:dyDescent="0.2">
      <c r="A254" s="268"/>
      <c r="B254" s="71"/>
      <c r="C254" s="71"/>
      <c r="D254" s="596"/>
      <c r="E254" s="361">
        <v>1985</v>
      </c>
      <c r="F254" s="583" t="s">
        <v>15782</v>
      </c>
      <c r="G254" s="695" t="s">
        <v>15884</v>
      </c>
      <c r="H254" s="71"/>
      <c r="I254" s="71"/>
      <c r="J254" s="596"/>
      <c r="K254" s="71"/>
      <c r="L254" s="274"/>
      <c r="M254" s="71"/>
      <c r="N254" s="729"/>
      <c r="O254" s="274"/>
      <c r="P254" s="406"/>
      <c r="Q254" s="410"/>
      <c r="R254" s="410"/>
      <c r="S254" s="618"/>
      <c r="T254" s="71"/>
      <c r="U254" s="71"/>
      <c r="V254" s="274"/>
      <c r="W254" s="18"/>
      <c r="X254" s="18"/>
      <c r="Y254" s="18"/>
      <c r="Z254" s="18"/>
      <c r="AA254" s="18"/>
    </row>
    <row r="255" spans="1:27" s="19" customFormat="1" ht="39.75" customHeight="1" x14ac:dyDescent="0.2">
      <c r="A255" s="268"/>
      <c r="B255" s="71"/>
      <c r="C255" s="71"/>
      <c r="D255" s="596"/>
      <c r="E255" s="361">
        <v>1985</v>
      </c>
      <c r="F255" s="694" t="s">
        <v>15782</v>
      </c>
      <c r="G255" s="695" t="s">
        <v>15885</v>
      </c>
      <c r="H255" s="71"/>
      <c r="I255" s="71"/>
      <c r="J255" s="596"/>
      <c r="K255" s="71"/>
      <c r="L255" s="274"/>
      <c r="M255" s="71"/>
      <c r="N255" s="729"/>
      <c r="O255" s="274"/>
      <c r="P255" s="406"/>
      <c r="Q255" s="410"/>
      <c r="R255" s="410"/>
      <c r="S255" s="618"/>
      <c r="T255" s="71"/>
      <c r="U255" s="71"/>
      <c r="V255" s="274"/>
      <c r="W255" s="18"/>
      <c r="X255" s="18"/>
      <c r="Y255" s="18"/>
      <c r="Z255" s="18"/>
      <c r="AA255" s="18"/>
    </row>
    <row r="256" spans="1:27" s="19" customFormat="1" ht="39" customHeight="1" x14ac:dyDescent="0.2">
      <c r="A256" s="268"/>
      <c r="B256" s="71"/>
      <c r="C256" s="71"/>
      <c r="D256" s="596"/>
      <c r="E256" s="363">
        <v>1985</v>
      </c>
      <c r="F256" s="694" t="s">
        <v>15782</v>
      </c>
      <c r="G256" s="695" t="s">
        <v>15886</v>
      </c>
      <c r="H256" s="71"/>
      <c r="I256" s="71"/>
      <c r="J256" s="596"/>
      <c r="K256" s="71"/>
      <c r="L256" s="274"/>
      <c r="M256" s="71"/>
      <c r="N256" s="729"/>
      <c r="O256" s="274"/>
      <c r="P256" s="406"/>
      <c r="Q256" s="410"/>
      <c r="R256" s="410"/>
      <c r="S256" s="618"/>
      <c r="T256" s="71"/>
      <c r="U256" s="71"/>
      <c r="V256" s="274"/>
      <c r="W256" s="18"/>
      <c r="X256" s="18"/>
      <c r="Y256" s="18"/>
      <c r="Z256" s="18"/>
      <c r="AA256" s="18"/>
    </row>
    <row r="257" spans="1:27" s="19" customFormat="1" ht="40.5" customHeight="1" x14ac:dyDescent="0.2">
      <c r="A257" s="268"/>
      <c r="B257" s="71"/>
      <c r="C257" s="71"/>
      <c r="D257" s="596"/>
      <c r="E257" s="363">
        <v>2001</v>
      </c>
      <c r="F257" s="694" t="s">
        <v>15782</v>
      </c>
      <c r="G257" s="695" t="s">
        <v>15887</v>
      </c>
      <c r="H257" s="71"/>
      <c r="I257" s="71"/>
      <c r="J257" s="596"/>
      <c r="K257" s="71"/>
      <c r="L257" s="274"/>
      <c r="M257" s="71"/>
      <c r="N257" s="729"/>
      <c r="O257" s="274"/>
      <c r="P257" s="406"/>
      <c r="Q257" s="410"/>
      <c r="R257" s="410"/>
      <c r="S257" s="618"/>
      <c r="T257" s="71"/>
      <c r="U257" s="71"/>
      <c r="V257" s="274"/>
      <c r="W257" s="18"/>
      <c r="X257" s="18"/>
      <c r="Y257" s="18"/>
      <c r="Z257" s="18"/>
      <c r="AA257" s="18"/>
    </row>
    <row r="258" spans="1:27" s="19" customFormat="1" ht="38.25" customHeight="1" x14ac:dyDescent="0.2">
      <c r="A258" s="268"/>
      <c r="B258" s="71"/>
      <c r="C258" s="71"/>
      <c r="D258" s="596"/>
      <c r="E258" s="363">
        <v>1985</v>
      </c>
      <c r="F258" s="694" t="s">
        <v>15782</v>
      </c>
      <c r="G258" s="695" t="s">
        <v>15888</v>
      </c>
      <c r="H258" s="71"/>
      <c r="I258" s="71"/>
      <c r="J258" s="596"/>
      <c r="K258" s="71"/>
      <c r="L258" s="274"/>
      <c r="M258" s="71"/>
      <c r="N258" s="729"/>
      <c r="O258" s="274"/>
      <c r="P258" s="406"/>
      <c r="Q258" s="410"/>
      <c r="R258" s="410"/>
      <c r="S258" s="618"/>
      <c r="T258" s="71"/>
      <c r="U258" s="71"/>
      <c r="V258" s="274"/>
      <c r="W258" s="18"/>
      <c r="X258" s="18"/>
      <c r="Y258" s="18"/>
      <c r="Z258" s="18"/>
      <c r="AA258" s="18"/>
    </row>
    <row r="259" spans="1:27" s="19" customFormat="1" ht="57.75" customHeight="1" x14ac:dyDescent="0.2">
      <c r="A259" s="268"/>
      <c r="B259" s="71"/>
      <c r="C259" s="71"/>
      <c r="D259" s="596"/>
      <c r="E259" s="363">
        <v>1985</v>
      </c>
      <c r="F259" s="694" t="s">
        <v>15782</v>
      </c>
      <c r="G259" s="361" t="s">
        <v>15889</v>
      </c>
      <c r="H259" s="71"/>
      <c r="I259" s="71"/>
      <c r="J259" s="596"/>
      <c r="K259" s="71"/>
      <c r="L259" s="274"/>
      <c r="M259" s="71"/>
      <c r="N259" s="729"/>
      <c r="O259" s="274"/>
      <c r="P259" s="406"/>
      <c r="Q259" s="410"/>
      <c r="R259" s="410"/>
      <c r="S259" s="618"/>
      <c r="T259" s="71"/>
      <c r="U259" s="71"/>
      <c r="V259" s="274"/>
      <c r="W259" s="18"/>
      <c r="X259" s="18"/>
      <c r="Y259" s="18"/>
      <c r="Z259" s="18"/>
      <c r="AA259" s="18"/>
    </row>
    <row r="260" spans="1:27" s="19" customFormat="1" ht="39" customHeight="1" x14ac:dyDescent="0.2">
      <c r="A260" s="268"/>
      <c r="B260" s="71"/>
      <c r="C260" s="71"/>
      <c r="D260" s="596"/>
      <c r="E260" s="363">
        <v>1985</v>
      </c>
      <c r="F260" s="694" t="s">
        <v>15782</v>
      </c>
      <c r="G260" s="695" t="s">
        <v>15890</v>
      </c>
      <c r="H260" s="71"/>
      <c r="I260" s="71"/>
      <c r="J260" s="596"/>
      <c r="K260" s="71"/>
      <c r="L260" s="274"/>
      <c r="M260" s="71"/>
      <c r="N260" s="729"/>
      <c r="O260" s="274"/>
      <c r="P260" s="406"/>
      <c r="Q260" s="410"/>
      <c r="R260" s="410"/>
      <c r="S260" s="618"/>
      <c r="T260" s="71"/>
      <c r="U260" s="71"/>
      <c r="V260" s="274"/>
      <c r="W260" s="18"/>
      <c r="X260" s="18"/>
      <c r="Y260" s="18"/>
      <c r="Z260" s="18"/>
      <c r="AA260" s="18"/>
    </row>
    <row r="261" spans="1:27" s="19" customFormat="1" ht="42.75" customHeight="1" x14ac:dyDescent="0.2">
      <c r="A261" s="268"/>
      <c r="B261" s="71"/>
      <c r="C261" s="71"/>
      <c r="D261" s="596"/>
      <c r="E261" s="363">
        <v>1985</v>
      </c>
      <c r="F261" s="694" t="s">
        <v>15782</v>
      </c>
      <c r="G261" s="695" t="s">
        <v>15891</v>
      </c>
      <c r="H261" s="71"/>
      <c r="I261" s="71"/>
      <c r="J261" s="596"/>
      <c r="K261" s="71"/>
      <c r="L261" s="274"/>
      <c r="M261" s="71"/>
      <c r="N261" s="729"/>
      <c r="O261" s="274"/>
      <c r="P261" s="406"/>
      <c r="Q261" s="410"/>
      <c r="R261" s="410"/>
      <c r="S261" s="618"/>
      <c r="T261" s="71"/>
      <c r="U261" s="71"/>
      <c r="V261" s="274"/>
      <c r="W261" s="18"/>
      <c r="X261" s="18"/>
      <c r="Y261" s="18"/>
      <c r="Z261" s="18"/>
      <c r="AA261" s="18"/>
    </row>
    <row r="262" spans="1:27" s="19" customFormat="1" ht="54.75" customHeight="1" x14ac:dyDescent="0.2">
      <c r="A262" s="268"/>
      <c r="B262" s="71"/>
      <c r="C262" s="71"/>
      <c r="D262" s="596"/>
      <c r="E262" s="363">
        <v>2008</v>
      </c>
      <c r="F262" s="694" t="s">
        <v>15782</v>
      </c>
      <c r="G262" s="361" t="s">
        <v>15892</v>
      </c>
      <c r="H262" s="71"/>
      <c r="I262" s="71"/>
      <c r="J262" s="596"/>
      <c r="K262" s="71"/>
      <c r="L262" s="274"/>
      <c r="M262" s="71"/>
      <c r="N262" s="729"/>
      <c r="O262" s="274"/>
      <c r="P262" s="406"/>
      <c r="Q262" s="410"/>
      <c r="R262" s="410"/>
      <c r="S262" s="618"/>
      <c r="T262" s="71"/>
      <c r="U262" s="71"/>
      <c r="V262" s="274"/>
      <c r="W262" s="18"/>
      <c r="X262" s="18"/>
      <c r="Y262" s="18"/>
      <c r="Z262" s="18"/>
      <c r="AA262" s="18"/>
    </row>
    <row r="263" spans="1:27" s="19" customFormat="1" ht="50.25" customHeight="1" x14ac:dyDescent="0.2">
      <c r="A263" s="268"/>
      <c r="B263" s="71"/>
      <c r="C263" s="71"/>
      <c r="D263" s="596"/>
      <c r="E263" s="361">
        <v>1985</v>
      </c>
      <c r="F263" s="583" t="s">
        <v>15782</v>
      </c>
      <c r="G263" s="361" t="s">
        <v>15893</v>
      </c>
      <c r="H263" s="71"/>
      <c r="I263" s="71"/>
      <c r="J263" s="596"/>
      <c r="K263" s="71"/>
      <c r="L263" s="274"/>
      <c r="M263" s="71"/>
      <c r="N263" s="729"/>
      <c r="O263" s="274"/>
      <c r="P263" s="406"/>
      <c r="Q263" s="410"/>
      <c r="R263" s="410"/>
      <c r="S263" s="618"/>
      <c r="T263" s="71"/>
      <c r="U263" s="71"/>
      <c r="V263" s="274"/>
      <c r="W263" s="18"/>
      <c r="X263" s="18"/>
      <c r="Y263" s="18"/>
      <c r="Z263" s="18"/>
      <c r="AA263" s="18"/>
    </row>
    <row r="264" spans="1:27" s="19" customFormat="1" ht="50.25" customHeight="1" x14ac:dyDescent="0.2">
      <c r="A264" s="268"/>
      <c r="B264" s="71"/>
      <c r="C264" s="71"/>
      <c r="D264" s="596"/>
      <c r="E264" s="361">
        <v>1985</v>
      </c>
      <c r="F264" s="694" t="s">
        <v>15782</v>
      </c>
      <c r="G264" s="361" t="s">
        <v>15894</v>
      </c>
      <c r="H264" s="71"/>
      <c r="I264" s="71"/>
      <c r="J264" s="596"/>
      <c r="K264" s="71"/>
      <c r="L264" s="274"/>
      <c r="M264" s="71"/>
      <c r="N264" s="729"/>
      <c r="O264" s="274"/>
      <c r="P264" s="406"/>
      <c r="Q264" s="410"/>
      <c r="R264" s="410"/>
      <c r="S264" s="618"/>
      <c r="T264" s="71"/>
      <c r="U264" s="71"/>
      <c r="V264" s="274"/>
      <c r="W264" s="18"/>
      <c r="X264" s="18"/>
      <c r="Y264" s="18"/>
      <c r="Z264" s="18"/>
      <c r="AA264" s="18"/>
    </row>
    <row r="265" spans="1:27" s="19" customFormat="1" ht="44.25" customHeight="1" x14ac:dyDescent="0.2">
      <c r="A265" s="268"/>
      <c r="B265" s="71"/>
      <c r="C265" s="71"/>
      <c r="D265" s="596"/>
      <c r="E265" s="363">
        <v>1988</v>
      </c>
      <c r="F265" s="694" t="s">
        <v>15782</v>
      </c>
      <c r="G265" s="695" t="s">
        <v>15895</v>
      </c>
      <c r="H265" s="71"/>
      <c r="I265" s="71"/>
      <c r="J265" s="596"/>
      <c r="K265" s="71"/>
      <c r="L265" s="730"/>
      <c r="M265" s="71"/>
      <c r="N265" s="729"/>
      <c r="O265" s="274"/>
      <c r="P265" s="406"/>
      <c r="Q265" s="410"/>
      <c r="R265" s="410"/>
      <c r="S265" s="618"/>
      <c r="T265" s="71"/>
      <c r="U265" s="71"/>
      <c r="V265" s="274"/>
      <c r="W265" s="18"/>
      <c r="X265" s="18"/>
      <c r="Y265" s="18"/>
      <c r="Z265" s="18"/>
      <c r="AA265" s="18"/>
    </row>
    <row r="266" spans="1:27" s="19" customFormat="1" ht="39.75" customHeight="1" x14ac:dyDescent="0.2">
      <c r="A266" s="268"/>
      <c r="B266" s="71"/>
      <c r="C266" s="71"/>
      <c r="D266" s="596"/>
      <c r="E266" s="363">
        <v>1988</v>
      </c>
      <c r="F266" s="694" t="s">
        <v>15782</v>
      </c>
      <c r="G266" s="695" t="s">
        <v>15896</v>
      </c>
      <c r="H266" s="71"/>
      <c r="I266" s="71"/>
      <c r="J266" s="596"/>
      <c r="K266" s="71"/>
      <c r="L266" s="274"/>
      <c r="M266" s="71"/>
      <c r="N266" s="729"/>
      <c r="O266" s="274"/>
      <c r="P266" s="406"/>
      <c r="Q266" s="410"/>
      <c r="R266" s="410"/>
      <c r="S266" s="618"/>
      <c r="T266" s="71"/>
      <c r="U266" s="71"/>
      <c r="V266" s="274"/>
      <c r="W266" s="18"/>
      <c r="X266" s="18"/>
      <c r="Y266" s="18"/>
      <c r="Z266" s="18"/>
      <c r="AA266" s="18"/>
    </row>
    <row r="267" spans="1:27" s="19" customFormat="1" ht="50.25" customHeight="1" x14ac:dyDescent="0.2">
      <c r="A267" s="268"/>
      <c r="B267" s="71"/>
      <c r="C267" s="71"/>
      <c r="D267" s="596"/>
      <c r="E267" s="363">
        <v>1997</v>
      </c>
      <c r="F267" s="694" t="s">
        <v>15897</v>
      </c>
      <c r="G267" s="695" t="s">
        <v>15898</v>
      </c>
      <c r="H267" s="71"/>
      <c r="I267" s="71"/>
      <c r="J267" s="596"/>
      <c r="K267" s="71"/>
      <c r="L267" s="274"/>
      <c r="M267" s="71"/>
      <c r="N267" s="729"/>
      <c r="O267" s="274"/>
      <c r="P267" s="406"/>
      <c r="Q267" s="410"/>
      <c r="R267" s="410"/>
      <c r="S267" s="618"/>
      <c r="T267" s="71"/>
      <c r="U267" s="71"/>
      <c r="V267" s="274"/>
      <c r="W267" s="18"/>
      <c r="X267" s="18"/>
      <c r="Y267" s="18"/>
      <c r="Z267" s="18"/>
      <c r="AA267" s="18"/>
    </row>
    <row r="268" spans="1:27" s="19" customFormat="1" ht="41.25" customHeight="1" x14ac:dyDescent="0.2">
      <c r="A268" s="268"/>
      <c r="B268" s="71"/>
      <c r="C268" s="71"/>
      <c r="D268" s="596"/>
      <c r="E268" s="363">
        <v>1988</v>
      </c>
      <c r="F268" s="694" t="s">
        <v>15782</v>
      </c>
      <c r="G268" s="695" t="s">
        <v>15899</v>
      </c>
      <c r="H268" s="71"/>
      <c r="I268" s="71"/>
      <c r="J268" s="596"/>
      <c r="K268" s="71"/>
      <c r="L268" s="274"/>
      <c r="M268" s="71"/>
      <c r="N268" s="729"/>
      <c r="O268" s="274"/>
      <c r="P268" s="406"/>
      <c r="Q268" s="410"/>
      <c r="R268" s="410"/>
      <c r="S268" s="618"/>
      <c r="T268" s="71"/>
      <c r="U268" s="71"/>
      <c r="V268" s="274"/>
      <c r="W268" s="18"/>
      <c r="X268" s="18"/>
      <c r="Y268" s="18"/>
      <c r="Z268" s="18"/>
      <c r="AA268" s="18"/>
    </row>
    <row r="269" spans="1:27" s="19" customFormat="1" ht="50.25" customHeight="1" x14ac:dyDescent="0.2">
      <c r="A269" s="268"/>
      <c r="B269" s="71"/>
      <c r="C269" s="71"/>
      <c r="D269" s="596"/>
      <c r="E269" s="363">
        <v>1988</v>
      </c>
      <c r="F269" s="694" t="s">
        <v>15782</v>
      </c>
      <c r="G269" s="361" t="s">
        <v>15900</v>
      </c>
      <c r="H269" s="71"/>
      <c r="I269" s="71"/>
      <c r="J269" s="596"/>
      <c r="K269" s="71"/>
      <c r="L269" s="274"/>
      <c r="M269" s="71"/>
      <c r="N269" s="729"/>
      <c r="O269" s="274"/>
      <c r="P269" s="406"/>
      <c r="Q269" s="410"/>
      <c r="R269" s="410"/>
      <c r="S269" s="618"/>
      <c r="T269" s="71"/>
      <c r="U269" s="71"/>
      <c r="V269" s="274"/>
      <c r="W269" s="18"/>
      <c r="X269" s="18"/>
      <c r="Y269" s="18"/>
      <c r="Z269" s="18"/>
      <c r="AA269" s="18"/>
    </row>
    <row r="270" spans="1:27" s="19" customFormat="1" ht="50.25" customHeight="1" x14ac:dyDescent="0.2">
      <c r="A270" s="268"/>
      <c r="B270" s="71"/>
      <c r="C270" s="71"/>
      <c r="D270" s="596"/>
      <c r="E270" s="363">
        <v>1988</v>
      </c>
      <c r="F270" s="694" t="s">
        <v>15782</v>
      </c>
      <c r="G270" s="361" t="s">
        <v>15901</v>
      </c>
      <c r="H270" s="71"/>
      <c r="I270" s="71"/>
      <c r="J270" s="596"/>
      <c r="K270" s="71"/>
      <c r="L270" s="730"/>
      <c r="M270" s="71"/>
      <c r="N270" s="729"/>
      <c r="O270" s="274"/>
      <c r="P270" s="406"/>
      <c r="Q270" s="410"/>
      <c r="R270" s="410"/>
      <c r="S270" s="618"/>
      <c r="T270" s="71"/>
      <c r="U270" s="71"/>
      <c r="V270" s="274"/>
      <c r="W270" s="18"/>
      <c r="X270" s="18"/>
      <c r="Y270" s="18"/>
      <c r="Z270" s="18"/>
      <c r="AA270" s="18"/>
    </row>
    <row r="271" spans="1:27" s="19" customFormat="1" ht="39" customHeight="1" x14ac:dyDescent="0.2">
      <c r="A271" s="268"/>
      <c r="B271" s="71"/>
      <c r="C271" s="71"/>
      <c r="D271" s="596"/>
      <c r="E271" s="363">
        <v>2001</v>
      </c>
      <c r="F271" s="694" t="s">
        <v>15712</v>
      </c>
      <c r="G271" s="695" t="s">
        <v>15902</v>
      </c>
      <c r="H271" s="71"/>
      <c r="I271" s="71"/>
      <c r="J271" s="596"/>
      <c r="K271" s="71"/>
      <c r="L271" s="274"/>
      <c r="M271" s="71"/>
      <c r="N271" s="729"/>
      <c r="O271" s="274"/>
      <c r="P271" s="406"/>
      <c r="Q271" s="410"/>
      <c r="R271" s="410"/>
      <c r="S271" s="618"/>
      <c r="T271" s="71"/>
      <c r="U271" s="71"/>
      <c r="V271" s="274"/>
      <c r="W271" s="18"/>
      <c r="X271" s="18"/>
      <c r="Y271" s="18"/>
      <c r="Z271" s="18"/>
      <c r="AA271" s="18"/>
    </row>
    <row r="272" spans="1:27" s="19" customFormat="1" ht="50.25" customHeight="1" x14ac:dyDescent="0.2">
      <c r="A272" s="268"/>
      <c r="B272" s="71"/>
      <c r="C272" s="71"/>
      <c r="D272" s="596"/>
      <c r="E272" s="363">
        <v>1988</v>
      </c>
      <c r="F272" s="694" t="s">
        <v>15782</v>
      </c>
      <c r="G272" s="361" t="s">
        <v>15903</v>
      </c>
      <c r="H272" s="71"/>
      <c r="I272" s="71"/>
      <c r="J272" s="596"/>
      <c r="K272" s="71"/>
      <c r="L272" s="730"/>
      <c r="M272" s="71"/>
      <c r="N272" s="729"/>
      <c r="O272" s="274"/>
      <c r="P272" s="406"/>
      <c r="Q272" s="410"/>
      <c r="R272" s="410"/>
      <c r="S272" s="618"/>
      <c r="T272" s="71"/>
      <c r="U272" s="71"/>
      <c r="V272" s="274"/>
      <c r="W272" s="18"/>
      <c r="X272" s="18"/>
      <c r="Y272" s="18"/>
      <c r="Z272" s="18"/>
      <c r="AA272" s="18"/>
    </row>
    <row r="273" spans="1:27" s="19" customFormat="1" ht="50.25" customHeight="1" x14ac:dyDescent="0.2">
      <c r="A273" s="268"/>
      <c r="B273" s="71"/>
      <c r="C273" s="71"/>
      <c r="D273" s="596"/>
      <c r="E273" s="363">
        <v>1988</v>
      </c>
      <c r="F273" s="694" t="s">
        <v>15782</v>
      </c>
      <c r="G273" s="361" t="s">
        <v>15904</v>
      </c>
      <c r="H273" s="71"/>
      <c r="I273" s="71"/>
      <c r="J273" s="596"/>
      <c r="K273" s="71"/>
      <c r="L273" s="730"/>
      <c r="M273" s="71"/>
      <c r="N273" s="729"/>
      <c r="O273" s="274"/>
      <c r="P273" s="406"/>
      <c r="Q273" s="410"/>
      <c r="R273" s="410"/>
      <c r="S273" s="618"/>
      <c r="T273" s="71"/>
      <c r="U273" s="71"/>
      <c r="V273" s="274"/>
      <c r="W273" s="18"/>
      <c r="X273" s="18"/>
      <c r="Y273" s="18"/>
      <c r="Z273" s="18"/>
      <c r="AA273" s="18"/>
    </row>
    <row r="274" spans="1:27" s="19" customFormat="1" ht="50.25" customHeight="1" x14ac:dyDescent="0.2">
      <c r="A274" s="268"/>
      <c r="B274" s="71"/>
      <c r="C274" s="71"/>
      <c r="D274" s="596"/>
      <c r="E274" s="363">
        <v>1988</v>
      </c>
      <c r="F274" s="694" t="s">
        <v>15782</v>
      </c>
      <c r="G274" s="695" t="s">
        <v>15905</v>
      </c>
      <c r="H274" s="71"/>
      <c r="I274" s="71"/>
      <c r="J274" s="596"/>
      <c r="K274" s="71"/>
      <c r="L274" s="730"/>
      <c r="M274" s="71"/>
      <c r="N274" s="729"/>
      <c r="O274" s="274"/>
      <c r="P274" s="406"/>
      <c r="Q274" s="410"/>
      <c r="R274" s="410"/>
      <c r="S274" s="618"/>
      <c r="T274" s="71"/>
      <c r="U274" s="71"/>
      <c r="V274" s="274"/>
      <c r="W274" s="18"/>
      <c r="X274" s="18"/>
      <c r="Y274" s="18"/>
      <c r="Z274" s="18"/>
      <c r="AA274" s="18"/>
    </row>
    <row r="275" spans="1:27" s="19" customFormat="1" ht="50.25" customHeight="1" x14ac:dyDescent="0.2">
      <c r="A275" s="268"/>
      <c r="B275" s="71"/>
      <c r="C275" s="71"/>
      <c r="D275" s="596"/>
      <c r="E275" s="363">
        <v>2006</v>
      </c>
      <c r="F275" s="694" t="s">
        <v>15906</v>
      </c>
      <c r="G275" s="695" t="s">
        <v>15907</v>
      </c>
      <c r="H275" s="71"/>
      <c r="I275" s="71"/>
      <c r="J275" s="596"/>
      <c r="K275" s="71"/>
      <c r="L275" s="274"/>
      <c r="M275" s="71"/>
      <c r="N275" s="729"/>
      <c r="O275" s="274"/>
      <c r="P275" s="406"/>
      <c r="Q275" s="410"/>
      <c r="R275" s="410"/>
      <c r="S275" s="618"/>
      <c r="T275" s="71"/>
      <c r="U275" s="71"/>
      <c r="V275" s="274"/>
      <c r="W275" s="18"/>
      <c r="X275" s="18"/>
      <c r="Y275" s="18"/>
      <c r="Z275" s="18"/>
      <c r="AA275" s="18"/>
    </row>
    <row r="276" spans="1:27" s="19" customFormat="1" ht="39" customHeight="1" x14ac:dyDescent="0.2">
      <c r="A276" s="268"/>
      <c r="B276" s="71"/>
      <c r="C276" s="71"/>
      <c r="D276" s="596"/>
      <c r="E276" s="363">
        <v>1988</v>
      </c>
      <c r="F276" s="694" t="s">
        <v>15782</v>
      </c>
      <c r="G276" s="695" t="s">
        <v>15908</v>
      </c>
      <c r="H276" s="71"/>
      <c r="I276" s="71"/>
      <c r="J276" s="596"/>
      <c r="K276" s="71"/>
      <c r="L276" s="274"/>
      <c r="M276" s="71"/>
      <c r="N276" s="729"/>
      <c r="O276" s="274"/>
      <c r="P276" s="406"/>
      <c r="Q276" s="410"/>
      <c r="R276" s="410"/>
      <c r="S276" s="618"/>
      <c r="T276" s="71"/>
      <c r="U276" s="71"/>
      <c r="V276" s="274"/>
      <c r="W276" s="18"/>
      <c r="X276" s="18"/>
      <c r="Y276" s="18"/>
      <c r="Z276" s="18"/>
      <c r="AA276" s="18"/>
    </row>
    <row r="277" spans="1:27" s="19" customFormat="1" ht="50.25" customHeight="1" x14ac:dyDescent="0.2">
      <c r="A277" s="268"/>
      <c r="B277" s="71"/>
      <c r="C277" s="71"/>
      <c r="D277" s="596"/>
      <c r="E277" s="363">
        <v>1988</v>
      </c>
      <c r="F277" s="694" t="s">
        <v>15782</v>
      </c>
      <c r="G277" s="361" t="s">
        <v>15909</v>
      </c>
      <c r="H277" s="71"/>
      <c r="I277" s="71"/>
      <c r="J277" s="596"/>
      <c r="K277" s="71"/>
      <c r="L277" s="274"/>
      <c r="M277" s="71"/>
      <c r="N277" s="729"/>
      <c r="O277" s="274"/>
      <c r="P277" s="406"/>
      <c r="Q277" s="410"/>
      <c r="R277" s="410"/>
      <c r="S277" s="618"/>
      <c r="T277" s="71"/>
      <c r="U277" s="71"/>
      <c r="V277" s="274"/>
      <c r="W277" s="18"/>
      <c r="X277" s="18"/>
      <c r="Y277" s="18"/>
      <c r="Z277" s="18"/>
      <c r="AA277" s="18"/>
    </row>
    <row r="278" spans="1:27" s="19" customFormat="1" ht="41.25" customHeight="1" x14ac:dyDescent="0.2">
      <c r="A278" s="268"/>
      <c r="B278" s="71"/>
      <c r="C278" s="71"/>
      <c r="D278" s="596"/>
      <c r="E278" s="363">
        <v>1988</v>
      </c>
      <c r="F278" s="694" t="s">
        <v>15782</v>
      </c>
      <c r="G278" s="695" t="s">
        <v>15910</v>
      </c>
      <c r="H278" s="71"/>
      <c r="I278" s="71"/>
      <c r="J278" s="596"/>
      <c r="K278" s="71"/>
      <c r="L278" s="274"/>
      <c r="M278" s="71"/>
      <c r="N278" s="729"/>
      <c r="O278" s="274"/>
      <c r="P278" s="406"/>
      <c r="Q278" s="410"/>
      <c r="R278" s="410"/>
      <c r="S278" s="618"/>
      <c r="T278" s="71"/>
      <c r="U278" s="71"/>
      <c r="V278" s="274"/>
      <c r="W278" s="18"/>
      <c r="X278" s="18"/>
      <c r="Y278" s="18"/>
      <c r="Z278" s="18"/>
      <c r="AA278" s="18"/>
    </row>
    <row r="279" spans="1:27" s="19" customFormat="1" ht="50.25" customHeight="1" x14ac:dyDescent="0.2">
      <c r="A279" s="268"/>
      <c r="B279" s="71"/>
      <c r="C279" s="71"/>
      <c r="D279" s="596"/>
      <c r="E279" s="363">
        <v>1988</v>
      </c>
      <c r="F279" s="694" t="s">
        <v>15782</v>
      </c>
      <c r="G279" s="361" t="s">
        <v>15911</v>
      </c>
      <c r="H279" s="71"/>
      <c r="I279" s="71"/>
      <c r="J279" s="596"/>
      <c r="K279" s="71"/>
      <c r="L279" s="274"/>
      <c r="M279" s="71"/>
      <c r="N279" s="729"/>
      <c r="O279" s="274"/>
      <c r="P279" s="406"/>
      <c r="Q279" s="410"/>
      <c r="R279" s="410"/>
      <c r="S279" s="618"/>
      <c r="T279" s="71"/>
      <c r="U279" s="71"/>
      <c r="V279" s="274"/>
      <c r="W279" s="18"/>
      <c r="X279" s="18"/>
      <c r="Y279" s="18"/>
      <c r="Z279" s="18"/>
      <c r="AA279" s="18"/>
    </row>
    <row r="280" spans="1:27" s="19" customFormat="1" ht="50.25" customHeight="1" x14ac:dyDescent="0.2">
      <c r="A280" s="268"/>
      <c r="B280" s="71"/>
      <c r="C280" s="71"/>
      <c r="D280" s="596"/>
      <c r="E280" s="363">
        <v>2002</v>
      </c>
      <c r="F280" s="694" t="s">
        <v>15782</v>
      </c>
      <c r="G280" s="695" t="s">
        <v>15912</v>
      </c>
      <c r="H280" s="71"/>
      <c r="I280" s="71"/>
      <c r="J280" s="596"/>
      <c r="K280" s="71"/>
      <c r="L280" s="274"/>
      <c r="M280" s="71"/>
      <c r="N280" s="729"/>
      <c r="O280" s="274"/>
      <c r="P280" s="406"/>
      <c r="Q280" s="410"/>
      <c r="R280" s="410"/>
      <c r="S280" s="618"/>
      <c r="T280" s="71"/>
      <c r="U280" s="71"/>
      <c r="V280" s="274"/>
      <c r="W280" s="18"/>
      <c r="X280" s="18"/>
      <c r="Y280" s="18"/>
      <c r="Z280" s="18"/>
      <c r="AA280" s="18"/>
    </row>
    <row r="281" spans="1:27" s="19" customFormat="1" ht="50.25" customHeight="1" x14ac:dyDescent="0.2">
      <c r="A281" s="268"/>
      <c r="B281" s="71"/>
      <c r="C281" s="71"/>
      <c r="D281" s="596"/>
      <c r="E281" s="363">
        <v>1988</v>
      </c>
      <c r="F281" s="694" t="s">
        <v>15782</v>
      </c>
      <c r="G281" s="361" t="s">
        <v>15913</v>
      </c>
      <c r="H281" s="71"/>
      <c r="I281" s="71"/>
      <c r="J281" s="596"/>
      <c r="K281" s="71"/>
      <c r="L281" s="274"/>
      <c r="M281" s="71"/>
      <c r="N281" s="729"/>
      <c r="O281" s="274"/>
      <c r="P281" s="406"/>
      <c r="Q281" s="410"/>
      <c r="R281" s="410"/>
      <c r="S281" s="618"/>
      <c r="T281" s="71"/>
      <c r="U281" s="71"/>
      <c r="V281" s="274"/>
      <c r="W281" s="18"/>
      <c r="X281" s="18"/>
      <c r="Y281" s="18"/>
      <c r="Z281" s="18"/>
      <c r="AA281" s="18"/>
    </row>
    <row r="282" spans="1:27" s="19" customFormat="1" ht="50.25" customHeight="1" x14ac:dyDescent="0.2">
      <c r="A282" s="268"/>
      <c r="B282" s="71"/>
      <c r="C282" s="71"/>
      <c r="D282" s="596"/>
      <c r="E282" s="363">
        <v>1997</v>
      </c>
      <c r="F282" s="694" t="s">
        <v>15914</v>
      </c>
      <c r="G282" s="361" t="s">
        <v>15915</v>
      </c>
      <c r="H282" s="71"/>
      <c r="I282" s="71"/>
      <c r="J282" s="596"/>
      <c r="K282" s="71"/>
      <c r="L282" s="274"/>
      <c r="M282" s="71"/>
      <c r="N282" s="729"/>
      <c r="O282" s="274"/>
      <c r="P282" s="406"/>
      <c r="Q282" s="410"/>
      <c r="R282" s="410"/>
      <c r="S282" s="618"/>
      <c r="T282" s="71"/>
      <c r="U282" s="71"/>
      <c r="V282" s="274"/>
      <c r="W282" s="18"/>
      <c r="X282" s="18"/>
      <c r="Y282" s="18"/>
      <c r="Z282" s="18"/>
      <c r="AA282" s="18"/>
    </row>
    <row r="283" spans="1:27" s="19" customFormat="1" ht="38.25" customHeight="1" x14ac:dyDescent="0.2">
      <c r="A283" s="268"/>
      <c r="B283" s="71"/>
      <c r="C283" s="71"/>
      <c r="D283" s="596"/>
      <c r="E283" s="363">
        <v>1988</v>
      </c>
      <c r="F283" s="694" t="s">
        <v>15782</v>
      </c>
      <c r="G283" s="361" t="s">
        <v>15916</v>
      </c>
      <c r="H283" s="71"/>
      <c r="I283" s="71"/>
      <c r="J283" s="596"/>
      <c r="K283" s="71"/>
      <c r="L283" s="730"/>
      <c r="M283" s="71"/>
      <c r="N283" s="729"/>
      <c r="O283" s="274"/>
      <c r="P283" s="406"/>
      <c r="Q283" s="410"/>
      <c r="R283" s="410"/>
      <c r="S283" s="618"/>
      <c r="T283" s="71"/>
      <c r="U283" s="71"/>
      <c r="V283" s="274"/>
      <c r="W283" s="18"/>
      <c r="X283" s="18"/>
      <c r="Y283" s="18"/>
      <c r="Z283" s="18"/>
      <c r="AA283" s="18"/>
    </row>
    <row r="284" spans="1:27" s="19" customFormat="1" ht="40.5" customHeight="1" x14ac:dyDescent="0.2">
      <c r="A284" s="268"/>
      <c r="B284" s="71"/>
      <c r="C284" s="71"/>
      <c r="D284" s="596"/>
      <c r="E284" s="363">
        <v>1988</v>
      </c>
      <c r="F284" s="694" t="s">
        <v>15782</v>
      </c>
      <c r="G284" s="361" t="s">
        <v>15917</v>
      </c>
      <c r="H284" s="71"/>
      <c r="I284" s="71"/>
      <c r="J284" s="596"/>
      <c r="K284" s="71"/>
      <c r="L284" s="730"/>
      <c r="M284" s="71"/>
      <c r="N284" s="729"/>
      <c r="O284" s="274"/>
      <c r="P284" s="406"/>
      <c r="Q284" s="410"/>
      <c r="R284" s="410"/>
      <c r="S284" s="618"/>
      <c r="T284" s="71"/>
      <c r="U284" s="71"/>
      <c r="V284" s="274"/>
      <c r="W284" s="18"/>
      <c r="X284" s="18"/>
      <c r="Y284" s="18"/>
      <c r="Z284" s="18"/>
      <c r="AA284" s="18"/>
    </row>
    <row r="285" spans="1:27" s="19" customFormat="1" ht="50.25" customHeight="1" x14ac:dyDescent="0.2">
      <c r="A285" s="268"/>
      <c r="B285" s="71"/>
      <c r="C285" s="71"/>
      <c r="D285" s="596"/>
      <c r="E285" s="361" t="s">
        <v>15918</v>
      </c>
      <c r="F285" s="694" t="s">
        <v>15919</v>
      </c>
      <c r="G285" s="589" t="s">
        <v>15920</v>
      </c>
      <c r="H285" s="71"/>
      <c r="I285" s="71"/>
      <c r="J285" s="596"/>
      <c r="K285" s="71"/>
      <c r="L285" s="730"/>
      <c r="M285" s="71"/>
      <c r="N285" s="729"/>
      <c r="O285" s="274"/>
      <c r="P285" s="406"/>
      <c r="Q285" s="410"/>
      <c r="R285" s="410"/>
      <c r="S285" s="618"/>
      <c r="T285" s="71"/>
      <c r="U285" s="71"/>
      <c r="V285" s="274"/>
      <c r="W285" s="18"/>
      <c r="X285" s="18"/>
      <c r="Y285" s="18"/>
      <c r="Z285" s="18"/>
      <c r="AA285" s="18"/>
    </row>
    <row r="286" spans="1:27" s="19" customFormat="1" ht="50.25" customHeight="1" x14ac:dyDescent="0.2">
      <c r="A286" s="268"/>
      <c r="B286" s="71"/>
      <c r="C286" s="71"/>
      <c r="D286" s="596"/>
      <c r="E286" s="363">
        <v>2001</v>
      </c>
      <c r="F286" s="694" t="s">
        <v>15782</v>
      </c>
      <c r="G286" s="361" t="s">
        <v>15921</v>
      </c>
      <c r="H286" s="71"/>
      <c r="I286" s="71"/>
      <c r="J286" s="596"/>
      <c r="K286" s="71"/>
      <c r="L286" s="730"/>
      <c r="M286" s="71"/>
      <c r="N286" s="729"/>
      <c r="O286" s="274"/>
      <c r="P286" s="406"/>
      <c r="Q286" s="410"/>
      <c r="R286" s="410"/>
      <c r="S286" s="264"/>
      <c r="T286" s="71"/>
      <c r="U286" s="71"/>
      <c r="V286" s="274"/>
      <c r="W286" s="18"/>
      <c r="X286" s="18"/>
      <c r="Y286" s="18"/>
      <c r="Z286" s="18"/>
      <c r="AA286" s="18"/>
    </row>
    <row r="287" spans="1:27" s="19" customFormat="1" ht="42" customHeight="1" x14ac:dyDescent="0.2">
      <c r="A287" s="268"/>
      <c r="B287" s="71"/>
      <c r="C287" s="71"/>
      <c r="D287" s="596"/>
      <c r="E287" s="363">
        <v>1996</v>
      </c>
      <c r="F287" s="694" t="s">
        <v>15782</v>
      </c>
      <c r="G287" s="361" t="s">
        <v>15922</v>
      </c>
      <c r="H287" s="71"/>
      <c r="I287" s="71"/>
      <c r="J287" s="596"/>
      <c r="K287" s="71"/>
      <c r="L287" s="730"/>
      <c r="M287" s="71"/>
      <c r="N287" s="729"/>
      <c r="O287" s="274"/>
      <c r="P287" s="406"/>
      <c r="Q287" s="410"/>
      <c r="R287" s="410"/>
      <c r="S287" s="264"/>
      <c r="T287" s="71"/>
      <c r="U287" s="71"/>
      <c r="V287" s="274"/>
      <c r="W287" s="18"/>
      <c r="X287" s="18"/>
      <c r="Y287" s="18"/>
      <c r="Z287" s="18"/>
      <c r="AA287" s="18"/>
    </row>
    <row r="288" spans="1:27" s="19" customFormat="1" ht="39.75" customHeight="1" x14ac:dyDescent="0.2">
      <c r="A288" s="268"/>
      <c r="B288" s="71"/>
      <c r="C288" s="71"/>
      <c r="D288" s="596"/>
      <c r="E288" s="363">
        <v>1995</v>
      </c>
      <c r="F288" s="694" t="s">
        <v>15782</v>
      </c>
      <c r="G288" s="361" t="s">
        <v>15923</v>
      </c>
      <c r="H288" s="71"/>
      <c r="I288" s="71"/>
      <c r="J288" s="596"/>
      <c r="K288" s="71"/>
      <c r="L288" s="274"/>
      <c r="M288" s="71"/>
      <c r="N288" s="729"/>
      <c r="O288" s="274"/>
      <c r="P288" s="406"/>
      <c r="Q288" s="410"/>
      <c r="R288" s="410"/>
      <c r="S288" s="264"/>
      <c r="T288" s="71"/>
      <c r="U288" s="71"/>
      <c r="V288" s="274"/>
      <c r="W288" s="18"/>
      <c r="X288" s="18"/>
      <c r="Y288" s="18"/>
      <c r="Z288" s="18"/>
      <c r="AA288" s="18"/>
    </row>
    <row r="289" spans="1:27" s="19" customFormat="1" ht="50.25" customHeight="1" x14ac:dyDescent="0.2">
      <c r="A289" s="268"/>
      <c r="B289" s="71"/>
      <c r="C289" s="71"/>
      <c r="D289" s="596"/>
      <c r="E289" s="363">
        <v>1996</v>
      </c>
      <c r="F289" s="694" t="s">
        <v>15924</v>
      </c>
      <c r="G289" s="285" t="s">
        <v>15925</v>
      </c>
      <c r="H289" s="71"/>
      <c r="I289" s="71"/>
      <c r="J289" s="596"/>
      <c r="K289" s="71"/>
      <c r="L289" s="730"/>
      <c r="M289" s="71"/>
      <c r="N289" s="729"/>
      <c r="O289" s="274"/>
      <c r="P289" s="406"/>
      <c r="Q289" s="410"/>
      <c r="R289" s="410"/>
      <c r="S289" s="264"/>
      <c r="T289" s="71"/>
      <c r="U289" s="71"/>
      <c r="V289" s="274"/>
      <c r="W289" s="18"/>
      <c r="X289" s="18"/>
      <c r="Y289" s="18"/>
      <c r="Z289" s="18"/>
      <c r="AA289" s="18"/>
    </row>
    <row r="290" spans="1:27" s="19" customFormat="1" ht="41.25" customHeight="1" x14ac:dyDescent="0.2">
      <c r="A290" s="268"/>
      <c r="B290" s="71"/>
      <c r="C290" s="71"/>
      <c r="D290" s="596"/>
      <c r="E290" s="361">
        <v>1985</v>
      </c>
      <c r="F290" s="583" t="s">
        <v>15782</v>
      </c>
      <c r="G290" s="695" t="s">
        <v>15926</v>
      </c>
      <c r="H290" s="71"/>
      <c r="I290" s="71"/>
      <c r="J290" s="596"/>
      <c r="K290" s="71"/>
      <c r="L290" s="274"/>
      <c r="M290" s="71"/>
      <c r="N290" s="729"/>
      <c r="O290" s="274"/>
      <c r="P290" s="406"/>
      <c r="Q290" s="410"/>
      <c r="R290" s="410"/>
      <c r="S290" s="264"/>
      <c r="T290" s="71"/>
      <c r="U290" s="71"/>
      <c r="V290" s="274"/>
      <c r="W290" s="18"/>
      <c r="X290" s="18"/>
      <c r="Y290" s="18"/>
      <c r="Z290" s="18"/>
      <c r="AA290" s="18"/>
    </row>
    <row r="291" spans="1:27" s="19" customFormat="1" ht="36.75" customHeight="1" x14ac:dyDescent="0.2">
      <c r="A291" s="268"/>
      <c r="B291" s="71"/>
      <c r="C291" s="71"/>
      <c r="D291" s="596"/>
      <c r="E291" s="361">
        <v>1985</v>
      </c>
      <c r="F291" s="583" t="s">
        <v>15782</v>
      </c>
      <c r="G291" s="695" t="s">
        <v>15927</v>
      </c>
      <c r="H291" s="71"/>
      <c r="I291" s="71"/>
      <c r="J291" s="596"/>
      <c r="K291" s="71"/>
      <c r="L291" s="274"/>
      <c r="M291" s="71"/>
      <c r="N291" s="729"/>
      <c r="O291" s="274"/>
      <c r="P291" s="406"/>
      <c r="Q291" s="410"/>
      <c r="R291" s="410"/>
      <c r="S291" s="264"/>
      <c r="T291" s="71"/>
      <c r="U291" s="71"/>
      <c r="V291" s="274"/>
      <c r="W291" s="18"/>
      <c r="X291" s="18"/>
      <c r="Y291" s="18"/>
      <c r="Z291" s="18"/>
      <c r="AA291" s="18"/>
    </row>
    <row r="292" spans="1:27" s="19" customFormat="1" ht="38.25" customHeight="1" x14ac:dyDescent="0.2">
      <c r="A292" s="268"/>
      <c r="B292" s="71"/>
      <c r="C292" s="71"/>
      <c r="D292" s="596"/>
      <c r="E292" s="361">
        <v>2006</v>
      </c>
      <c r="F292" s="583" t="s">
        <v>15928</v>
      </c>
      <c r="G292" s="695" t="s">
        <v>15929</v>
      </c>
      <c r="H292" s="71"/>
      <c r="I292" s="71"/>
      <c r="J292" s="596"/>
      <c r="K292" s="71"/>
      <c r="L292" s="274"/>
      <c r="M292" s="71"/>
      <c r="N292" s="729"/>
      <c r="O292" s="274"/>
      <c r="P292" s="406"/>
      <c r="Q292" s="410"/>
      <c r="R292" s="410"/>
      <c r="S292" s="264"/>
      <c r="T292" s="71"/>
      <c r="U292" s="71"/>
      <c r="V292" s="274"/>
      <c r="W292" s="18"/>
      <c r="X292" s="18"/>
      <c r="Y292" s="18"/>
      <c r="Z292" s="18"/>
      <c r="AA292" s="18"/>
    </row>
    <row r="293" spans="1:27" s="19" customFormat="1" ht="50.25" customHeight="1" x14ac:dyDescent="0.2">
      <c r="A293" s="268"/>
      <c r="B293" s="71"/>
      <c r="C293" s="71"/>
      <c r="D293" s="596"/>
      <c r="E293" s="361" t="s">
        <v>15930</v>
      </c>
      <c r="F293" s="583" t="s">
        <v>15931</v>
      </c>
      <c r="G293" s="695" t="s">
        <v>15932</v>
      </c>
      <c r="H293" s="71"/>
      <c r="I293" s="71"/>
      <c r="J293" s="596"/>
      <c r="K293" s="71"/>
      <c r="L293" s="274"/>
      <c r="M293" s="71"/>
      <c r="N293" s="729"/>
      <c r="O293" s="274"/>
      <c r="P293" s="406"/>
      <c r="Q293" s="410"/>
      <c r="R293" s="410"/>
      <c r="S293" s="264"/>
      <c r="T293" s="71"/>
      <c r="U293" s="71"/>
      <c r="V293" s="274"/>
      <c r="W293" s="18"/>
      <c r="X293" s="18"/>
      <c r="Y293" s="18"/>
      <c r="Z293" s="18"/>
      <c r="AA293" s="18"/>
    </row>
    <row r="294" spans="1:27" s="19" customFormat="1" ht="50.25" customHeight="1" x14ac:dyDescent="0.2">
      <c r="A294" s="268"/>
      <c r="B294" s="71"/>
      <c r="C294" s="71"/>
      <c r="D294" s="596"/>
      <c r="E294" s="361">
        <v>1985</v>
      </c>
      <c r="F294" s="583" t="s">
        <v>15782</v>
      </c>
      <c r="G294" s="695" t="s">
        <v>15933</v>
      </c>
      <c r="H294" s="71"/>
      <c r="I294" s="71"/>
      <c r="J294" s="596"/>
      <c r="K294" s="71"/>
      <c r="L294" s="274"/>
      <c r="M294" s="71"/>
      <c r="N294" s="729"/>
      <c r="O294" s="274"/>
      <c r="P294" s="406"/>
      <c r="Q294" s="410"/>
      <c r="R294" s="410"/>
      <c r="S294" s="264"/>
      <c r="T294" s="71"/>
      <c r="U294" s="71"/>
      <c r="V294" s="274"/>
      <c r="W294" s="18"/>
      <c r="X294" s="18"/>
      <c r="Y294" s="18"/>
      <c r="Z294" s="18"/>
      <c r="AA294" s="18"/>
    </row>
    <row r="295" spans="1:27" s="19" customFormat="1" ht="44.25" customHeight="1" x14ac:dyDescent="0.2">
      <c r="A295" s="268"/>
      <c r="B295" s="71"/>
      <c r="C295" s="71"/>
      <c r="D295" s="596"/>
      <c r="E295" s="361">
        <v>1985</v>
      </c>
      <c r="F295" s="583" t="s">
        <v>15782</v>
      </c>
      <c r="G295" s="695" t="s">
        <v>15934</v>
      </c>
      <c r="H295" s="71"/>
      <c r="I295" s="71"/>
      <c r="J295" s="596"/>
      <c r="K295" s="71"/>
      <c r="L295" s="274"/>
      <c r="M295" s="71"/>
      <c r="N295" s="729"/>
      <c r="O295" s="274"/>
      <c r="P295" s="406"/>
      <c r="Q295" s="410"/>
      <c r="R295" s="410"/>
      <c r="S295" s="264"/>
      <c r="T295" s="37"/>
      <c r="U295" s="37"/>
      <c r="V295" s="32"/>
      <c r="W295" s="18"/>
      <c r="X295" s="18"/>
      <c r="Y295" s="18"/>
      <c r="Z295" s="18"/>
      <c r="AA295" s="18"/>
    </row>
    <row r="296" spans="1:27" s="19" customFormat="1" ht="42" customHeight="1" x14ac:dyDescent="0.2">
      <c r="A296" s="268"/>
      <c r="B296" s="71"/>
      <c r="C296" s="71"/>
      <c r="D296" s="596"/>
      <c r="E296" s="361">
        <v>1993</v>
      </c>
      <c r="F296" s="583" t="s">
        <v>15782</v>
      </c>
      <c r="G296" s="695" t="s">
        <v>15935</v>
      </c>
      <c r="H296" s="71"/>
      <c r="I296" s="71"/>
      <c r="J296" s="596"/>
      <c r="K296" s="71"/>
      <c r="L296" s="274"/>
      <c r="M296" s="71"/>
      <c r="N296" s="729"/>
      <c r="O296" s="274"/>
      <c r="P296" s="406"/>
      <c r="Q296" s="410"/>
      <c r="R296" s="410"/>
      <c r="S296" s="264"/>
      <c r="T296" s="285"/>
      <c r="U296" s="14"/>
      <c r="V296" s="12"/>
      <c r="W296" s="18"/>
      <c r="X296" s="18"/>
      <c r="Y296" s="18"/>
      <c r="Z296" s="18"/>
      <c r="AA296" s="18"/>
    </row>
    <row r="297" spans="1:27" s="19" customFormat="1" ht="42" customHeight="1" x14ac:dyDescent="0.2">
      <c r="A297" s="268"/>
      <c r="B297" s="71"/>
      <c r="C297" s="71"/>
      <c r="D297" s="596"/>
      <c r="E297" s="361">
        <v>1985</v>
      </c>
      <c r="F297" s="583" t="s">
        <v>15782</v>
      </c>
      <c r="G297" s="695" t="s">
        <v>15936</v>
      </c>
      <c r="H297" s="71"/>
      <c r="I297" s="71"/>
      <c r="J297" s="596"/>
      <c r="K297" s="71"/>
      <c r="L297" s="274"/>
      <c r="M297" s="71"/>
      <c r="N297" s="729"/>
      <c r="O297" s="274"/>
      <c r="P297" s="406"/>
      <c r="Q297" s="410"/>
      <c r="R297" s="410"/>
      <c r="S297" s="264"/>
      <c r="T297" s="285"/>
      <c r="U297" s="14"/>
      <c r="V297" s="12"/>
      <c r="W297" s="18"/>
      <c r="X297" s="18"/>
      <c r="Y297" s="18"/>
      <c r="Z297" s="18"/>
      <c r="AA297" s="18"/>
    </row>
    <row r="298" spans="1:27" s="19" customFormat="1" ht="50.25" customHeight="1" x14ac:dyDescent="0.2">
      <c r="A298" s="268"/>
      <c r="B298" s="71"/>
      <c r="C298" s="71"/>
      <c r="D298" s="596"/>
      <c r="E298" s="361">
        <v>1985</v>
      </c>
      <c r="F298" s="583" t="s">
        <v>15782</v>
      </c>
      <c r="G298" s="695" t="s">
        <v>15937</v>
      </c>
      <c r="H298" s="71"/>
      <c r="I298" s="71"/>
      <c r="J298" s="596"/>
      <c r="K298" s="71"/>
      <c r="L298" s="274"/>
      <c r="M298" s="71"/>
      <c r="N298" s="729"/>
      <c r="O298" s="274"/>
      <c r="P298" s="406"/>
      <c r="Q298" s="410"/>
      <c r="R298" s="410"/>
      <c r="S298" s="264"/>
      <c r="T298" s="285"/>
      <c r="U298" s="14"/>
      <c r="V298" s="12"/>
      <c r="W298" s="18"/>
      <c r="X298" s="18"/>
      <c r="Y298" s="18"/>
      <c r="Z298" s="18"/>
      <c r="AA298" s="18"/>
    </row>
    <row r="299" spans="1:27" s="19" customFormat="1" ht="42.75" customHeight="1" x14ac:dyDescent="0.2">
      <c r="A299" s="268"/>
      <c r="B299" s="71"/>
      <c r="C299" s="71"/>
      <c r="D299" s="596"/>
      <c r="E299" s="361">
        <v>1985</v>
      </c>
      <c r="F299" s="583" t="s">
        <v>15782</v>
      </c>
      <c r="G299" s="361" t="s">
        <v>15938</v>
      </c>
      <c r="H299" s="71"/>
      <c r="I299" s="71"/>
      <c r="J299" s="596"/>
      <c r="K299" s="71"/>
      <c r="L299" s="274"/>
      <c r="M299" s="71"/>
      <c r="N299" s="729"/>
      <c r="O299" s="274"/>
      <c r="P299" s="406"/>
      <c r="Q299" s="410"/>
      <c r="R299" s="410"/>
      <c r="S299" s="264"/>
      <c r="T299" s="285"/>
      <c r="U299" s="14"/>
      <c r="V299" s="12"/>
      <c r="W299" s="18"/>
      <c r="X299" s="18"/>
      <c r="Y299" s="18"/>
      <c r="Z299" s="18"/>
      <c r="AA299" s="18"/>
    </row>
    <row r="300" spans="1:27" s="19" customFormat="1" ht="39.75" customHeight="1" x14ac:dyDescent="0.2">
      <c r="A300" s="268"/>
      <c r="B300" s="71"/>
      <c r="C300" s="71"/>
      <c r="D300" s="596"/>
      <c r="E300" s="589"/>
      <c r="F300" s="731"/>
      <c r="G300" s="361" t="s">
        <v>15939</v>
      </c>
      <c r="H300" s="71"/>
      <c r="I300" s="71"/>
      <c r="J300" s="596"/>
      <c r="K300" s="71"/>
      <c r="L300" s="274"/>
      <c r="M300" s="71"/>
      <c r="N300" s="729"/>
      <c r="O300" s="274"/>
      <c r="P300" s="406"/>
      <c r="Q300" s="410"/>
      <c r="R300" s="410"/>
      <c r="S300" s="264"/>
      <c r="T300" s="49"/>
      <c r="U300" s="53"/>
      <c r="V300" s="42"/>
      <c r="W300" s="18"/>
      <c r="X300" s="18"/>
      <c r="Y300" s="18"/>
      <c r="Z300" s="18"/>
      <c r="AA300" s="18"/>
    </row>
    <row r="301" spans="1:27" s="19" customFormat="1" ht="40.5" customHeight="1" x14ac:dyDescent="0.2">
      <c r="A301" s="268"/>
      <c r="B301" s="71"/>
      <c r="C301" s="71"/>
      <c r="D301" s="596"/>
      <c r="E301" s="361">
        <v>1985</v>
      </c>
      <c r="F301" s="583" t="s">
        <v>15782</v>
      </c>
      <c r="G301" s="361" t="s">
        <v>15940</v>
      </c>
      <c r="H301" s="71"/>
      <c r="I301" s="71"/>
      <c r="J301" s="596"/>
      <c r="K301" s="71"/>
      <c r="L301" s="274"/>
      <c r="M301" s="71"/>
      <c r="N301" s="729"/>
      <c r="O301" s="274"/>
      <c r="P301" s="406"/>
      <c r="Q301" s="410"/>
      <c r="R301" s="410"/>
      <c r="S301" s="264"/>
      <c r="T301" s="285"/>
      <c r="U301" s="14"/>
      <c r="V301" s="12"/>
      <c r="W301" s="18"/>
      <c r="X301" s="18"/>
      <c r="Y301" s="18"/>
      <c r="Z301" s="18"/>
      <c r="AA301" s="18"/>
    </row>
    <row r="302" spans="1:27" s="19" customFormat="1" ht="50.25" customHeight="1" x14ac:dyDescent="0.2">
      <c r="A302" s="268"/>
      <c r="B302" s="71"/>
      <c r="C302" s="71"/>
      <c r="D302" s="596"/>
      <c r="E302" s="361">
        <v>2009</v>
      </c>
      <c r="F302" s="583" t="s">
        <v>15782</v>
      </c>
      <c r="G302" s="361" t="s">
        <v>15941</v>
      </c>
      <c r="H302" s="71"/>
      <c r="I302" s="71"/>
      <c r="J302" s="596"/>
      <c r="K302" s="71"/>
      <c r="L302" s="274"/>
      <c r="M302" s="71"/>
      <c r="N302" s="729"/>
      <c r="O302" s="274"/>
      <c r="P302" s="406"/>
      <c r="Q302" s="410"/>
      <c r="R302" s="410"/>
      <c r="S302" s="264"/>
      <c r="T302" s="285"/>
      <c r="U302" s="14"/>
      <c r="V302" s="12"/>
      <c r="W302" s="18"/>
      <c r="X302" s="18"/>
      <c r="Y302" s="18"/>
      <c r="Z302" s="18"/>
      <c r="AA302" s="18"/>
    </row>
    <row r="303" spans="1:27" s="19" customFormat="1" ht="74.45" customHeight="1" x14ac:dyDescent="0.2">
      <c r="A303" s="268"/>
      <c r="B303" s="71"/>
      <c r="C303" s="71"/>
      <c r="D303" s="596"/>
      <c r="E303" s="361">
        <v>2000</v>
      </c>
      <c r="F303" s="583" t="s">
        <v>15782</v>
      </c>
      <c r="G303" s="361" t="s">
        <v>15942</v>
      </c>
      <c r="H303" s="71"/>
      <c r="I303" s="71"/>
      <c r="J303" s="596"/>
      <c r="K303" s="71"/>
      <c r="L303" s="274"/>
      <c r="M303" s="71"/>
      <c r="N303" s="729"/>
      <c r="O303" s="274"/>
      <c r="P303" s="406"/>
      <c r="Q303" s="410"/>
      <c r="R303" s="410"/>
      <c r="S303" s="264"/>
      <c r="T303" s="285"/>
      <c r="U303" s="14"/>
      <c r="V303" s="12"/>
      <c r="W303" s="18"/>
      <c r="X303" s="18"/>
      <c r="Y303" s="18"/>
      <c r="Z303" s="18"/>
      <c r="AA303" s="18"/>
    </row>
    <row r="304" spans="1:27" s="19" customFormat="1" ht="37.5" customHeight="1" x14ac:dyDescent="0.2">
      <c r="A304" s="268"/>
      <c r="B304" s="71"/>
      <c r="C304" s="71"/>
      <c r="D304" s="596"/>
      <c r="E304" s="361">
        <v>2009</v>
      </c>
      <c r="F304" s="583" t="s">
        <v>15943</v>
      </c>
      <c r="G304" s="361" t="s">
        <v>15944</v>
      </c>
      <c r="H304" s="71"/>
      <c r="I304" s="71"/>
      <c r="J304" s="596"/>
      <c r="K304" s="71"/>
      <c r="L304" s="274"/>
      <c r="M304" s="71"/>
      <c r="N304" s="729"/>
      <c r="O304" s="274"/>
      <c r="P304" s="406"/>
      <c r="Q304" s="410"/>
      <c r="R304" s="410"/>
      <c r="S304" s="264"/>
      <c r="T304" s="285"/>
      <c r="U304" s="14"/>
      <c r="V304" s="12"/>
      <c r="W304" s="18"/>
      <c r="X304" s="18"/>
      <c r="Y304" s="18"/>
      <c r="Z304" s="18"/>
      <c r="AA304" s="18"/>
    </row>
    <row r="305" spans="1:27" s="19" customFormat="1" ht="36" customHeight="1" x14ac:dyDescent="0.2">
      <c r="A305" s="268"/>
      <c r="B305" s="71"/>
      <c r="C305" s="71"/>
      <c r="D305" s="596"/>
      <c r="E305" s="363">
        <v>2006</v>
      </c>
      <c r="F305" s="694" t="s">
        <v>15782</v>
      </c>
      <c r="G305" s="695" t="s">
        <v>15945</v>
      </c>
      <c r="H305" s="71"/>
      <c r="I305" s="71"/>
      <c r="J305" s="596"/>
      <c r="K305" s="71"/>
      <c r="L305" s="274"/>
      <c r="M305" s="71"/>
      <c r="N305" s="729"/>
      <c r="O305" s="274"/>
      <c r="P305" s="406"/>
      <c r="Q305" s="410"/>
      <c r="R305" s="410"/>
      <c r="S305" s="264"/>
      <c r="T305" s="285"/>
      <c r="U305" s="14"/>
      <c r="V305" s="12"/>
      <c r="W305" s="18"/>
      <c r="X305" s="18"/>
      <c r="Y305" s="18"/>
      <c r="Z305" s="18"/>
      <c r="AA305" s="18"/>
    </row>
    <row r="306" spans="1:27" s="19" customFormat="1" ht="41.25" customHeight="1" x14ac:dyDescent="0.2">
      <c r="A306" s="268"/>
      <c r="B306" s="71"/>
      <c r="C306" s="71"/>
      <c r="D306" s="596"/>
      <c r="E306" s="363">
        <v>1988</v>
      </c>
      <c r="F306" s="694" t="s">
        <v>15782</v>
      </c>
      <c r="G306" s="695" t="s">
        <v>15946</v>
      </c>
      <c r="H306" s="71"/>
      <c r="I306" s="71"/>
      <c r="J306" s="596"/>
      <c r="K306" s="71"/>
      <c r="L306" s="730"/>
      <c r="M306" s="71"/>
      <c r="N306" s="729"/>
      <c r="O306" s="274"/>
      <c r="P306" s="406"/>
      <c r="Q306" s="410"/>
      <c r="R306" s="410"/>
      <c r="S306" s="264"/>
      <c r="T306" s="285"/>
      <c r="U306" s="14"/>
      <c r="V306" s="12"/>
      <c r="W306" s="18"/>
      <c r="X306" s="18"/>
      <c r="Y306" s="18"/>
      <c r="Z306" s="18"/>
      <c r="AA306" s="18"/>
    </row>
    <row r="307" spans="1:27" s="19" customFormat="1" ht="50.25" customHeight="1" x14ac:dyDescent="0.2">
      <c r="A307" s="268"/>
      <c r="B307" s="71"/>
      <c r="C307" s="71"/>
      <c r="D307" s="596"/>
      <c r="E307" s="363">
        <v>1996</v>
      </c>
      <c r="F307" s="694" t="s">
        <v>15782</v>
      </c>
      <c r="G307" s="361" t="s">
        <v>15947</v>
      </c>
      <c r="H307" s="71"/>
      <c r="I307" s="71"/>
      <c r="J307" s="596"/>
      <c r="K307" s="71"/>
      <c r="L307" s="730"/>
      <c r="M307" s="71"/>
      <c r="N307" s="729"/>
      <c r="O307" s="274"/>
      <c r="P307" s="406"/>
      <c r="Q307" s="410"/>
      <c r="R307" s="410"/>
      <c r="S307" s="264"/>
      <c r="T307" s="285"/>
      <c r="U307" s="14"/>
      <c r="V307" s="12"/>
      <c r="W307" s="18"/>
      <c r="X307" s="18"/>
      <c r="Y307" s="18"/>
      <c r="Z307" s="18"/>
      <c r="AA307" s="18"/>
    </row>
    <row r="308" spans="1:27" s="19" customFormat="1" ht="50.25" customHeight="1" x14ac:dyDescent="0.2">
      <c r="A308" s="268"/>
      <c r="B308" s="71"/>
      <c r="C308" s="71"/>
      <c r="D308" s="596"/>
      <c r="E308" s="361">
        <v>1985</v>
      </c>
      <c r="F308" s="583" t="s">
        <v>15782</v>
      </c>
      <c r="G308" s="695" t="s">
        <v>15948</v>
      </c>
      <c r="H308" s="71"/>
      <c r="I308" s="71"/>
      <c r="J308" s="596"/>
      <c r="K308" s="71"/>
      <c r="L308" s="274"/>
      <c r="M308" s="71"/>
      <c r="N308" s="729"/>
      <c r="O308" s="274"/>
      <c r="P308" s="406"/>
      <c r="Q308" s="410"/>
      <c r="R308" s="410"/>
      <c r="S308" s="264"/>
      <c r="T308" s="285"/>
      <c r="U308" s="14"/>
      <c r="V308" s="12"/>
      <c r="W308" s="18"/>
      <c r="X308" s="18"/>
      <c r="Y308" s="18"/>
      <c r="Z308" s="18"/>
      <c r="AA308" s="18"/>
    </row>
    <row r="309" spans="1:27" s="19" customFormat="1" ht="48.75" customHeight="1" x14ac:dyDescent="0.2">
      <c r="A309" s="268"/>
      <c r="B309" s="71"/>
      <c r="C309" s="71"/>
      <c r="D309" s="596"/>
      <c r="E309" s="732">
        <v>2001</v>
      </c>
      <c r="F309" s="694" t="s">
        <v>15906</v>
      </c>
      <c r="G309" s="361" t="s">
        <v>15949</v>
      </c>
      <c r="H309" s="71"/>
      <c r="I309" s="71"/>
      <c r="J309" s="596"/>
      <c r="K309" s="71"/>
      <c r="L309" s="274"/>
      <c r="M309" s="71"/>
      <c r="N309" s="729"/>
      <c r="O309" s="274"/>
      <c r="P309" s="406"/>
      <c r="Q309" s="410"/>
      <c r="R309" s="410"/>
      <c r="S309" s="264"/>
      <c r="T309" s="285"/>
      <c r="U309" s="14"/>
      <c r="V309" s="12"/>
      <c r="W309" s="18"/>
      <c r="X309" s="18"/>
      <c r="Y309" s="18"/>
      <c r="Z309" s="18"/>
      <c r="AA309" s="18"/>
    </row>
    <row r="310" spans="1:27" s="19" customFormat="1" ht="50.25" customHeight="1" x14ac:dyDescent="0.2">
      <c r="A310" s="268"/>
      <c r="B310" s="71"/>
      <c r="C310" s="71"/>
      <c r="D310" s="596"/>
      <c r="E310" s="363">
        <v>2009</v>
      </c>
      <c r="F310" s="694" t="s">
        <v>15782</v>
      </c>
      <c r="G310" s="361" t="s">
        <v>15950</v>
      </c>
      <c r="H310" s="71"/>
      <c r="I310" s="71"/>
      <c r="J310" s="596"/>
      <c r="K310" s="71"/>
      <c r="L310" s="730"/>
      <c r="M310" s="71"/>
      <c r="N310" s="729"/>
      <c r="O310" s="274"/>
      <c r="P310" s="733"/>
      <c r="Q310" s="62"/>
      <c r="R310" s="62"/>
      <c r="S310" s="57"/>
      <c r="T310" s="285"/>
      <c r="U310" s="14"/>
      <c r="V310" s="12"/>
      <c r="W310" s="18"/>
      <c r="X310" s="18"/>
      <c r="Y310" s="18"/>
      <c r="Z310" s="18"/>
      <c r="AA310" s="18"/>
    </row>
    <row r="311" spans="1:27" s="19" customFormat="1" ht="39.75" customHeight="1" x14ac:dyDescent="0.2">
      <c r="A311" s="20"/>
      <c r="B311" s="37"/>
      <c r="C311" s="37"/>
      <c r="D311" s="603"/>
      <c r="E311" s="363">
        <v>1988</v>
      </c>
      <c r="F311" s="694" t="s">
        <v>15782</v>
      </c>
      <c r="G311" s="695" t="s">
        <v>15951</v>
      </c>
      <c r="H311" s="37"/>
      <c r="I311" s="37"/>
      <c r="J311" s="603"/>
      <c r="K311" s="37"/>
      <c r="L311" s="734"/>
      <c r="M311" s="37"/>
      <c r="N311" s="563"/>
      <c r="O311" s="32"/>
      <c r="P311" s="40"/>
      <c r="Q311" s="40"/>
      <c r="R311" s="40"/>
      <c r="S311" s="15"/>
      <c r="T311" s="285"/>
      <c r="U311" s="14"/>
      <c r="V311" s="12"/>
      <c r="W311" s="18"/>
      <c r="X311" s="18"/>
      <c r="Y311" s="18"/>
      <c r="Z311" s="18"/>
      <c r="AA311" s="18"/>
    </row>
    <row r="312" spans="1:27" s="19" customFormat="1" ht="57.75" customHeight="1" x14ac:dyDescent="0.2">
      <c r="A312" s="326">
        <v>33</v>
      </c>
      <c r="B312" s="327" t="s">
        <v>15952</v>
      </c>
      <c r="C312" s="327" t="s">
        <v>15953</v>
      </c>
      <c r="D312" s="681" t="s">
        <v>15565</v>
      </c>
      <c r="E312" s="361"/>
      <c r="F312" s="255"/>
      <c r="G312" s="697" t="s">
        <v>15954</v>
      </c>
      <c r="H312" s="590" t="s">
        <v>4296</v>
      </c>
      <c r="I312" s="327" t="s">
        <v>3793</v>
      </c>
      <c r="J312" s="590"/>
      <c r="K312" s="327" t="s">
        <v>3136</v>
      </c>
      <c r="L312" s="717" t="s">
        <v>15955</v>
      </c>
      <c r="M312" s="718" t="s">
        <v>15956</v>
      </c>
      <c r="N312" s="683">
        <v>1330</v>
      </c>
      <c r="O312" s="330">
        <v>42627</v>
      </c>
      <c r="P312" s="413">
        <v>5</v>
      </c>
      <c r="Q312" s="413">
        <v>5</v>
      </c>
      <c r="R312" s="413">
        <v>0</v>
      </c>
      <c r="S312" s="693">
        <v>6845924</v>
      </c>
      <c r="T312" s="327" t="s">
        <v>15957</v>
      </c>
      <c r="U312" s="329" t="s">
        <v>15958</v>
      </c>
      <c r="V312" s="328" t="s">
        <v>15959</v>
      </c>
      <c r="W312" s="18"/>
      <c r="X312" s="18"/>
      <c r="Y312" s="18"/>
      <c r="Z312" s="18"/>
      <c r="AA312" s="18"/>
    </row>
    <row r="313" spans="1:27" s="19" customFormat="1" ht="66" customHeight="1" x14ac:dyDescent="0.2">
      <c r="A313" s="432"/>
      <c r="B313" s="611"/>
      <c r="C313" s="611"/>
      <c r="D313" s="597"/>
      <c r="E313" s="363">
        <v>1988</v>
      </c>
      <c r="F313" s="694" t="s">
        <v>15782</v>
      </c>
      <c r="G313" s="361" t="s">
        <v>15960</v>
      </c>
      <c r="H313" s="597"/>
      <c r="I313" s="611"/>
      <c r="J313" s="597"/>
      <c r="K313" s="611"/>
      <c r="L313" s="722"/>
      <c r="M313" s="723"/>
      <c r="N313" s="684"/>
      <c r="O313" s="653"/>
      <c r="P313" s="616"/>
      <c r="Q313" s="616"/>
      <c r="R313" s="616"/>
      <c r="S313" s="653"/>
      <c r="T313" s="611"/>
      <c r="U313" s="613"/>
      <c r="V313" s="612"/>
      <c r="W313" s="18"/>
      <c r="X313" s="18"/>
      <c r="Y313" s="18"/>
      <c r="Z313" s="18"/>
      <c r="AA313" s="18"/>
    </row>
    <row r="314" spans="1:27" s="19" customFormat="1" ht="40.5" customHeight="1" x14ac:dyDescent="0.2">
      <c r="A314" s="432"/>
      <c r="B314" s="611"/>
      <c r="C314" s="611"/>
      <c r="D314" s="597"/>
      <c r="E314" s="363">
        <v>1988</v>
      </c>
      <c r="F314" s="694" t="s">
        <v>15961</v>
      </c>
      <c r="G314" s="361" t="s">
        <v>15962</v>
      </c>
      <c r="H314" s="597"/>
      <c r="I314" s="611"/>
      <c r="J314" s="597"/>
      <c r="K314" s="611"/>
      <c r="L314" s="722"/>
      <c r="M314" s="723"/>
      <c r="N314" s="684"/>
      <c r="O314" s="653"/>
      <c r="P314" s="616"/>
      <c r="Q314" s="616"/>
      <c r="R314" s="616"/>
      <c r="S314" s="653"/>
      <c r="T314" s="611"/>
      <c r="U314" s="613"/>
      <c r="V314" s="612"/>
      <c r="W314" s="18"/>
      <c r="X314" s="18"/>
      <c r="Y314" s="18"/>
      <c r="Z314" s="18"/>
      <c r="AA314" s="18"/>
    </row>
    <row r="315" spans="1:27" s="19" customFormat="1" ht="50.25" customHeight="1" x14ac:dyDescent="0.2">
      <c r="A315" s="432"/>
      <c r="B315" s="611"/>
      <c r="C315" s="611"/>
      <c r="D315" s="597"/>
      <c r="E315" s="363">
        <v>1988</v>
      </c>
      <c r="F315" s="694" t="s">
        <v>15961</v>
      </c>
      <c r="G315" s="361" t="s">
        <v>15963</v>
      </c>
      <c r="H315" s="597"/>
      <c r="I315" s="611"/>
      <c r="J315" s="597"/>
      <c r="K315" s="611"/>
      <c r="L315" s="722"/>
      <c r="M315" s="723"/>
      <c r="N315" s="684"/>
      <c r="O315" s="653"/>
      <c r="P315" s="616"/>
      <c r="Q315" s="616"/>
      <c r="R315" s="616"/>
      <c r="S315" s="653"/>
      <c r="T315" s="611"/>
      <c r="U315" s="613"/>
      <c r="V315" s="612"/>
      <c r="W315" s="18"/>
      <c r="X315" s="18"/>
      <c r="Y315" s="18"/>
      <c r="Z315" s="18"/>
      <c r="AA315" s="18"/>
    </row>
    <row r="316" spans="1:27" s="19" customFormat="1" ht="50.25" customHeight="1" x14ac:dyDescent="0.2">
      <c r="A316" s="432"/>
      <c r="B316" s="611"/>
      <c r="C316" s="611"/>
      <c r="D316" s="597"/>
      <c r="E316" s="363">
        <v>1988</v>
      </c>
      <c r="F316" s="694" t="s">
        <v>15961</v>
      </c>
      <c r="G316" s="361" t="s">
        <v>15964</v>
      </c>
      <c r="H316" s="597"/>
      <c r="I316" s="611"/>
      <c r="J316" s="597"/>
      <c r="K316" s="611"/>
      <c r="L316" s="722"/>
      <c r="M316" s="723"/>
      <c r="N316" s="684"/>
      <c r="O316" s="653"/>
      <c r="P316" s="616"/>
      <c r="Q316" s="616"/>
      <c r="R316" s="616"/>
      <c r="S316" s="653"/>
      <c r="T316" s="611"/>
      <c r="U316" s="613"/>
      <c r="V316" s="612"/>
      <c r="W316" s="18"/>
      <c r="X316" s="18"/>
      <c r="Y316" s="18"/>
      <c r="Z316" s="18"/>
      <c r="AA316" s="18"/>
    </row>
    <row r="317" spans="1:27" s="19" customFormat="1" ht="49.5" customHeight="1" x14ac:dyDescent="0.2">
      <c r="A317" s="432"/>
      <c r="B317" s="611"/>
      <c r="C317" s="611"/>
      <c r="D317" s="597"/>
      <c r="E317" s="363">
        <v>1988</v>
      </c>
      <c r="F317" s="694" t="s">
        <v>15961</v>
      </c>
      <c r="G317" s="361" t="s">
        <v>15965</v>
      </c>
      <c r="H317" s="597"/>
      <c r="I317" s="611"/>
      <c r="J317" s="597"/>
      <c r="K317" s="611"/>
      <c r="L317" s="722"/>
      <c r="M317" s="723"/>
      <c r="N317" s="684"/>
      <c r="O317" s="653"/>
      <c r="P317" s="616"/>
      <c r="Q317" s="616"/>
      <c r="R317" s="616"/>
      <c r="S317" s="653"/>
      <c r="T317" s="332"/>
      <c r="U317" s="334"/>
      <c r="V317" s="333"/>
      <c r="W317" s="18"/>
      <c r="X317" s="18"/>
      <c r="Y317" s="18"/>
      <c r="Z317" s="18"/>
      <c r="AA317" s="18"/>
    </row>
    <row r="318" spans="1:27" s="19" customFormat="1" ht="24" customHeight="1" x14ac:dyDescent="0.2">
      <c r="A318" s="432"/>
      <c r="B318" s="611"/>
      <c r="C318" s="611"/>
      <c r="D318" s="597"/>
      <c r="E318" s="363"/>
      <c r="F318" s="694"/>
      <c r="G318" s="361" t="s">
        <v>15966</v>
      </c>
      <c r="H318" s="597"/>
      <c r="I318" s="611"/>
      <c r="J318" s="597"/>
      <c r="K318" s="611"/>
      <c r="L318" s="722"/>
      <c r="M318" s="723"/>
      <c r="N318" s="684"/>
      <c r="O318" s="653"/>
      <c r="P318" s="616"/>
      <c r="Q318" s="616"/>
      <c r="R318" s="616"/>
      <c r="S318" s="653"/>
      <c r="T318" s="37"/>
      <c r="U318" s="32"/>
      <c r="V318" s="60"/>
      <c r="W318" s="18"/>
      <c r="X318" s="18"/>
      <c r="Y318" s="18"/>
      <c r="Z318" s="18"/>
      <c r="AA318" s="18"/>
    </row>
    <row r="319" spans="1:27" s="19" customFormat="1" ht="57" customHeight="1" x14ac:dyDescent="0.2">
      <c r="A319" s="331"/>
      <c r="B319" s="332"/>
      <c r="C319" s="332"/>
      <c r="D319" s="604"/>
      <c r="E319" s="363"/>
      <c r="F319" s="694"/>
      <c r="G319" s="361" t="s">
        <v>15874</v>
      </c>
      <c r="H319" s="604"/>
      <c r="I319" s="332"/>
      <c r="J319" s="604"/>
      <c r="K319" s="332"/>
      <c r="L319" s="735"/>
      <c r="M319" s="727"/>
      <c r="N319" s="686"/>
      <c r="O319" s="335"/>
      <c r="P319" s="414"/>
      <c r="Q319" s="414"/>
      <c r="R319" s="414"/>
      <c r="S319" s="335"/>
      <c r="T319" s="37"/>
      <c r="U319" s="32"/>
      <c r="V319" s="60"/>
      <c r="W319" s="18"/>
      <c r="X319" s="18"/>
      <c r="Y319" s="18"/>
      <c r="Z319" s="18"/>
      <c r="AA319" s="18"/>
    </row>
    <row r="320" spans="1:27" s="19" customFormat="1" ht="65.25" customHeight="1" x14ac:dyDescent="0.2">
      <c r="A320" s="289">
        <v>34</v>
      </c>
      <c r="B320" s="289" t="s">
        <v>15967</v>
      </c>
      <c r="C320" s="285"/>
      <c r="D320" s="254" t="s">
        <v>15968</v>
      </c>
      <c r="E320" s="361"/>
      <c r="F320" s="255" t="s">
        <v>15969</v>
      </c>
      <c r="G320" s="361"/>
      <c r="H320" s="285" t="s">
        <v>4296</v>
      </c>
      <c r="I320" s="285" t="s">
        <v>1586</v>
      </c>
      <c r="J320" s="254"/>
      <c r="K320" s="285" t="s">
        <v>3136</v>
      </c>
      <c r="L320" s="140">
        <v>41911</v>
      </c>
      <c r="M320" s="361">
        <v>871</v>
      </c>
      <c r="N320" s="178">
        <v>106</v>
      </c>
      <c r="O320" s="15">
        <v>41898</v>
      </c>
      <c r="P320" s="40">
        <v>98887.25</v>
      </c>
      <c r="Q320" s="40">
        <v>98887.25</v>
      </c>
      <c r="R320" s="40">
        <f>P320-Q320</f>
        <v>0</v>
      </c>
      <c r="S320" s="472"/>
      <c r="T320" s="285" t="s">
        <v>5071</v>
      </c>
      <c r="U320" s="285"/>
      <c r="V320" s="285">
        <v>11</v>
      </c>
      <c r="W320" s="18"/>
      <c r="X320" s="18"/>
      <c r="Y320" s="18"/>
      <c r="Z320" s="18"/>
      <c r="AA320" s="18"/>
    </row>
    <row r="321" spans="1:27" s="19" customFormat="1" ht="87.75" customHeight="1" x14ac:dyDescent="0.2">
      <c r="A321" s="289">
        <v>35</v>
      </c>
      <c r="B321" s="289" t="s">
        <v>15970</v>
      </c>
      <c r="C321" s="285"/>
      <c r="D321" s="254" t="s">
        <v>15971</v>
      </c>
      <c r="E321" s="361">
        <v>2015</v>
      </c>
      <c r="F321" s="255" t="s">
        <v>15972</v>
      </c>
      <c r="G321" s="588" t="s">
        <v>15973</v>
      </c>
      <c r="H321" s="285" t="s">
        <v>4296</v>
      </c>
      <c r="I321" s="285" t="s">
        <v>1586</v>
      </c>
      <c r="J321" s="361"/>
      <c r="K321" s="285" t="s">
        <v>3136</v>
      </c>
      <c r="L321" s="140">
        <v>42369</v>
      </c>
      <c r="M321" s="139">
        <v>1082</v>
      </c>
      <c r="N321" s="178">
        <v>207</v>
      </c>
      <c r="O321" s="15">
        <v>42369</v>
      </c>
      <c r="P321" s="40">
        <v>2216016.73</v>
      </c>
      <c r="Q321" s="40">
        <v>775605.6</v>
      </c>
      <c r="R321" s="40">
        <f>P321-Q321</f>
        <v>1440411.13</v>
      </c>
      <c r="S321" s="472"/>
      <c r="T321" s="285" t="s">
        <v>7155</v>
      </c>
      <c r="U321" s="14">
        <v>40715</v>
      </c>
      <c r="V321" s="12" t="s">
        <v>15974</v>
      </c>
      <c r="W321" s="18"/>
      <c r="X321" s="18"/>
      <c r="Y321" s="18"/>
      <c r="Z321" s="18"/>
      <c r="AA321" s="18"/>
    </row>
    <row r="322" spans="1:27" s="19" customFormat="1" ht="66" customHeight="1" x14ac:dyDescent="0.2">
      <c r="A322" s="289">
        <v>36</v>
      </c>
      <c r="B322" s="285" t="s">
        <v>15975</v>
      </c>
      <c r="C322" s="285"/>
      <c r="D322" s="9" t="s">
        <v>15976</v>
      </c>
      <c r="E322" s="289">
        <v>1976</v>
      </c>
      <c r="F322" s="13" t="s">
        <v>15977</v>
      </c>
      <c r="G322" s="285" t="s">
        <v>14087</v>
      </c>
      <c r="H322" s="285" t="s">
        <v>14083</v>
      </c>
      <c r="I322" s="285" t="s">
        <v>2042</v>
      </c>
      <c r="J322" s="289" t="s">
        <v>2207</v>
      </c>
      <c r="K322" s="285" t="s">
        <v>14084</v>
      </c>
      <c r="L322" s="231">
        <v>44084</v>
      </c>
      <c r="M322" s="29">
        <v>10</v>
      </c>
      <c r="N322" s="285">
        <v>472</v>
      </c>
      <c r="O322" s="15">
        <v>38718</v>
      </c>
      <c r="P322" s="40">
        <v>454507</v>
      </c>
      <c r="Q322" s="40">
        <f>P322-R322</f>
        <v>454507</v>
      </c>
      <c r="R322" s="40">
        <v>0</v>
      </c>
      <c r="S322" s="15"/>
      <c r="T322" s="289"/>
      <c r="U322" s="289"/>
      <c r="V322" s="289"/>
      <c r="W322" s="289" t="s">
        <v>3136</v>
      </c>
      <c r="X322" s="15">
        <v>43592</v>
      </c>
      <c r="Y322" s="289">
        <v>373</v>
      </c>
      <c r="Z322" s="289"/>
      <c r="AA322" s="18"/>
    </row>
    <row r="323" spans="1:27" ht="18.75" customHeight="1" x14ac:dyDescent="0.2">
      <c r="C323" s="159"/>
      <c r="E323" s="159"/>
      <c r="F323" s="523"/>
      <c r="G323" s="159"/>
      <c r="H323" s="159"/>
      <c r="I323" s="159"/>
      <c r="J323" s="534"/>
      <c r="K323" s="159"/>
      <c r="L323" s="159"/>
      <c r="M323" s="159"/>
      <c r="N323" s="736">
        <f>SUM(N6:N322)</f>
        <v>73597.05</v>
      </c>
      <c r="O323" s="737"/>
      <c r="P323" s="738">
        <f>SUM(P6:P322)</f>
        <v>77904825.120000005</v>
      </c>
      <c r="Q323" s="738"/>
      <c r="R323" s="738"/>
      <c r="S323" s="526"/>
      <c r="T323" s="524"/>
      <c r="U323" s="524"/>
      <c r="V323" s="526"/>
    </row>
    <row r="324" spans="1:27" ht="30" customHeight="1" x14ac:dyDescent="0.2">
      <c r="L324" s="524"/>
      <c r="N324" s="572"/>
      <c r="P324" s="739"/>
    </row>
  </sheetData>
  <mergeCells count="147">
    <mergeCell ref="U312:U317"/>
    <mergeCell ref="V312:V317"/>
    <mergeCell ref="O312:O319"/>
    <mergeCell ref="P312:P319"/>
    <mergeCell ref="Q312:Q319"/>
    <mergeCell ref="R312:R319"/>
    <mergeCell ref="S312:S319"/>
    <mergeCell ref="T312:T317"/>
    <mergeCell ref="I312:I319"/>
    <mergeCell ref="J312:J319"/>
    <mergeCell ref="K312:K319"/>
    <mergeCell ref="L312:L319"/>
    <mergeCell ref="M312:M319"/>
    <mergeCell ref="N312:N319"/>
    <mergeCell ref="R169:R177"/>
    <mergeCell ref="S169:S177"/>
    <mergeCell ref="T169:T177"/>
    <mergeCell ref="U169:U177"/>
    <mergeCell ref="V169:V177"/>
    <mergeCell ref="A312:A319"/>
    <mergeCell ref="B312:B319"/>
    <mergeCell ref="C312:C319"/>
    <mergeCell ref="D312:D319"/>
    <mergeCell ref="H312:H319"/>
    <mergeCell ref="L169:L170"/>
    <mergeCell ref="M169:M177"/>
    <mergeCell ref="N169:N177"/>
    <mergeCell ref="O169:O177"/>
    <mergeCell ref="P169:P177"/>
    <mergeCell ref="Q169:Q177"/>
    <mergeCell ref="V136:V167"/>
    <mergeCell ref="F137:F164"/>
    <mergeCell ref="F165:F166"/>
    <mergeCell ref="A169:A177"/>
    <mergeCell ref="C169:C177"/>
    <mergeCell ref="D169:D177"/>
    <mergeCell ref="H169:H177"/>
    <mergeCell ref="I169:I177"/>
    <mergeCell ref="J169:J177"/>
    <mergeCell ref="K169:K177"/>
    <mergeCell ref="P136:P167"/>
    <mergeCell ref="Q136:Q167"/>
    <mergeCell ref="R136:R167"/>
    <mergeCell ref="S136:S167"/>
    <mergeCell ref="T136:T167"/>
    <mergeCell ref="U136:U167"/>
    <mergeCell ref="J136:J167"/>
    <mergeCell ref="K136:K167"/>
    <mergeCell ref="L136:L167"/>
    <mergeCell ref="M136:M167"/>
    <mergeCell ref="N136:N167"/>
    <mergeCell ref="O136:O167"/>
    <mergeCell ref="P119:P135"/>
    <mergeCell ref="Q119:Q135"/>
    <mergeCell ref="R119:R135"/>
    <mergeCell ref="S119:S135"/>
    <mergeCell ref="A136:A167"/>
    <mergeCell ref="B136:B167"/>
    <mergeCell ref="C136:C167"/>
    <mergeCell ref="D136:D167"/>
    <mergeCell ref="H136:H167"/>
    <mergeCell ref="I136:I167"/>
    <mergeCell ref="J119:J135"/>
    <mergeCell ref="K119:K135"/>
    <mergeCell ref="L119:L135"/>
    <mergeCell ref="M119:M135"/>
    <mergeCell ref="N119:N135"/>
    <mergeCell ref="O119:O135"/>
    <mergeCell ref="T78:T118"/>
    <mergeCell ref="U78:U118"/>
    <mergeCell ref="V78:V118"/>
    <mergeCell ref="H88:H118"/>
    <mergeCell ref="A119:A135"/>
    <mergeCell ref="B119:B135"/>
    <mergeCell ref="C119:C135"/>
    <mergeCell ref="D119:D135"/>
    <mergeCell ref="H119:H135"/>
    <mergeCell ref="I119:I135"/>
    <mergeCell ref="N78:N118"/>
    <mergeCell ref="O78:O118"/>
    <mergeCell ref="P78:P118"/>
    <mergeCell ref="Q78:Q118"/>
    <mergeCell ref="R78:R118"/>
    <mergeCell ref="S78:S118"/>
    <mergeCell ref="T44:T77"/>
    <mergeCell ref="U44:U77"/>
    <mergeCell ref="V44:V77"/>
    <mergeCell ref="A78:A118"/>
    <mergeCell ref="B78:B118"/>
    <mergeCell ref="C78:C118"/>
    <mergeCell ref="D78:D118"/>
    <mergeCell ref="J78:J118"/>
    <mergeCell ref="L78:L118"/>
    <mergeCell ref="M78:M118"/>
    <mergeCell ref="N44:N77"/>
    <mergeCell ref="O44:O77"/>
    <mergeCell ref="P44:P77"/>
    <mergeCell ref="Q44:Q77"/>
    <mergeCell ref="R44:R77"/>
    <mergeCell ref="S44:S77"/>
    <mergeCell ref="V30:V43"/>
    <mergeCell ref="A44:A77"/>
    <mergeCell ref="B44:B77"/>
    <mergeCell ref="C44:C77"/>
    <mergeCell ref="H44:H77"/>
    <mergeCell ref="I44:I77"/>
    <mergeCell ref="J44:J77"/>
    <mergeCell ref="K44:K77"/>
    <mergeCell ref="L44:L77"/>
    <mergeCell ref="M44:M77"/>
    <mergeCell ref="P30:P43"/>
    <mergeCell ref="Q30:Q43"/>
    <mergeCell ref="R30:R43"/>
    <mergeCell ref="S30:S43"/>
    <mergeCell ref="T30:T43"/>
    <mergeCell ref="U30:U43"/>
    <mergeCell ref="J30:J43"/>
    <mergeCell ref="K30:K43"/>
    <mergeCell ref="L30:L43"/>
    <mergeCell ref="M30:M43"/>
    <mergeCell ref="N30:N43"/>
    <mergeCell ref="O30:O43"/>
    <mergeCell ref="P3:S3"/>
    <mergeCell ref="T3:V3"/>
    <mergeCell ref="W3:Y3"/>
    <mergeCell ref="Z3:AA3"/>
    <mergeCell ref="A30:A43"/>
    <mergeCell ref="B30:B43"/>
    <mergeCell ref="C30:C43"/>
    <mergeCell ref="D30:D43"/>
    <mergeCell ref="H30:H43"/>
    <mergeCell ref="I30:I43"/>
    <mergeCell ref="H3:H4"/>
    <mergeCell ref="I3:I4"/>
    <mergeCell ref="J3:J4"/>
    <mergeCell ref="K3:M3"/>
    <mergeCell ref="N3:N4"/>
    <mergeCell ref="O3:O4"/>
    <mergeCell ref="A1:C1"/>
    <mergeCell ref="E1:G1"/>
    <mergeCell ref="A3:A4"/>
    <mergeCell ref="B3:B4"/>
    <mergeCell ref="C3:C4"/>
    <mergeCell ref="D3:D4"/>
    <mergeCell ref="E3:E4"/>
    <mergeCell ref="F3:F4"/>
    <mergeCell ref="G3:G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9"/>
  <sheetViews>
    <sheetView topLeftCell="A98" workbookViewId="0">
      <selection activeCell="Q104" sqref="Q104:R104"/>
    </sheetView>
  </sheetViews>
  <sheetFormatPr defaultColWidth="9.140625" defaultRowHeight="12.75" x14ac:dyDescent="0.2"/>
  <cols>
    <col min="1" max="1" width="5" style="90" customWidth="1"/>
    <col min="2" max="2" width="9.5703125" style="6" customWidth="1"/>
    <col min="3" max="3" width="9.140625" style="146" customWidth="1"/>
    <col min="4" max="4" width="13.28515625" style="6" customWidth="1"/>
    <col min="5" max="5" width="9.85546875" style="485" customWidth="1"/>
    <col min="6" max="6" width="13.7109375" style="450" customWidth="1"/>
    <col min="7" max="7" width="17.7109375" style="450" customWidth="1"/>
    <col min="8" max="8" width="13.85546875" style="7" customWidth="1"/>
    <col min="9" max="9" width="10" style="450" customWidth="1"/>
    <col min="10" max="10" width="7.85546875" style="450" customWidth="1"/>
    <col min="11" max="11" width="11.42578125" style="450" customWidth="1"/>
    <col min="12" max="12" width="10" style="450" customWidth="1"/>
    <col min="13" max="13" width="13.7109375" style="450" customWidth="1"/>
    <col min="14" max="14" width="12" style="90" customWidth="1"/>
    <col min="15" max="15" width="11" style="90" customWidth="1"/>
    <col min="16" max="16" width="14.7109375" style="90" customWidth="1"/>
    <col min="17" max="17" width="12.85546875" style="90" customWidth="1"/>
    <col min="18" max="18" width="14.42578125" style="90" customWidth="1"/>
    <col min="19" max="19" width="11.28515625" style="6" customWidth="1"/>
    <col min="20" max="20" width="17.140625" style="90" customWidth="1"/>
    <col min="21" max="21" width="10.7109375" style="90" customWidth="1"/>
    <col min="22" max="22" width="12.42578125" style="90" customWidth="1"/>
    <col min="23" max="24" width="9.140625" style="6"/>
    <col min="25" max="25" width="1.5703125" style="6" customWidth="1"/>
    <col min="26" max="27" width="9.140625" style="6"/>
    <col min="28" max="28" width="7.42578125" style="6" customWidth="1"/>
    <col min="29" max="29" width="8.5703125" style="6" customWidth="1"/>
    <col min="30" max="16384" width="9.140625" style="6"/>
  </cols>
  <sheetData>
    <row r="1" spans="1:29" ht="15.75" x14ac:dyDescent="0.2">
      <c r="A1" s="318" t="s">
        <v>12980</v>
      </c>
      <c r="B1" s="318"/>
      <c r="C1" s="318"/>
      <c r="D1" s="740"/>
      <c r="E1" s="674"/>
      <c r="F1" s="674"/>
      <c r="G1" s="741"/>
      <c r="H1" s="90"/>
      <c r="I1" s="6"/>
      <c r="J1" s="6"/>
      <c r="K1" s="6"/>
      <c r="L1" s="6"/>
      <c r="M1" s="6"/>
      <c r="N1" s="676"/>
      <c r="P1" s="7"/>
      <c r="Q1" s="676"/>
      <c r="R1" s="676"/>
      <c r="W1" s="90"/>
      <c r="AC1" s="742"/>
    </row>
    <row r="2" spans="1:29" ht="15" customHeight="1" x14ac:dyDescent="0.2">
      <c r="A2" s="91" t="s">
        <v>15978</v>
      </c>
      <c r="B2" s="91"/>
      <c r="C2" s="743"/>
      <c r="D2" s="91"/>
      <c r="E2" s="103"/>
      <c r="F2" s="112"/>
      <c r="G2" s="112"/>
      <c r="I2" s="6"/>
      <c r="J2" s="6"/>
      <c r="K2" s="6"/>
      <c r="W2" s="90"/>
      <c r="X2" s="92"/>
      <c r="Y2" s="92"/>
      <c r="AC2" s="744"/>
    </row>
    <row r="3" spans="1:29" ht="13.5" thickBot="1" x14ac:dyDescent="0.25">
      <c r="C3" s="146" t="s">
        <v>3211</v>
      </c>
    </row>
    <row r="4" spans="1:29" s="19" customFormat="1" ht="23.25" customHeight="1" thickBot="1" x14ac:dyDescent="0.25">
      <c r="A4" s="539" t="s">
        <v>3972</v>
      </c>
      <c r="B4" s="540" t="s">
        <v>6165</v>
      </c>
      <c r="C4" s="538" t="s">
        <v>12408</v>
      </c>
      <c r="D4" s="745" t="s">
        <v>1995</v>
      </c>
      <c r="E4" s="746" t="s">
        <v>12982</v>
      </c>
      <c r="F4" s="541" t="s">
        <v>438</v>
      </c>
      <c r="G4" s="747" t="s">
        <v>14021</v>
      </c>
      <c r="H4" s="538" t="s">
        <v>2417</v>
      </c>
      <c r="I4" s="538" t="s">
        <v>5331</v>
      </c>
      <c r="J4" s="297" t="s">
        <v>12419</v>
      </c>
      <c r="K4" s="300" t="s">
        <v>3130</v>
      </c>
      <c r="L4" s="303"/>
      <c r="M4" s="301"/>
      <c r="N4" s="297" t="s">
        <v>14022</v>
      </c>
      <c r="O4" s="543" t="s">
        <v>5405</v>
      </c>
      <c r="P4" s="544" t="s">
        <v>14024</v>
      </c>
      <c r="Q4" s="545"/>
      <c r="R4" s="748"/>
      <c r="S4" s="749"/>
      <c r="T4" s="300" t="s">
        <v>6338</v>
      </c>
      <c r="U4" s="303"/>
      <c r="V4" s="304"/>
    </row>
    <row r="5" spans="1:29" s="19" customFormat="1" ht="42" customHeight="1" thickBot="1" x14ac:dyDescent="0.25">
      <c r="A5" s="549"/>
      <c r="B5" s="550"/>
      <c r="C5" s="548"/>
      <c r="D5" s="750"/>
      <c r="E5" s="751"/>
      <c r="F5" s="551"/>
      <c r="G5" s="752"/>
      <c r="H5" s="548"/>
      <c r="I5" s="548"/>
      <c r="J5" s="298"/>
      <c r="K5" s="753" t="s">
        <v>3771</v>
      </c>
      <c r="L5" s="93" t="s">
        <v>1598</v>
      </c>
      <c r="M5" s="322" t="s">
        <v>3131</v>
      </c>
      <c r="N5" s="298"/>
      <c r="O5" s="581"/>
      <c r="P5" s="282" t="s">
        <v>38</v>
      </c>
      <c r="Q5" s="286" t="s">
        <v>5794</v>
      </c>
      <c r="R5" s="323" t="s">
        <v>2252</v>
      </c>
      <c r="S5" s="323" t="s">
        <v>12413</v>
      </c>
      <c r="T5" s="94" t="s">
        <v>3771</v>
      </c>
      <c r="U5" s="94" t="s">
        <v>1598</v>
      </c>
      <c r="V5" s="94" t="s">
        <v>3131</v>
      </c>
    </row>
    <row r="6" spans="1:29" s="39" customFormat="1" ht="12" x14ac:dyDescent="0.2">
      <c r="A6" s="37">
        <v>1</v>
      </c>
      <c r="B6" s="37">
        <v>2</v>
      </c>
      <c r="C6" s="285">
        <v>3</v>
      </c>
      <c r="D6" s="289">
        <v>4</v>
      </c>
      <c r="E6" s="12" t="s">
        <v>2380</v>
      </c>
      <c r="F6" s="289">
        <v>6</v>
      </c>
      <c r="G6" s="289">
        <v>7</v>
      </c>
      <c r="H6" s="289">
        <v>8</v>
      </c>
      <c r="I6" s="289">
        <v>9</v>
      </c>
      <c r="J6" s="289">
        <v>10</v>
      </c>
      <c r="K6" s="289">
        <v>11</v>
      </c>
      <c r="L6" s="289">
        <v>12</v>
      </c>
      <c r="M6" s="289">
        <v>13</v>
      </c>
      <c r="N6" s="289">
        <v>14</v>
      </c>
      <c r="O6" s="289">
        <v>15</v>
      </c>
      <c r="P6" s="20">
        <v>16</v>
      </c>
      <c r="Q6" s="113">
        <v>17</v>
      </c>
      <c r="R6" s="20">
        <v>18</v>
      </c>
      <c r="S6" s="20">
        <v>19</v>
      </c>
      <c r="T6" s="754">
        <v>20</v>
      </c>
      <c r="U6" s="72">
        <v>21</v>
      </c>
      <c r="V6" s="289">
        <v>22</v>
      </c>
    </row>
    <row r="7" spans="1:29" s="39" customFormat="1" ht="35.25" customHeight="1" x14ac:dyDescent="0.2">
      <c r="A7" s="326">
        <v>1</v>
      </c>
      <c r="B7" s="326" t="s">
        <v>15979</v>
      </c>
      <c r="C7" s="327" t="s">
        <v>15980</v>
      </c>
      <c r="D7" s="702" t="s">
        <v>15981</v>
      </c>
      <c r="E7" s="755" t="s">
        <v>14191</v>
      </c>
      <c r="F7" s="327" t="s">
        <v>15982</v>
      </c>
      <c r="G7" s="18" t="s">
        <v>15983</v>
      </c>
      <c r="H7" s="327" t="s">
        <v>4296</v>
      </c>
      <c r="I7" s="327" t="s">
        <v>1586</v>
      </c>
      <c r="J7" s="326"/>
      <c r="K7" s="22" t="s">
        <v>3136</v>
      </c>
      <c r="L7" s="15">
        <v>43917</v>
      </c>
      <c r="M7" s="289">
        <v>280</v>
      </c>
      <c r="N7" s="425" t="s">
        <v>15984</v>
      </c>
      <c r="O7" s="425"/>
      <c r="P7" s="413">
        <v>1414729.45</v>
      </c>
      <c r="Q7" s="413">
        <v>968267.16</v>
      </c>
      <c r="R7" s="413">
        <f>P7-Q7</f>
        <v>446462.28999999992</v>
      </c>
      <c r="S7" s="62">
        <v>4863212</v>
      </c>
      <c r="T7" s="754"/>
      <c r="U7" s="72"/>
      <c r="V7" s="289"/>
    </row>
    <row r="8" spans="1:29" s="19" customFormat="1" ht="36.75" customHeight="1" x14ac:dyDescent="0.2">
      <c r="A8" s="432"/>
      <c r="B8" s="432"/>
      <c r="C8" s="611"/>
      <c r="D8" s="706"/>
      <c r="E8" s="756"/>
      <c r="F8" s="332"/>
      <c r="G8" s="9" t="s">
        <v>15985</v>
      </c>
      <c r="H8" s="611"/>
      <c r="I8" s="611"/>
      <c r="J8" s="432"/>
      <c r="K8" s="285" t="s">
        <v>3132</v>
      </c>
      <c r="L8" s="14">
        <v>38705</v>
      </c>
      <c r="M8" s="285" t="s">
        <v>14035</v>
      </c>
      <c r="N8" s="285">
        <v>58.82</v>
      </c>
      <c r="O8" s="15">
        <v>39722</v>
      </c>
      <c r="P8" s="616"/>
      <c r="Q8" s="616"/>
      <c r="R8" s="616"/>
      <c r="S8" s="18"/>
      <c r="T8" s="327" t="s">
        <v>15986</v>
      </c>
      <c r="U8" s="329" t="s">
        <v>15987</v>
      </c>
      <c r="V8" s="327" t="s">
        <v>15988</v>
      </c>
    </row>
    <row r="9" spans="1:29" s="19" customFormat="1" ht="36" customHeight="1" x14ac:dyDescent="0.2">
      <c r="A9" s="432"/>
      <c r="B9" s="432"/>
      <c r="C9" s="611"/>
      <c r="D9" s="706"/>
      <c r="E9" s="12">
        <v>1986</v>
      </c>
      <c r="F9" s="9" t="s">
        <v>15989</v>
      </c>
      <c r="G9" s="9" t="s">
        <v>15990</v>
      </c>
      <c r="H9" s="611"/>
      <c r="I9" s="611"/>
      <c r="J9" s="432"/>
      <c r="K9" s="22" t="s">
        <v>3136</v>
      </c>
      <c r="L9" s="14">
        <v>39052</v>
      </c>
      <c r="M9" s="285">
        <v>868</v>
      </c>
      <c r="N9" s="285">
        <v>121.49</v>
      </c>
      <c r="O9" s="15">
        <v>39722</v>
      </c>
      <c r="P9" s="616"/>
      <c r="Q9" s="616"/>
      <c r="R9" s="616"/>
      <c r="S9" s="18"/>
      <c r="T9" s="611"/>
      <c r="U9" s="613"/>
      <c r="V9" s="611"/>
    </row>
    <row r="10" spans="1:29" s="19" customFormat="1" ht="37.5" customHeight="1" x14ac:dyDescent="0.2">
      <c r="A10" s="432"/>
      <c r="B10" s="432"/>
      <c r="C10" s="611"/>
      <c r="D10" s="706"/>
      <c r="E10" s="12">
        <v>1983</v>
      </c>
      <c r="F10" s="9" t="s">
        <v>15991</v>
      </c>
      <c r="G10" s="9" t="s">
        <v>15992</v>
      </c>
      <c r="H10" s="611"/>
      <c r="I10" s="611"/>
      <c r="J10" s="432"/>
      <c r="K10" s="22" t="s">
        <v>3136</v>
      </c>
      <c r="L10" s="14" t="s">
        <v>15993</v>
      </c>
      <c r="M10" s="285" t="s">
        <v>15994</v>
      </c>
      <c r="N10" s="285">
        <v>195.42</v>
      </c>
      <c r="O10" s="15">
        <v>39722</v>
      </c>
      <c r="P10" s="616"/>
      <c r="Q10" s="616"/>
      <c r="R10" s="616"/>
      <c r="S10" s="18"/>
      <c r="T10" s="611"/>
      <c r="U10" s="613"/>
      <c r="V10" s="611"/>
    </row>
    <row r="11" spans="1:29" s="19" customFormat="1" ht="54.75" customHeight="1" x14ac:dyDescent="0.2">
      <c r="A11" s="432"/>
      <c r="B11" s="432"/>
      <c r="C11" s="611"/>
      <c r="D11" s="706"/>
      <c r="E11" s="12" t="s">
        <v>15995</v>
      </c>
      <c r="F11" s="9" t="s">
        <v>15996</v>
      </c>
      <c r="G11" s="9" t="s">
        <v>15997</v>
      </c>
      <c r="H11" s="611"/>
      <c r="I11" s="611"/>
      <c r="J11" s="432"/>
      <c r="K11" s="22" t="s">
        <v>3136</v>
      </c>
      <c r="L11" s="14" t="s">
        <v>15993</v>
      </c>
      <c r="M11" s="285" t="s">
        <v>15994</v>
      </c>
      <c r="N11" s="289">
        <v>96.15</v>
      </c>
      <c r="O11" s="15">
        <v>40299</v>
      </c>
      <c r="P11" s="616"/>
      <c r="Q11" s="616"/>
      <c r="R11" s="616"/>
      <c r="S11" s="18"/>
      <c r="T11" s="611"/>
      <c r="U11" s="613"/>
      <c r="V11" s="611"/>
    </row>
    <row r="12" spans="1:29" s="19" customFormat="1" ht="39" customHeight="1" x14ac:dyDescent="0.2">
      <c r="A12" s="432"/>
      <c r="B12" s="432"/>
      <c r="C12" s="611"/>
      <c r="D12" s="706"/>
      <c r="E12" s="12" t="s">
        <v>15998</v>
      </c>
      <c r="F12" s="9" t="s">
        <v>15999</v>
      </c>
      <c r="G12" s="18" t="s">
        <v>16000</v>
      </c>
      <c r="H12" s="611"/>
      <c r="I12" s="611"/>
      <c r="J12" s="432"/>
      <c r="K12" s="22" t="s">
        <v>3136</v>
      </c>
      <c r="L12" s="14" t="s">
        <v>15993</v>
      </c>
      <c r="M12" s="285" t="s">
        <v>15994</v>
      </c>
      <c r="N12" s="289">
        <v>69.459999999999994</v>
      </c>
      <c r="O12" s="15">
        <v>40422</v>
      </c>
      <c r="P12" s="616"/>
      <c r="Q12" s="616"/>
      <c r="R12" s="616"/>
      <c r="S12" s="18"/>
      <c r="T12" s="611"/>
      <c r="U12" s="613"/>
      <c r="V12" s="611"/>
    </row>
    <row r="13" spans="1:29" s="19" customFormat="1" ht="48.75" customHeight="1" x14ac:dyDescent="0.2">
      <c r="A13" s="432"/>
      <c r="B13" s="432"/>
      <c r="C13" s="611"/>
      <c r="D13" s="706"/>
      <c r="E13" s="12" t="s">
        <v>16001</v>
      </c>
      <c r="F13" s="9" t="s">
        <v>16002</v>
      </c>
      <c r="G13" s="9" t="s">
        <v>16003</v>
      </c>
      <c r="H13" s="611"/>
      <c r="I13" s="611"/>
      <c r="J13" s="432"/>
      <c r="K13" s="22" t="s">
        <v>3136</v>
      </c>
      <c r="L13" s="14" t="s">
        <v>15993</v>
      </c>
      <c r="M13" s="285" t="s">
        <v>15994</v>
      </c>
      <c r="N13" s="289">
        <v>813.96</v>
      </c>
      <c r="O13" s="15">
        <v>40299</v>
      </c>
      <c r="P13" s="616"/>
      <c r="Q13" s="616"/>
      <c r="R13" s="616"/>
      <c r="S13" s="18"/>
      <c r="T13" s="611"/>
      <c r="U13" s="613"/>
      <c r="V13" s="611"/>
    </row>
    <row r="14" spans="1:29" s="19" customFormat="1" ht="39" customHeight="1" x14ac:dyDescent="0.2">
      <c r="A14" s="432"/>
      <c r="B14" s="432"/>
      <c r="C14" s="611"/>
      <c r="D14" s="706"/>
      <c r="E14" s="12" t="s">
        <v>16001</v>
      </c>
      <c r="F14" s="9" t="s">
        <v>16004</v>
      </c>
      <c r="G14" s="9" t="s">
        <v>16005</v>
      </c>
      <c r="H14" s="611"/>
      <c r="I14" s="611"/>
      <c r="J14" s="432"/>
      <c r="K14" s="22" t="s">
        <v>3136</v>
      </c>
      <c r="L14" s="14" t="s">
        <v>15993</v>
      </c>
      <c r="M14" s="285" t="s">
        <v>15994</v>
      </c>
      <c r="N14" s="289">
        <v>239.77</v>
      </c>
      <c r="O14" s="15">
        <v>40299</v>
      </c>
      <c r="P14" s="616"/>
      <c r="Q14" s="616"/>
      <c r="R14" s="616"/>
      <c r="S14" s="18"/>
      <c r="T14" s="611"/>
      <c r="U14" s="613"/>
      <c r="V14" s="611"/>
    </row>
    <row r="15" spans="1:29" s="19" customFormat="1" ht="58.9" customHeight="1" x14ac:dyDescent="0.2">
      <c r="A15" s="432"/>
      <c r="B15" s="432"/>
      <c r="C15" s="611"/>
      <c r="D15" s="706"/>
      <c r="E15" s="12" t="s">
        <v>16006</v>
      </c>
      <c r="F15" s="9" t="s">
        <v>16007</v>
      </c>
      <c r="G15" s="9" t="s">
        <v>16008</v>
      </c>
      <c r="H15" s="611"/>
      <c r="I15" s="611"/>
      <c r="J15" s="432"/>
      <c r="K15" s="22" t="s">
        <v>3136</v>
      </c>
      <c r="L15" s="14" t="s">
        <v>15993</v>
      </c>
      <c r="M15" s="285" t="s">
        <v>15994</v>
      </c>
      <c r="N15" s="289">
        <v>168.48</v>
      </c>
      <c r="O15" s="15">
        <v>40422</v>
      </c>
      <c r="P15" s="616"/>
      <c r="Q15" s="616"/>
      <c r="R15" s="616"/>
      <c r="S15" s="18"/>
      <c r="T15" s="611"/>
      <c r="U15" s="613"/>
      <c r="V15" s="611"/>
    </row>
    <row r="16" spans="1:29" s="19" customFormat="1" ht="39" customHeight="1" x14ac:dyDescent="0.2">
      <c r="A16" s="432"/>
      <c r="B16" s="432"/>
      <c r="C16" s="611"/>
      <c r="D16" s="706"/>
      <c r="E16" s="12" t="s">
        <v>16009</v>
      </c>
      <c r="F16" s="9" t="s">
        <v>16010</v>
      </c>
      <c r="G16" s="9" t="s">
        <v>16011</v>
      </c>
      <c r="H16" s="611"/>
      <c r="I16" s="611"/>
      <c r="J16" s="432"/>
      <c r="K16" s="22" t="s">
        <v>3136</v>
      </c>
      <c r="L16" s="14" t="s">
        <v>15993</v>
      </c>
      <c r="M16" s="285" t="s">
        <v>15994</v>
      </c>
      <c r="N16" s="16">
        <v>113.2</v>
      </c>
      <c r="O16" s="15">
        <v>40392</v>
      </c>
      <c r="P16" s="616"/>
      <c r="Q16" s="616"/>
      <c r="R16" s="616"/>
      <c r="S16" s="18"/>
      <c r="T16" s="611"/>
      <c r="U16" s="613"/>
      <c r="V16" s="611"/>
    </row>
    <row r="17" spans="1:22" s="19" customFormat="1" ht="54.6" customHeight="1" x14ac:dyDescent="0.2">
      <c r="A17" s="432"/>
      <c r="B17" s="432"/>
      <c r="C17" s="611"/>
      <c r="D17" s="706"/>
      <c r="E17" s="12" t="s">
        <v>16012</v>
      </c>
      <c r="F17" s="9" t="s">
        <v>16013</v>
      </c>
      <c r="G17" s="9" t="s">
        <v>16014</v>
      </c>
      <c r="H17" s="611"/>
      <c r="I17" s="611"/>
      <c r="J17" s="432"/>
      <c r="K17" s="22" t="s">
        <v>3136</v>
      </c>
      <c r="L17" s="14" t="s">
        <v>15993</v>
      </c>
      <c r="M17" s="285" t="s">
        <v>15994</v>
      </c>
      <c r="N17" s="289">
        <v>948.77</v>
      </c>
      <c r="O17" s="15">
        <v>40299</v>
      </c>
      <c r="P17" s="616"/>
      <c r="Q17" s="616"/>
      <c r="R17" s="616"/>
      <c r="S17" s="18"/>
      <c r="T17" s="611"/>
      <c r="U17" s="613"/>
      <c r="V17" s="611"/>
    </row>
    <row r="18" spans="1:22" s="19" customFormat="1" ht="41.25" customHeight="1" x14ac:dyDescent="0.2">
      <c r="A18" s="432"/>
      <c r="B18" s="432"/>
      <c r="C18" s="611"/>
      <c r="D18" s="706"/>
      <c r="E18" s="12" t="s">
        <v>15998</v>
      </c>
      <c r="F18" s="9" t="s">
        <v>16015</v>
      </c>
      <c r="G18" s="18" t="s">
        <v>16016</v>
      </c>
      <c r="H18" s="611"/>
      <c r="I18" s="611"/>
      <c r="J18" s="432"/>
      <c r="K18" s="22" t="s">
        <v>3136</v>
      </c>
      <c r="L18" s="14" t="s">
        <v>15993</v>
      </c>
      <c r="M18" s="285" t="s">
        <v>15994</v>
      </c>
      <c r="N18" s="289">
        <v>102.05</v>
      </c>
      <c r="O18" s="15">
        <v>40299</v>
      </c>
      <c r="P18" s="616"/>
      <c r="Q18" s="616"/>
      <c r="R18" s="616"/>
      <c r="S18" s="18"/>
      <c r="T18" s="611"/>
      <c r="U18" s="613"/>
      <c r="V18" s="611"/>
    </row>
    <row r="19" spans="1:22" s="19" customFormat="1" ht="48.6" customHeight="1" x14ac:dyDescent="0.2">
      <c r="A19" s="432"/>
      <c r="B19" s="432"/>
      <c r="C19" s="611"/>
      <c r="D19" s="706"/>
      <c r="E19" s="12" t="s">
        <v>13979</v>
      </c>
      <c r="F19" s="9" t="s">
        <v>16017</v>
      </c>
      <c r="G19" s="18" t="s">
        <v>16018</v>
      </c>
      <c r="H19" s="611"/>
      <c r="I19" s="611"/>
      <c r="J19" s="432"/>
      <c r="K19" s="22" t="s">
        <v>3136</v>
      </c>
      <c r="L19" s="14" t="s">
        <v>15993</v>
      </c>
      <c r="M19" s="285" t="s">
        <v>15994</v>
      </c>
      <c r="N19" s="289">
        <v>148.63999999999999</v>
      </c>
      <c r="O19" s="15">
        <v>40299</v>
      </c>
      <c r="P19" s="616"/>
      <c r="Q19" s="616"/>
      <c r="R19" s="616"/>
      <c r="S19" s="18"/>
      <c r="T19" s="611"/>
      <c r="U19" s="613"/>
      <c r="V19" s="611"/>
    </row>
    <row r="20" spans="1:22" s="19" customFormat="1" ht="41.25" customHeight="1" x14ac:dyDescent="0.2">
      <c r="A20" s="432"/>
      <c r="B20" s="432"/>
      <c r="C20" s="611"/>
      <c r="D20" s="706"/>
      <c r="E20" s="12" t="s">
        <v>16019</v>
      </c>
      <c r="F20" s="9" t="s">
        <v>16020</v>
      </c>
      <c r="G20" s="9" t="s">
        <v>16021</v>
      </c>
      <c r="H20" s="611"/>
      <c r="I20" s="611"/>
      <c r="J20" s="432"/>
      <c r="K20" s="22" t="s">
        <v>3136</v>
      </c>
      <c r="L20" s="14" t="s">
        <v>15993</v>
      </c>
      <c r="M20" s="285" t="s">
        <v>15994</v>
      </c>
      <c r="N20" s="289">
        <v>35.24</v>
      </c>
      <c r="O20" s="15">
        <v>40422</v>
      </c>
      <c r="P20" s="616"/>
      <c r="Q20" s="616"/>
      <c r="R20" s="616"/>
      <c r="S20" s="18"/>
      <c r="T20" s="611"/>
      <c r="U20" s="613"/>
      <c r="V20" s="611"/>
    </row>
    <row r="21" spans="1:22" s="19" customFormat="1" ht="41.25" customHeight="1" x14ac:dyDescent="0.2">
      <c r="A21" s="432"/>
      <c r="B21" s="432"/>
      <c r="C21" s="611"/>
      <c r="D21" s="706"/>
      <c r="E21" s="12" t="s">
        <v>13435</v>
      </c>
      <c r="F21" s="9" t="s">
        <v>16022</v>
      </c>
      <c r="G21" s="9" t="s">
        <v>16023</v>
      </c>
      <c r="H21" s="611"/>
      <c r="I21" s="611"/>
      <c r="J21" s="432"/>
      <c r="K21" s="22" t="s">
        <v>3136</v>
      </c>
      <c r="L21" s="14" t="s">
        <v>15993</v>
      </c>
      <c r="M21" s="285" t="s">
        <v>15994</v>
      </c>
      <c r="N21" s="289">
        <v>47.06</v>
      </c>
      <c r="O21" s="15">
        <v>40299</v>
      </c>
      <c r="P21" s="616"/>
      <c r="Q21" s="616"/>
      <c r="R21" s="616"/>
      <c r="S21" s="18"/>
      <c r="T21" s="611"/>
      <c r="U21" s="613"/>
      <c r="V21" s="611"/>
    </row>
    <row r="22" spans="1:22" s="19" customFormat="1" ht="61.15" customHeight="1" x14ac:dyDescent="0.2">
      <c r="A22" s="432"/>
      <c r="B22" s="432"/>
      <c r="C22" s="611"/>
      <c r="D22" s="706"/>
      <c r="E22" s="12" t="s">
        <v>13435</v>
      </c>
      <c r="F22" s="9" t="s">
        <v>16024</v>
      </c>
      <c r="G22" s="9" t="s">
        <v>16025</v>
      </c>
      <c r="H22" s="611"/>
      <c r="I22" s="611"/>
      <c r="J22" s="432"/>
      <c r="K22" s="22" t="s">
        <v>3136</v>
      </c>
      <c r="L22" s="14" t="s">
        <v>15993</v>
      </c>
      <c r="M22" s="285" t="s">
        <v>15994</v>
      </c>
      <c r="N22" s="289">
        <v>46.77</v>
      </c>
      <c r="O22" s="15">
        <v>40299</v>
      </c>
      <c r="P22" s="616"/>
      <c r="Q22" s="616"/>
      <c r="R22" s="616"/>
      <c r="S22" s="18"/>
      <c r="T22" s="611"/>
      <c r="U22" s="613"/>
      <c r="V22" s="611"/>
    </row>
    <row r="23" spans="1:22" s="19" customFormat="1" ht="63" customHeight="1" x14ac:dyDescent="0.2">
      <c r="A23" s="432"/>
      <c r="B23" s="432"/>
      <c r="C23" s="611"/>
      <c r="D23" s="706"/>
      <c r="E23" s="12" t="s">
        <v>16026</v>
      </c>
      <c r="F23" s="9" t="s">
        <v>16027</v>
      </c>
      <c r="G23" s="9" t="s">
        <v>16028</v>
      </c>
      <c r="H23" s="611"/>
      <c r="I23" s="611"/>
      <c r="J23" s="432"/>
      <c r="K23" s="22" t="s">
        <v>3136</v>
      </c>
      <c r="L23" s="14" t="s">
        <v>15993</v>
      </c>
      <c r="M23" s="285" t="s">
        <v>15994</v>
      </c>
      <c r="N23" s="289">
        <v>63.94</v>
      </c>
      <c r="O23" s="15">
        <v>40422</v>
      </c>
      <c r="P23" s="616"/>
      <c r="Q23" s="616"/>
      <c r="R23" s="616"/>
      <c r="S23" s="18"/>
      <c r="T23" s="611"/>
      <c r="U23" s="613"/>
      <c r="V23" s="611"/>
    </row>
    <row r="24" spans="1:22" s="19" customFormat="1" ht="48.75" customHeight="1" x14ac:dyDescent="0.2">
      <c r="A24" s="432"/>
      <c r="B24" s="432"/>
      <c r="C24" s="611"/>
      <c r="D24" s="706"/>
      <c r="E24" s="12" t="s">
        <v>13435</v>
      </c>
      <c r="F24" s="9" t="s">
        <v>16029</v>
      </c>
      <c r="G24" s="9" t="s">
        <v>16030</v>
      </c>
      <c r="H24" s="611"/>
      <c r="I24" s="611"/>
      <c r="J24" s="432"/>
      <c r="K24" s="22" t="s">
        <v>3136</v>
      </c>
      <c r="L24" s="14" t="s">
        <v>15993</v>
      </c>
      <c r="M24" s="285" t="s">
        <v>15994</v>
      </c>
      <c r="N24" s="289">
        <v>118.21</v>
      </c>
      <c r="O24" s="15">
        <v>40299</v>
      </c>
      <c r="P24" s="616"/>
      <c r="Q24" s="616"/>
      <c r="R24" s="616"/>
      <c r="S24" s="18"/>
      <c r="T24" s="611"/>
      <c r="U24" s="613"/>
      <c r="V24" s="611"/>
    </row>
    <row r="25" spans="1:22" s="19" customFormat="1" ht="41.25" customHeight="1" x14ac:dyDescent="0.2">
      <c r="A25" s="432"/>
      <c r="B25" s="432"/>
      <c r="C25" s="611"/>
      <c r="D25" s="706"/>
      <c r="E25" s="12" t="s">
        <v>16031</v>
      </c>
      <c r="F25" s="9" t="s">
        <v>16032</v>
      </c>
      <c r="G25" s="9" t="s">
        <v>16033</v>
      </c>
      <c r="H25" s="611"/>
      <c r="I25" s="611"/>
      <c r="J25" s="432"/>
      <c r="K25" s="22" t="s">
        <v>3136</v>
      </c>
      <c r="L25" s="14" t="s">
        <v>15993</v>
      </c>
      <c r="M25" s="285" t="s">
        <v>15994</v>
      </c>
      <c r="N25" s="285">
        <v>337.65</v>
      </c>
      <c r="O25" s="15">
        <v>40179</v>
      </c>
      <c r="P25" s="616"/>
      <c r="Q25" s="616"/>
      <c r="R25" s="616"/>
      <c r="S25" s="18"/>
      <c r="T25" s="611"/>
      <c r="U25" s="613"/>
      <c r="V25" s="611"/>
    </row>
    <row r="26" spans="1:22" s="19" customFormat="1" ht="49.5" customHeight="1" x14ac:dyDescent="0.2">
      <c r="A26" s="432"/>
      <c r="B26" s="432"/>
      <c r="C26" s="611"/>
      <c r="D26" s="706"/>
      <c r="E26" s="12" t="s">
        <v>3412</v>
      </c>
      <c r="F26" s="9" t="s">
        <v>16034</v>
      </c>
      <c r="G26" s="9" t="s">
        <v>16035</v>
      </c>
      <c r="H26" s="611"/>
      <c r="I26" s="611"/>
      <c r="J26" s="432"/>
      <c r="K26" s="22" t="s">
        <v>3136</v>
      </c>
      <c r="L26" s="14" t="s">
        <v>15993</v>
      </c>
      <c r="M26" s="285" t="s">
        <v>15994</v>
      </c>
      <c r="N26" s="24">
        <v>783.7</v>
      </c>
      <c r="O26" s="15">
        <v>40641</v>
      </c>
      <c r="P26" s="616"/>
      <c r="Q26" s="616"/>
      <c r="R26" s="616"/>
      <c r="S26" s="18"/>
      <c r="T26" s="611"/>
      <c r="U26" s="613"/>
      <c r="V26" s="611"/>
    </row>
    <row r="27" spans="1:22" s="19" customFormat="1" ht="29.25" customHeight="1" x14ac:dyDescent="0.2">
      <c r="A27" s="331"/>
      <c r="B27" s="331"/>
      <c r="C27" s="332"/>
      <c r="D27" s="707"/>
      <c r="E27" s="22" t="s">
        <v>2467</v>
      </c>
      <c r="F27" s="254" t="s">
        <v>15468</v>
      </c>
      <c r="G27" s="9" t="s">
        <v>16036</v>
      </c>
      <c r="H27" s="332"/>
      <c r="I27" s="332"/>
      <c r="J27" s="331"/>
      <c r="K27" s="285" t="s">
        <v>3136</v>
      </c>
      <c r="L27" s="14" t="s">
        <v>15993</v>
      </c>
      <c r="M27" s="285" t="s">
        <v>15994</v>
      </c>
      <c r="N27" s="558">
        <v>115.29</v>
      </c>
      <c r="O27" s="15">
        <v>41198</v>
      </c>
      <c r="P27" s="414"/>
      <c r="Q27" s="414"/>
      <c r="R27" s="414"/>
      <c r="S27" s="18"/>
      <c r="T27" s="332"/>
      <c r="U27" s="334"/>
      <c r="V27" s="332"/>
    </row>
    <row r="28" spans="1:22" s="19" customFormat="1" ht="38.25" customHeight="1" x14ac:dyDescent="0.2">
      <c r="A28" s="757">
        <v>2</v>
      </c>
      <c r="B28" s="757" t="s">
        <v>16037</v>
      </c>
      <c r="C28" s="409" t="s">
        <v>16038</v>
      </c>
      <c r="D28" s="758" t="s">
        <v>15981</v>
      </c>
      <c r="E28" s="755" t="s">
        <v>16039</v>
      </c>
      <c r="F28" s="702" t="s">
        <v>16040</v>
      </c>
      <c r="G28" s="9" t="s">
        <v>16041</v>
      </c>
      <c r="H28" s="409" t="s">
        <v>4296</v>
      </c>
      <c r="I28" s="327" t="s">
        <v>1586</v>
      </c>
      <c r="J28" s="327"/>
      <c r="K28" s="22" t="s">
        <v>3136</v>
      </c>
      <c r="L28" s="15">
        <v>43917</v>
      </c>
      <c r="M28" s="289">
        <v>280</v>
      </c>
      <c r="N28" s="759" t="s">
        <v>16042</v>
      </c>
      <c r="O28" s="15"/>
      <c r="P28" s="413">
        <v>286000</v>
      </c>
      <c r="Q28" s="413">
        <v>122582.23</v>
      </c>
      <c r="R28" s="413">
        <f>P28-Q28</f>
        <v>163417.77000000002</v>
      </c>
      <c r="S28" s="40">
        <v>5216032</v>
      </c>
      <c r="T28" s="327" t="s">
        <v>16043</v>
      </c>
      <c r="U28" s="329">
        <v>42719</v>
      </c>
      <c r="V28" s="327" t="s">
        <v>16044</v>
      </c>
    </row>
    <row r="29" spans="1:22" s="19" customFormat="1" ht="39" customHeight="1" x14ac:dyDescent="0.2">
      <c r="A29" s="760"/>
      <c r="B29" s="760"/>
      <c r="C29" s="411"/>
      <c r="D29" s="761"/>
      <c r="E29" s="756"/>
      <c r="F29" s="707"/>
      <c r="G29" s="9" t="s">
        <v>16045</v>
      </c>
      <c r="H29" s="411"/>
      <c r="I29" s="611"/>
      <c r="J29" s="611"/>
      <c r="K29" s="22" t="s">
        <v>3136</v>
      </c>
      <c r="L29" s="14" t="s">
        <v>16046</v>
      </c>
      <c r="M29" s="285" t="s">
        <v>16047</v>
      </c>
      <c r="N29" s="289">
        <v>860.88</v>
      </c>
      <c r="O29" s="15">
        <v>40422</v>
      </c>
      <c r="P29" s="616"/>
      <c r="Q29" s="616"/>
      <c r="R29" s="616"/>
      <c r="S29" s="18"/>
      <c r="T29" s="611"/>
      <c r="U29" s="613"/>
      <c r="V29" s="611"/>
    </row>
    <row r="30" spans="1:22" s="19" customFormat="1" ht="123.75" customHeight="1" x14ac:dyDescent="0.2">
      <c r="A30" s="762"/>
      <c r="B30" s="762"/>
      <c r="C30" s="412"/>
      <c r="D30" s="763"/>
      <c r="E30" s="12" t="s">
        <v>16026</v>
      </c>
      <c r="F30" s="9" t="s">
        <v>16048</v>
      </c>
      <c r="G30" s="9" t="s">
        <v>16049</v>
      </c>
      <c r="H30" s="412"/>
      <c r="I30" s="332"/>
      <c r="J30" s="332"/>
      <c r="K30" s="22" t="s">
        <v>3136</v>
      </c>
      <c r="L30" s="14" t="s">
        <v>16046</v>
      </c>
      <c r="M30" s="285" t="s">
        <v>16047</v>
      </c>
      <c r="N30" s="285">
        <v>2864.28</v>
      </c>
      <c r="O30" s="15">
        <v>40422</v>
      </c>
      <c r="P30" s="414"/>
      <c r="Q30" s="414"/>
      <c r="R30" s="414"/>
      <c r="S30" s="18"/>
      <c r="T30" s="332"/>
      <c r="U30" s="334"/>
      <c r="V30" s="332"/>
    </row>
    <row r="31" spans="1:22" s="19" customFormat="1" ht="40.5" customHeight="1" x14ac:dyDescent="0.2">
      <c r="A31" s="409">
        <v>3</v>
      </c>
      <c r="B31" s="409" t="s">
        <v>16050</v>
      </c>
      <c r="C31" s="409" t="s">
        <v>16051</v>
      </c>
      <c r="D31" s="758" t="s">
        <v>15981</v>
      </c>
      <c r="E31" s="755" t="s">
        <v>16052</v>
      </c>
      <c r="F31" s="702" t="s">
        <v>16053</v>
      </c>
      <c r="G31" s="9" t="s">
        <v>16054</v>
      </c>
      <c r="H31" s="409" t="s">
        <v>4296</v>
      </c>
      <c r="I31" s="327" t="s">
        <v>1586</v>
      </c>
      <c r="J31" s="327"/>
      <c r="K31" s="22" t="s">
        <v>3136</v>
      </c>
      <c r="L31" s="15">
        <v>43917</v>
      </c>
      <c r="M31" s="289">
        <v>280</v>
      </c>
      <c r="N31" s="425" t="s">
        <v>16055</v>
      </c>
      <c r="O31" s="429"/>
      <c r="P31" s="413">
        <f>1379318.74+1995160.95+2180056.21</f>
        <v>5554535.9000000004</v>
      </c>
      <c r="Q31" s="413">
        <v>1250084.28</v>
      </c>
      <c r="R31" s="413">
        <f>P31-Q31</f>
        <v>4304451.62</v>
      </c>
      <c r="S31" s="40">
        <v>5266887</v>
      </c>
      <c r="T31" s="72"/>
      <c r="U31" s="29"/>
      <c r="V31" s="289"/>
    </row>
    <row r="32" spans="1:22" s="19" customFormat="1" ht="51" customHeight="1" x14ac:dyDescent="0.2">
      <c r="A32" s="411"/>
      <c r="B32" s="411"/>
      <c r="C32" s="411"/>
      <c r="D32" s="761"/>
      <c r="E32" s="756"/>
      <c r="F32" s="707"/>
      <c r="G32" s="9" t="s">
        <v>16056</v>
      </c>
      <c r="H32" s="411"/>
      <c r="I32" s="611"/>
      <c r="J32" s="611"/>
      <c r="K32" s="22" t="s">
        <v>3136</v>
      </c>
      <c r="L32" s="14" t="s">
        <v>16057</v>
      </c>
      <c r="M32" s="285" t="s">
        <v>16058</v>
      </c>
      <c r="N32" s="289">
        <v>543.59</v>
      </c>
      <c r="O32" s="15">
        <v>40299</v>
      </c>
      <c r="P32" s="616"/>
      <c r="Q32" s="616"/>
      <c r="R32" s="616"/>
      <c r="S32" s="18"/>
      <c r="T32" s="327" t="s">
        <v>16059</v>
      </c>
      <c r="U32" s="329">
        <v>42706</v>
      </c>
      <c r="V32" s="327" t="s">
        <v>16060</v>
      </c>
    </row>
    <row r="33" spans="1:22" s="19" customFormat="1" ht="149.25" customHeight="1" x14ac:dyDescent="0.2">
      <c r="A33" s="411"/>
      <c r="B33" s="411"/>
      <c r="C33" s="411"/>
      <c r="D33" s="761"/>
      <c r="E33" s="12" t="s">
        <v>16061</v>
      </c>
      <c r="F33" s="9" t="s">
        <v>16062</v>
      </c>
      <c r="G33" s="9" t="s">
        <v>16063</v>
      </c>
      <c r="H33" s="411"/>
      <c r="I33" s="611"/>
      <c r="J33" s="611"/>
      <c r="K33" s="22" t="s">
        <v>3136</v>
      </c>
      <c r="L33" s="14" t="s">
        <v>16057</v>
      </c>
      <c r="M33" s="285" t="s">
        <v>16058</v>
      </c>
      <c r="N33" s="289">
        <v>838.11</v>
      </c>
      <c r="O33" s="15">
        <v>40299</v>
      </c>
      <c r="P33" s="616"/>
      <c r="Q33" s="616"/>
      <c r="R33" s="616"/>
      <c r="S33" s="18"/>
      <c r="T33" s="611"/>
      <c r="U33" s="611"/>
      <c r="V33" s="611"/>
    </row>
    <row r="34" spans="1:22" s="19" customFormat="1" ht="39.75" customHeight="1" x14ac:dyDescent="0.2">
      <c r="A34" s="411"/>
      <c r="B34" s="411"/>
      <c r="C34" s="411"/>
      <c r="D34" s="761"/>
      <c r="E34" s="12" t="s">
        <v>13979</v>
      </c>
      <c r="F34" s="9" t="s">
        <v>16064</v>
      </c>
      <c r="G34" s="9" t="s">
        <v>16065</v>
      </c>
      <c r="H34" s="411"/>
      <c r="I34" s="611"/>
      <c r="J34" s="611"/>
      <c r="K34" s="22" t="s">
        <v>3136</v>
      </c>
      <c r="L34" s="14" t="s">
        <v>16066</v>
      </c>
      <c r="M34" s="285" t="s">
        <v>16067</v>
      </c>
      <c r="N34" s="289">
        <v>632.99</v>
      </c>
      <c r="O34" s="15">
        <v>40299</v>
      </c>
      <c r="P34" s="616"/>
      <c r="Q34" s="616"/>
      <c r="R34" s="616"/>
      <c r="S34" s="18"/>
      <c r="T34" s="611"/>
      <c r="U34" s="611"/>
      <c r="V34" s="611"/>
    </row>
    <row r="35" spans="1:22" s="19" customFormat="1" ht="36.75" customHeight="1" x14ac:dyDescent="0.2">
      <c r="A35" s="411"/>
      <c r="B35" s="411"/>
      <c r="C35" s="411"/>
      <c r="D35" s="761"/>
      <c r="E35" s="12" t="s">
        <v>16068</v>
      </c>
      <c r="F35" s="9" t="s">
        <v>16069</v>
      </c>
      <c r="G35" s="9" t="s">
        <v>16070</v>
      </c>
      <c r="H35" s="411"/>
      <c r="I35" s="611"/>
      <c r="J35" s="611"/>
      <c r="K35" s="22" t="s">
        <v>3136</v>
      </c>
      <c r="L35" s="14" t="s">
        <v>16057</v>
      </c>
      <c r="M35" s="285" t="s">
        <v>16058</v>
      </c>
      <c r="N35" s="289">
        <v>148.37</v>
      </c>
      <c r="O35" s="15">
        <v>40422</v>
      </c>
      <c r="P35" s="616"/>
      <c r="Q35" s="616"/>
      <c r="R35" s="616"/>
      <c r="S35" s="18"/>
      <c r="T35" s="611"/>
      <c r="U35" s="611"/>
      <c r="V35" s="611"/>
    </row>
    <row r="36" spans="1:22" s="19" customFormat="1" ht="37.5" customHeight="1" x14ac:dyDescent="0.2">
      <c r="A36" s="411"/>
      <c r="B36" s="411"/>
      <c r="C36" s="411"/>
      <c r="D36" s="761"/>
      <c r="E36" s="12" t="s">
        <v>16068</v>
      </c>
      <c r="F36" s="9" t="s">
        <v>16071</v>
      </c>
      <c r="G36" s="9" t="s">
        <v>16072</v>
      </c>
      <c r="H36" s="411"/>
      <c r="I36" s="611"/>
      <c r="J36" s="611"/>
      <c r="K36" s="22" t="s">
        <v>3136</v>
      </c>
      <c r="L36" s="14" t="s">
        <v>16057</v>
      </c>
      <c r="M36" s="285" t="s">
        <v>16058</v>
      </c>
      <c r="N36" s="289">
        <v>160.63999999999999</v>
      </c>
      <c r="O36" s="15">
        <v>40422</v>
      </c>
      <c r="P36" s="616"/>
      <c r="Q36" s="616"/>
      <c r="R36" s="616"/>
      <c r="S36" s="18"/>
      <c r="T36" s="611"/>
      <c r="U36" s="611"/>
      <c r="V36" s="611"/>
    </row>
    <row r="37" spans="1:22" s="19" customFormat="1" ht="36" customHeight="1" x14ac:dyDescent="0.2">
      <c r="A37" s="411"/>
      <c r="B37" s="411"/>
      <c r="C37" s="411"/>
      <c r="D37" s="761"/>
      <c r="E37" s="12" t="s">
        <v>16073</v>
      </c>
      <c r="F37" s="9" t="s">
        <v>16074</v>
      </c>
      <c r="G37" s="9" t="s">
        <v>16075</v>
      </c>
      <c r="H37" s="411"/>
      <c r="I37" s="611"/>
      <c r="J37" s="611"/>
      <c r="K37" s="22" t="s">
        <v>3136</v>
      </c>
      <c r="L37" s="14" t="s">
        <v>16057</v>
      </c>
      <c r="M37" s="285" t="s">
        <v>16058</v>
      </c>
      <c r="N37" s="289">
        <v>361.49</v>
      </c>
      <c r="O37" s="15">
        <v>40422</v>
      </c>
      <c r="P37" s="616"/>
      <c r="Q37" s="616"/>
      <c r="R37" s="616"/>
      <c r="S37" s="18"/>
      <c r="T37" s="611"/>
      <c r="U37" s="611"/>
      <c r="V37" s="611"/>
    </row>
    <row r="38" spans="1:22" s="19" customFormat="1" ht="30" customHeight="1" x14ac:dyDescent="0.2">
      <c r="A38" s="411"/>
      <c r="B38" s="411"/>
      <c r="C38" s="411"/>
      <c r="D38" s="761"/>
      <c r="E38" s="22" t="s">
        <v>4426</v>
      </c>
      <c r="F38" s="254" t="s">
        <v>16076</v>
      </c>
      <c r="G38" s="9" t="s">
        <v>16077</v>
      </c>
      <c r="H38" s="411"/>
      <c r="I38" s="611"/>
      <c r="J38" s="611"/>
      <c r="K38" s="285" t="s">
        <v>3136</v>
      </c>
      <c r="L38" s="231" t="s">
        <v>16078</v>
      </c>
      <c r="M38" s="29" t="s">
        <v>16079</v>
      </c>
      <c r="N38" s="558">
        <v>73.86</v>
      </c>
      <c r="O38" s="15">
        <v>41000</v>
      </c>
      <c r="P38" s="616"/>
      <c r="Q38" s="616"/>
      <c r="R38" s="616"/>
      <c r="S38" s="18"/>
      <c r="T38" s="611"/>
      <c r="U38" s="611"/>
      <c r="V38" s="611"/>
    </row>
    <row r="39" spans="1:22" s="19" customFormat="1" ht="27" customHeight="1" x14ac:dyDescent="0.2">
      <c r="A39" s="411"/>
      <c r="B39" s="411"/>
      <c r="C39" s="411"/>
      <c r="D39" s="761"/>
      <c r="E39" s="285">
        <v>1969</v>
      </c>
      <c r="F39" s="254" t="s">
        <v>15498</v>
      </c>
      <c r="G39" s="9" t="s">
        <v>16080</v>
      </c>
      <c r="H39" s="411"/>
      <c r="I39" s="611"/>
      <c r="J39" s="611"/>
      <c r="K39" s="285" t="s">
        <v>3136</v>
      </c>
      <c r="L39" s="231" t="s">
        <v>16078</v>
      </c>
      <c r="M39" s="29" t="s">
        <v>16079</v>
      </c>
      <c r="N39" s="558">
        <v>212.14</v>
      </c>
      <c r="O39" s="15">
        <v>40822</v>
      </c>
      <c r="P39" s="616"/>
      <c r="Q39" s="616"/>
      <c r="R39" s="616"/>
      <c r="S39" s="18"/>
      <c r="T39" s="611"/>
      <c r="U39" s="611"/>
      <c r="V39" s="611"/>
    </row>
    <row r="40" spans="1:22" s="19" customFormat="1" ht="174" customHeight="1" x14ac:dyDescent="0.2">
      <c r="A40" s="412"/>
      <c r="B40" s="412"/>
      <c r="C40" s="412"/>
      <c r="D40" s="763"/>
      <c r="E40" s="285">
        <v>1969</v>
      </c>
      <c r="F40" s="254" t="s">
        <v>15498</v>
      </c>
      <c r="G40" s="9" t="s">
        <v>16081</v>
      </c>
      <c r="H40" s="412"/>
      <c r="I40" s="332"/>
      <c r="J40" s="332"/>
      <c r="K40" s="285" t="s">
        <v>3136</v>
      </c>
      <c r="L40" s="231" t="s">
        <v>16078</v>
      </c>
      <c r="M40" s="29" t="s">
        <v>16079</v>
      </c>
      <c r="N40" s="558">
        <v>2034.12</v>
      </c>
      <c r="O40" s="15">
        <v>40822</v>
      </c>
      <c r="P40" s="414"/>
      <c r="Q40" s="414"/>
      <c r="R40" s="414"/>
      <c r="S40" s="18"/>
      <c r="T40" s="332"/>
      <c r="U40" s="332"/>
      <c r="V40" s="332"/>
    </row>
    <row r="41" spans="1:22" s="19" customFormat="1" ht="36.75" customHeight="1" x14ac:dyDescent="0.2">
      <c r="A41" s="757">
        <v>4</v>
      </c>
      <c r="B41" s="409" t="s">
        <v>16082</v>
      </c>
      <c r="C41" s="409" t="s">
        <v>16083</v>
      </c>
      <c r="D41" s="758" t="s">
        <v>15981</v>
      </c>
      <c r="E41" s="755" t="s">
        <v>16084</v>
      </c>
      <c r="F41" s="702" t="s">
        <v>16085</v>
      </c>
      <c r="G41" s="9" t="s">
        <v>16086</v>
      </c>
      <c r="H41" s="409" t="s">
        <v>4296</v>
      </c>
      <c r="I41" s="327" t="s">
        <v>1586</v>
      </c>
      <c r="J41" s="327"/>
      <c r="K41" s="22" t="s">
        <v>3136</v>
      </c>
      <c r="L41" s="15">
        <v>43917</v>
      </c>
      <c r="M41" s="289">
        <v>280</v>
      </c>
      <c r="N41" s="759" t="s">
        <v>16087</v>
      </c>
      <c r="O41" s="15"/>
      <c r="P41" s="413">
        <v>724441.63</v>
      </c>
      <c r="Q41" s="413">
        <v>446646.82</v>
      </c>
      <c r="R41" s="413">
        <f>P41-Q41</f>
        <v>277794.81</v>
      </c>
      <c r="S41" s="40">
        <v>5718604</v>
      </c>
      <c r="T41" s="72"/>
      <c r="U41" s="29"/>
      <c r="V41" s="289"/>
    </row>
    <row r="42" spans="1:22" s="19" customFormat="1" ht="100.5" customHeight="1" x14ac:dyDescent="0.2">
      <c r="A42" s="760"/>
      <c r="B42" s="411"/>
      <c r="C42" s="411"/>
      <c r="D42" s="761"/>
      <c r="E42" s="756"/>
      <c r="F42" s="707"/>
      <c r="G42" s="9" t="s">
        <v>16088</v>
      </c>
      <c r="H42" s="411"/>
      <c r="I42" s="611"/>
      <c r="J42" s="611"/>
      <c r="K42" s="22" t="s">
        <v>3136</v>
      </c>
      <c r="L42" s="14" t="s">
        <v>16046</v>
      </c>
      <c r="M42" s="285" t="s">
        <v>16047</v>
      </c>
      <c r="N42" s="289">
        <f>1165.07+28.16</f>
        <v>1193.23</v>
      </c>
      <c r="O42" s="15">
        <v>40422</v>
      </c>
      <c r="P42" s="616"/>
      <c r="Q42" s="616"/>
      <c r="R42" s="616"/>
      <c r="S42" s="18"/>
      <c r="T42" s="327" t="s">
        <v>16089</v>
      </c>
      <c r="U42" s="329" t="s">
        <v>16090</v>
      </c>
      <c r="V42" s="327" t="s">
        <v>16091</v>
      </c>
    </row>
    <row r="43" spans="1:22" s="19" customFormat="1" ht="42" customHeight="1" x14ac:dyDescent="0.2">
      <c r="A43" s="760"/>
      <c r="B43" s="411"/>
      <c r="C43" s="411"/>
      <c r="D43" s="761"/>
      <c r="E43" s="12" t="s">
        <v>16092</v>
      </c>
      <c r="F43" s="9" t="s">
        <v>16093</v>
      </c>
      <c r="G43" s="9" t="s">
        <v>16094</v>
      </c>
      <c r="H43" s="411"/>
      <c r="I43" s="611"/>
      <c r="J43" s="611"/>
      <c r="K43" s="22" t="s">
        <v>3136</v>
      </c>
      <c r="L43" s="14" t="s">
        <v>16046</v>
      </c>
      <c r="M43" s="285" t="s">
        <v>16047</v>
      </c>
      <c r="N43" s="285">
        <v>616.22</v>
      </c>
      <c r="O43" s="15">
        <v>40422</v>
      </c>
      <c r="P43" s="616"/>
      <c r="Q43" s="616"/>
      <c r="R43" s="616"/>
      <c r="S43" s="18"/>
      <c r="T43" s="611"/>
      <c r="U43" s="613"/>
      <c r="V43" s="611"/>
    </row>
    <row r="44" spans="1:22" s="19" customFormat="1" ht="41.25" customHeight="1" x14ac:dyDescent="0.2">
      <c r="A44" s="760"/>
      <c r="B44" s="411"/>
      <c r="C44" s="411"/>
      <c r="D44" s="761"/>
      <c r="E44" s="12" t="s">
        <v>16095</v>
      </c>
      <c r="F44" s="9" t="s">
        <v>16096</v>
      </c>
      <c r="G44" s="9" t="s">
        <v>16097</v>
      </c>
      <c r="H44" s="411"/>
      <c r="I44" s="611"/>
      <c r="J44" s="611"/>
      <c r="K44" s="22" t="s">
        <v>3136</v>
      </c>
      <c r="L44" s="14" t="s">
        <v>16046</v>
      </c>
      <c r="M44" s="285" t="s">
        <v>16047</v>
      </c>
      <c r="N44" s="285">
        <v>76.239999999999995</v>
      </c>
      <c r="O44" s="15">
        <v>40422</v>
      </c>
      <c r="P44" s="616"/>
      <c r="Q44" s="616"/>
      <c r="R44" s="616"/>
      <c r="S44" s="18"/>
      <c r="T44" s="611"/>
      <c r="U44" s="613"/>
      <c r="V44" s="611"/>
    </row>
    <row r="45" spans="1:22" s="19" customFormat="1" ht="39" customHeight="1" x14ac:dyDescent="0.2">
      <c r="A45" s="760"/>
      <c r="B45" s="411"/>
      <c r="C45" s="411"/>
      <c r="D45" s="761"/>
      <c r="E45" s="12" t="s">
        <v>16098</v>
      </c>
      <c r="F45" s="9" t="s">
        <v>16099</v>
      </c>
      <c r="G45" s="9" t="s">
        <v>16100</v>
      </c>
      <c r="H45" s="411"/>
      <c r="I45" s="611"/>
      <c r="J45" s="611"/>
      <c r="K45" s="22" t="s">
        <v>3136</v>
      </c>
      <c r="L45" s="14" t="s">
        <v>16046</v>
      </c>
      <c r="M45" s="285" t="s">
        <v>16047</v>
      </c>
      <c r="N45" s="285">
        <v>1889.59</v>
      </c>
      <c r="O45" s="15">
        <v>40392</v>
      </c>
      <c r="P45" s="616"/>
      <c r="Q45" s="616"/>
      <c r="R45" s="616"/>
      <c r="S45" s="18"/>
      <c r="T45" s="611"/>
      <c r="U45" s="613"/>
      <c r="V45" s="611"/>
    </row>
    <row r="46" spans="1:22" s="19" customFormat="1" ht="39" customHeight="1" x14ac:dyDescent="0.2">
      <c r="A46" s="760"/>
      <c r="B46" s="411"/>
      <c r="C46" s="411"/>
      <c r="D46" s="761"/>
      <c r="E46" s="12" t="s">
        <v>16031</v>
      </c>
      <c r="F46" s="9" t="s">
        <v>16101</v>
      </c>
      <c r="G46" s="9" t="s">
        <v>16102</v>
      </c>
      <c r="H46" s="411"/>
      <c r="I46" s="611"/>
      <c r="J46" s="611"/>
      <c r="K46" s="22" t="s">
        <v>3136</v>
      </c>
      <c r="L46" s="14" t="s">
        <v>16046</v>
      </c>
      <c r="M46" s="285" t="s">
        <v>16047</v>
      </c>
      <c r="N46" s="285">
        <f>383.37+92.98</f>
        <v>476.35</v>
      </c>
      <c r="O46" s="15">
        <v>40422</v>
      </c>
      <c r="P46" s="616"/>
      <c r="Q46" s="616"/>
      <c r="R46" s="616"/>
      <c r="S46" s="18"/>
      <c r="T46" s="611"/>
      <c r="U46" s="613"/>
      <c r="V46" s="611"/>
    </row>
    <row r="47" spans="1:22" s="19" customFormat="1" ht="64.5" customHeight="1" x14ac:dyDescent="0.2">
      <c r="A47" s="762"/>
      <c r="B47" s="412"/>
      <c r="C47" s="412"/>
      <c r="D47" s="763"/>
      <c r="E47" s="12" t="s">
        <v>16103</v>
      </c>
      <c r="F47" s="9" t="s">
        <v>16104</v>
      </c>
      <c r="G47" s="9" t="s">
        <v>16105</v>
      </c>
      <c r="H47" s="412"/>
      <c r="I47" s="332"/>
      <c r="J47" s="332"/>
      <c r="K47" s="22" t="s">
        <v>3136</v>
      </c>
      <c r="L47" s="14" t="s">
        <v>16046</v>
      </c>
      <c r="M47" s="285" t="s">
        <v>16047</v>
      </c>
      <c r="N47" s="285">
        <v>1179.07</v>
      </c>
      <c r="O47" s="15">
        <v>40422</v>
      </c>
      <c r="P47" s="414"/>
      <c r="Q47" s="414"/>
      <c r="R47" s="414"/>
      <c r="S47" s="18"/>
      <c r="T47" s="332"/>
      <c r="U47" s="334"/>
      <c r="V47" s="332"/>
    </row>
    <row r="48" spans="1:22" s="19" customFormat="1" ht="150" customHeight="1" x14ac:dyDescent="0.2">
      <c r="A48" s="326">
        <v>5</v>
      </c>
      <c r="B48" s="326" t="s">
        <v>16106</v>
      </c>
      <c r="C48" s="327" t="s">
        <v>16107</v>
      </c>
      <c r="D48" s="702" t="s">
        <v>15981</v>
      </c>
      <c r="E48" s="755" t="s">
        <v>16108</v>
      </c>
      <c r="F48" s="327" t="s">
        <v>16109</v>
      </c>
      <c r="G48" s="9" t="s">
        <v>16110</v>
      </c>
      <c r="H48" s="409" t="s">
        <v>4296</v>
      </c>
      <c r="I48" s="409" t="s">
        <v>1586</v>
      </c>
      <c r="J48" s="327"/>
      <c r="K48" s="764" t="s">
        <v>3136</v>
      </c>
      <c r="L48" s="765" t="s">
        <v>16111</v>
      </c>
      <c r="M48" s="409" t="s">
        <v>16112</v>
      </c>
      <c r="N48" s="766" t="s">
        <v>16113</v>
      </c>
      <c r="O48" s="429">
        <v>40422</v>
      </c>
      <c r="P48" s="350">
        <f>4281298.8+865212.46+834927.42</f>
        <v>5981438.6799999997</v>
      </c>
      <c r="Q48" s="350">
        <v>512651.31</v>
      </c>
      <c r="R48" s="350">
        <f>P48-Q48</f>
        <v>5468787.3700000001</v>
      </c>
      <c r="S48" s="40">
        <v>14972568</v>
      </c>
      <c r="T48" s="327" t="s">
        <v>16114</v>
      </c>
      <c r="U48" s="329" t="s">
        <v>16115</v>
      </c>
      <c r="V48" s="327" t="s">
        <v>16116</v>
      </c>
    </row>
    <row r="49" spans="1:22" s="19" customFormat="1" ht="28.5" customHeight="1" x14ac:dyDescent="0.2">
      <c r="A49" s="432"/>
      <c r="B49" s="432"/>
      <c r="C49" s="611"/>
      <c r="D49" s="706"/>
      <c r="E49" s="767"/>
      <c r="F49" s="611"/>
      <c r="G49" s="9" t="s">
        <v>16117</v>
      </c>
      <c r="H49" s="411"/>
      <c r="I49" s="411"/>
      <c r="J49" s="611"/>
      <c r="K49" s="768"/>
      <c r="L49" s="769"/>
      <c r="M49" s="411"/>
      <c r="N49" s="770">
        <v>1787.83</v>
      </c>
      <c r="O49" s="15"/>
      <c r="P49" s="685"/>
      <c r="Q49" s="685"/>
      <c r="R49" s="685"/>
      <c r="S49" s="18"/>
      <c r="T49" s="611"/>
      <c r="U49" s="611"/>
      <c r="V49" s="611"/>
    </row>
    <row r="50" spans="1:22" s="19" customFormat="1" ht="28.5" customHeight="1" x14ac:dyDescent="0.2">
      <c r="A50" s="432"/>
      <c r="B50" s="432"/>
      <c r="C50" s="611"/>
      <c r="D50" s="706"/>
      <c r="E50" s="767"/>
      <c r="F50" s="611"/>
      <c r="G50" s="9" t="s">
        <v>16118</v>
      </c>
      <c r="H50" s="411"/>
      <c r="I50" s="411"/>
      <c r="J50" s="611"/>
      <c r="K50" s="768"/>
      <c r="L50" s="769"/>
      <c r="M50" s="411"/>
      <c r="N50" s="770">
        <f>419.506+297.21+177.564</f>
        <v>894.27999999999986</v>
      </c>
      <c r="O50" s="15"/>
      <c r="P50" s="685"/>
      <c r="Q50" s="685"/>
      <c r="R50" s="685"/>
      <c r="S50" s="18"/>
      <c r="T50" s="611"/>
      <c r="U50" s="611"/>
      <c r="V50" s="611"/>
    </row>
    <row r="51" spans="1:22" s="19" customFormat="1" ht="28.5" customHeight="1" x14ac:dyDescent="0.2">
      <c r="A51" s="432"/>
      <c r="B51" s="432"/>
      <c r="C51" s="611"/>
      <c r="D51" s="706"/>
      <c r="E51" s="767"/>
      <c r="F51" s="611"/>
      <c r="G51" s="9" t="s">
        <v>16119</v>
      </c>
      <c r="H51" s="411"/>
      <c r="I51" s="411"/>
      <c r="J51" s="611"/>
      <c r="K51" s="768"/>
      <c r="L51" s="769"/>
      <c r="M51" s="411"/>
      <c r="N51" s="770">
        <v>1158.56</v>
      </c>
      <c r="O51" s="15"/>
      <c r="P51" s="685"/>
      <c r="Q51" s="685"/>
      <c r="R51" s="685"/>
      <c r="S51" s="18"/>
      <c r="T51" s="611"/>
      <c r="U51" s="611"/>
      <c r="V51" s="611"/>
    </row>
    <row r="52" spans="1:22" s="19" customFormat="1" ht="28.5" customHeight="1" x14ac:dyDescent="0.2">
      <c r="A52" s="432"/>
      <c r="B52" s="432"/>
      <c r="C52" s="611"/>
      <c r="D52" s="706"/>
      <c r="E52" s="767"/>
      <c r="F52" s="611"/>
      <c r="G52" s="9" t="s">
        <v>16120</v>
      </c>
      <c r="H52" s="411"/>
      <c r="I52" s="411"/>
      <c r="J52" s="611"/>
      <c r="K52" s="768"/>
      <c r="L52" s="769"/>
      <c r="M52" s="411"/>
      <c r="N52" s="770">
        <f>126.03+246.728</f>
        <v>372.75800000000004</v>
      </c>
      <c r="O52" s="15"/>
      <c r="P52" s="685"/>
      <c r="Q52" s="685"/>
      <c r="R52" s="685"/>
      <c r="S52" s="18"/>
      <c r="T52" s="611"/>
      <c r="U52" s="611"/>
      <c r="V52" s="611"/>
    </row>
    <row r="53" spans="1:22" s="19" customFormat="1" ht="28.5" customHeight="1" x14ac:dyDescent="0.2">
      <c r="A53" s="432"/>
      <c r="B53" s="432"/>
      <c r="C53" s="611"/>
      <c r="D53" s="706"/>
      <c r="E53" s="767"/>
      <c r="F53" s="611"/>
      <c r="G53" s="9" t="s">
        <v>16121</v>
      </c>
      <c r="H53" s="411"/>
      <c r="I53" s="411"/>
      <c r="J53" s="611"/>
      <c r="K53" s="768"/>
      <c r="L53" s="769"/>
      <c r="M53" s="411"/>
      <c r="N53" s="770">
        <v>421.81</v>
      </c>
      <c r="O53" s="15"/>
      <c r="P53" s="685"/>
      <c r="Q53" s="685"/>
      <c r="R53" s="685"/>
      <c r="S53" s="18"/>
      <c r="T53" s="611"/>
      <c r="U53" s="611"/>
      <c r="V53" s="611"/>
    </row>
    <row r="54" spans="1:22" s="19" customFormat="1" ht="28.5" customHeight="1" x14ac:dyDescent="0.2">
      <c r="A54" s="432"/>
      <c r="B54" s="432"/>
      <c r="C54" s="611"/>
      <c r="D54" s="706"/>
      <c r="E54" s="767"/>
      <c r="F54" s="611"/>
      <c r="G54" s="9" t="s">
        <v>16122</v>
      </c>
      <c r="H54" s="411"/>
      <c r="I54" s="411"/>
      <c r="J54" s="611"/>
      <c r="K54" s="768"/>
      <c r="L54" s="769"/>
      <c r="M54" s="411"/>
      <c r="N54" s="770">
        <v>917.46199999999999</v>
      </c>
      <c r="O54" s="15"/>
      <c r="P54" s="685"/>
      <c r="Q54" s="685"/>
      <c r="R54" s="685"/>
      <c r="S54" s="18"/>
      <c r="T54" s="611"/>
      <c r="U54" s="611"/>
      <c r="V54" s="611"/>
    </row>
    <row r="55" spans="1:22" s="19" customFormat="1" ht="93" customHeight="1" x14ac:dyDescent="0.2">
      <c r="A55" s="432"/>
      <c r="B55" s="432"/>
      <c r="C55" s="611"/>
      <c r="D55" s="706"/>
      <c r="E55" s="767"/>
      <c r="F55" s="611"/>
      <c r="G55" s="9" t="s">
        <v>16123</v>
      </c>
      <c r="H55" s="411"/>
      <c r="I55" s="411"/>
      <c r="J55" s="611"/>
      <c r="K55" s="768"/>
      <c r="L55" s="769"/>
      <c r="M55" s="411"/>
      <c r="N55" s="770">
        <v>1752.4</v>
      </c>
      <c r="O55" s="15"/>
      <c r="P55" s="685"/>
      <c r="Q55" s="685"/>
      <c r="R55" s="685"/>
      <c r="S55" s="18"/>
      <c r="T55" s="611"/>
      <c r="U55" s="611"/>
      <c r="V55" s="611"/>
    </row>
    <row r="56" spans="1:22" s="19" customFormat="1" ht="28.5" customHeight="1" x14ac:dyDescent="0.2">
      <c r="A56" s="432"/>
      <c r="B56" s="432"/>
      <c r="C56" s="611"/>
      <c r="D56" s="706"/>
      <c r="E56" s="767"/>
      <c r="F56" s="611"/>
      <c r="G56" s="9" t="s">
        <v>16124</v>
      </c>
      <c r="H56" s="411"/>
      <c r="I56" s="411"/>
      <c r="J56" s="611"/>
      <c r="K56" s="768"/>
      <c r="L56" s="769"/>
      <c r="M56" s="411"/>
      <c r="N56" s="770">
        <v>281.40300000000002</v>
      </c>
      <c r="O56" s="15"/>
      <c r="P56" s="685"/>
      <c r="Q56" s="685"/>
      <c r="R56" s="685"/>
      <c r="S56" s="18"/>
      <c r="T56" s="611"/>
      <c r="U56" s="611"/>
      <c r="V56" s="611"/>
    </row>
    <row r="57" spans="1:22" s="19" customFormat="1" ht="28.5" customHeight="1" x14ac:dyDescent="0.2">
      <c r="A57" s="432"/>
      <c r="B57" s="432"/>
      <c r="C57" s="611"/>
      <c r="D57" s="706"/>
      <c r="E57" s="767"/>
      <c r="F57" s="611"/>
      <c r="G57" s="9" t="s">
        <v>16125</v>
      </c>
      <c r="H57" s="411"/>
      <c r="I57" s="411"/>
      <c r="J57" s="611"/>
      <c r="K57" s="768"/>
      <c r="L57" s="769"/>
      <c r="M57" s="411"/>
      <c r="N57" s="770">
        <v>768.64</v>
      </c>
      <c r="O57" s="15"/>
      <c r="P57" s="685"/>
      <c r="Q57" s="685"/>
      <c r="R57" s="685"/>
      <c r="S57" s="18"/>
      <c r="T57" s="611"/>
      <c r="U57" s="611"/>
      <c r="V57" s="611"/>
    </row>
    <row r="58" spans="1:22" s="19" customFormat="1" ht="28.5" customHeight="1" x14ac:dyDescent="0.2">
      <c r="A58" s="432"/>
      <c r="B58" s="432"/>
      <c r="C58" s="611"/>
      <c r="D58" s="706"/>
      <c r="E58" s="767"/>
      <c r="F58" s="611"/>
      <c r="G58" s="9" t="s">
        <v>16126</v>
      </c>
      <c r="H58" s="411"/>
      <c r="I58" s="411"/>
      <c r="J58" s="611"/>
      <c r="K58" s="768"/>
      <c r="L58" s="769"/>
      <c r="M58" s="411"/>
      <c r="N58" s="770">
        <v>894.49099999999999</v>
      </c>
      <c r="O58" s="15"/>
      <c r="P58" s="685"/>
      <c r="Q58" s="685"/>
      <c r="R58" s="685"/>
      <c r="S58" s="18"/>
      <c r="T58" s="611"/>
      <c r="U58" s="611"/>
      <c r="V58" s="611"/>
    </row>
    <row r="59" spans="1:22" s="19" customFormat="1" ht="28.5" customHeight="1" x14ac:dyDescent="0.2">
      <c r="A59" s="432"/>
      <c r="B59" s="432"/>
      <c r="C59" s="611"/>
      <c r="D59" s="706"/>
      <c r="E59" s="767"/>
      <c r="F59" s="611"/>
      <c r="G59" s="9" t="s">
        <v>16127</v>
      </c>
      <c r="H59" s="411"/>
      <c r="I59" s="411"/>
      <c r="J59" s="611"/>
      <c r="K59" s="768"/>
      <c r="L59" s="769"/>
      <c r="M59" s="411"/>
      <c r="N59" s="770">
        <v>933.279</v>
      </c>
      <c r="O59" s="15"/>
      <c r="P59" s="685"/>
      <c r="Q59" s="685"/>
      <c r="R59" s="685"/>
      <c r="S59" s="18"/>
      <c r="T59" s="611"/>
      <c r="U59" s="611"/>
      <c r="V59" s="611"/>
    </row>
    <row r="60" spans="1:22" s="19" customFormat="1" ht="28.5" customHeight="1" x14ac:dyDescent="0.2">
      <c r="A60" s="432"/>
      <c r="B60" s="432"/>
      <c r="C60" s="611"/>
      <c r="D60" s="706"/>
      <c r="E60" s="767"/>
      <c r="F60" s="611"/>
      <c r="G60" s="9" t="s">
        <v>16128</v>
      </c>
      <c r="H60" s="411"/>
      <c r="I60" s="411"/>
      <c r="J60" s="611"/>
      <c r="K60" s="768"/>
      <c r="L60" s="769"/>
      <c r="M60" s="411"/>
      <c r="N60" s="770">
        <v>742.28499999999997</v>
      </c>
      <c r="O60" s="15"/>
      <c r="P60" s="685"/>
      <c r="Q60" s="685"/>
      <c r="R60" s="685"/>
      <c r="S60" s="18"/>
      <c r="T60" s="611"/>
      <c r="U60" s="611"/>
      <c r="V60" s="611"/>
    </row>
    <row r="61" spans="1:22" s="19" customFormat="1" ht="28.5" customHeight="1" x14ac:dyDescent="0.2">
      <c r="A61" s="432"/>
      <c r="B61" s="432"/>
      <c r="C61" s="611"/>
      <c r="D61" s="706"/>
      <c r="E61" s="767"/>
      <c r="F61" s="611"/>
      <c r="G61" s="9" t="s">
        <v>16129</v>
      </c>
      <c r="H61" s="411"/>
      <c r="I61" s="411"/>
      <c r="J61" s="611"/>
      <c r="K61" s="768"/>
      <c r="L61" s="769"/>
      <c r="M61" s="411"/>
      <c r="N61" s="770">
        <v>905.65700000000004</v>
      </c>
      <c r="O61" s="15"/>
      <c r="P61" s="685"/>
      <c r="Q61" s="685"/>
      <c r="R61" s="685"/>
      <c r="S61" s="18"/>
      <c r="T61" s="611"/>
      <c r="U61" s="611"/>
      <c r="V61" s="611"/>
    </row>
    <row r="62" spans="1:22" s="19" customFormat="1" ht="28.5" customHeight="1" x14ac:dyDescent="0.2">
      <c r="A62" s="432"/>
      <c r="B62" s="432"/>
      <c r="C62" s="611"/>
      <c r="D62" s="706"/>
      <c r="E62" s="767"/>
      <c r="F62" s="611"/>
      <c r="G62" s="9" t="s">
        <v>16130</v>
      </c>
      <c r="H62" s="411"/>
      <c r="I62" s="411"/>
      <c r="J62" s="611"/>
      <c r="K62" s="768"/>
      <c r="L62" s="769"/>
      <c r="M62" s="411"/>
      <c r="N62" s="770">
        <v>870.27300000000002</v>
      </c>
      <c r="O62" s="15"/>
      <c r="P62" s="685"/>
      <c r="Q62" s="685"/>
      <c r="R62" s="685"/>
      <c r="S62" s="18"/>
      <c r="T62" s="611"/>
      <c r="U62" s="611"/>
      <c r="V62" s="611"/>
    </row>
    <row r="63" spans="1:22" s="19" customFormat="1" ht="15.75" customHeight="1" x14ac:dyDescent="0.2">
      <c r="A63" s="432"/>
      <c r="B63" s="432"/>
      <c r="C63" s="611"/>
      <c r="D63" s="706"/>
      <c r="E63" s="767"/>
      <c r="F63" s="611"/>
      <c r="G63" s="9" t="s">
        <v>16131</v>
      </c>
      <c r="H63" s="411"/>
      <c r="I63" s="411"/>
      <c r="J63" s="611"/>
      <c r="K63" s="768"/>
      <c r="L63" s="769"/>
      <c r="M63" s="411"/>
      <c r="N63" s="770">
        <v>665.59</v>
      </c>
      <c r="O63" s="15"/>
      <c r="P63" s="685"/>
      <c r="Q63" s="685"/>
      <c r="R63" s="685"/>
      <c r="S63" s="18"/>
      <c r="T63" s="611"/>
      <c r="U63" s="611"/>
      <c r="V63" s="611"/>
    </row>
    <row r="64" spans="1:22" s="19" customFormat="1" ht="27.75" customHeight="1" x14ac:dyDescent="0.2">
      <c r="A64" s="432"/>
      <c r="B64" s="432"/>
      <c r="C64" s="611"/>
      <c r="D64" s="706"/>
      <c r="E64" s="767"/>
      <c r="F64" s="611"/>
      <c r="G64" s="9" t="s">
        <v>16132</v>
      </c>
      <c r="H64" s="411"/>
      <c r="I64" s="411"/>
      <c r="J64" s="611"/>
      <c r="K64" s="768"/>
      <c r="L64" s="769"/>
      <c r="M64" s="411"/>
      <c r="N64" s="770">
        <v>70.709999999999994</v>
      </c>
      <c r="O64" s="15"/>
      <c r="P64" s="685"/>
      <c r="Q64" s="685"/>
      <c r="R64" s="685"/>
      <c r="S64" s="18"/>
      <c r="T64" s="611"/>
      <c r="U64" s="611"/>
      <c r="V64" s="611"/>
    </row>
    <row r="65" spans="1:22" s="19" customFormat="1" ht="28.5" customHeight="1" x14ac:dyDescent="0.2">
      <c r="A65" s="432"/>
      <c r="B65" s="432"/>
      <c r="C65" s="611"/>
      <c r="D65" s="706"/>
      <c r="E65" s="767"/>
      <c r="F65" s="611"/>
      <c r="G65" s="9" t="s">
        <v>16133</v>
      </c>
      <c r="H65" s="411"/>
      <c r="I65" s="411"/>
      <c r="J65" s="611"/>
      <c r="K65" s="768"/>
      <c r="L65" s="769"/>
      <c r="M65" s="411"/>
      <c r="N65" s="770">
        <v>51.862000000000002</v>
      </c>
      <c r="O65" s="15"/>
      <c r="P65" s="685"/>
      <c r="Q65" s="685"/>
      <c r="R65" s="685"/>
      <c r="S65" s="18"/>
      <c r="T65" s="611"/>
      <c r="U65" s="611"/>
      <c r="V65" s="611"/>
    </row>
    <row r="66" spans="1:22" s="19" customFormat="1" ht="25.5" customHeight="1" x14ac:dyDescent="0.2">
      <c r="A66" s="432"/>
      <c r="B66" s="432"/>
      <c r="C66" s="611"/>
      <c r="D66" s="706"/>
      <c r="E66" s="767"/>
      <c r="F66" s="611"/>
      <c r="G66" s="9" t="s">
        <v>16134</v>
      </c>
      <c r="H66" s="411"/>
      <c r="I66" s="411"/>
      <c r="J66" s="611"/>
      <c r="K66" s="768"/>
      <c r="L66" s="769"/>
      <c r="M66" s="411"/>
      <c r="N66" s="770">
        <v>63.906999999999996</v>
      </c>
      <c r="O66" s="15"/>
      <c r="P66" s="685"/>
      <c r="Q66" s="685"/>
      <c r="R66" s="685"/>
      <c r="S66" s="18"/>
      <c r="T66" s="611"/>
      <c r="U66" s="611"/>
      <c r="V66" s="611"/>
    </row>
    <row r="67" spans="1:22" s="19" customFormat="1" ht="51.75" customHeight="1" x14ac:dyDescent="0.2">
      <c r="A67" s="432"/>
      <c r="B67" s="432"/>
      <c r="C67" s="611"/>
      <c r="D67" s="706"/>
      <c r="E67" s="767"/>
      <c r="F67" s="611"/>
      <c r="G67" s="9" t="s">
        <v>16135</v>
      </c>
      <c r="H67" s="411"/>
      <c r="I67" s="411"/>
      <c r="J67" s="611"/>
      <c r="K67" s="768"/>
      <c r="L67" s="769"/>
      <c r="M67" s="411"/>
      <c r="N67" s="770">
        <v>234.63900000000001</v>
      </c>
      <c r="O67" s="15"/>
      <c r="P67" s="685"/>
      <c r="Q67" s="685"/>
      <c r="R67" s="685"/>
      <c r="S67" s="18"/>
      <c r="T67" s="611"/>
      <c r="U67" s="611"/>
      <c r="V67" s="611"/>
    </row>
    <row r="68" spans="1:22" s="19" customFormat="1" ht="13.5" customHeight="1" x14ac:dyDescent="0.2">
      <c r="A68" s="432"/>
      <c r="B68" s="432"/>
      <c r="C68" s="611"/>
      <c r="D68" s="706"/>
      <c r="E68" s="767"/>
      <c r="F68" s="611"/>
      <c r="G68" s="9" t="s">
        <v>16136</v>
      </c>
      <c r="H68" s="411"/>
      <c r="I68" s="411"/>
      <c r="J68" s="611"/>
      <c r="K68" s="768"/>
      <c r="L68" s="769"/>
      <c r="M68" s="411"/>
      <c r="N68" s="770">
        <v>48.04</v>
      </c>
      <c r="O68" s="15"/>
      <c r="P68" s="685"/>
      <c r="Q68" s="685"/>
      <c r="R68" s="685"/>
      <c r="S68" s="18"/>
      <c r="T68" s="611"/>
      <c r="U68" s="611"/>
      <c r="V68" s="611"/>
    </row>
    <row r="69" spans="1:22" s="19" customFormat="1" ht="24" customHeight="1" x14ac:dyDescent="0.2">
      <c r="A69" s="432"/>
      <c r="B69" s="432"/>
      <c r="C69" s="611"/>
      <c r="D69" s="706"/>
      <c r="E69" s="767"/>
      <c r="F69" s="611"/>
      <c r="G69" s="9" t="s">
        <v>16137</v>
      </c>
      <c r="H69" s="411"/>
      <c r="I69" s="411"/>
      <c r="J69" s="611"/>
      <c r="K69" s="768"/>
      <c r="L69" s="769"/>
      <c r="M69" s="411"/>
      <c r="N69" s="770">
        <v>49.57</v>
      </c>
      <c r="O69" s="15"/>
      <c r="P69" s="685"/>
      <c r="Q69" s="685"/>
      <c r="R69" s="685"/>
      <c r="S69" s="18"/>
      <c r="T69" s="611"/>
      <c r="U69" s="611"/>
      <c r="V69" s="611"/>
    </row>
    <row r="70" spans="1:22" s="19" customFormat="1" ht="26.25" customHeight="1" x14ac:dyDescent="0.2">
      <c r="A70" s="432"/>
      <c r="B70" s="432"/>
      <c r="C70" s="611"/>
      <c r="D70" s="706"/>
      <c r="E70" s="767"/>
      <c r="F70" s="611"/>
      <c r="G70" s="9" t="s">
        <v>16138</v>
      </c>
      <c r="H70" s="411"/>
      <c r="I70" s="411"/>
      <c r="J70" s="611"/>
      <c r="K70" s="768"/>
      <c r="L70" s="769"/>
      <c r="M70" s="411"/>
      <c r="N70" s="770">
        <v>39.15</v>
      </c>
      <c r="O70" s="15"/>
      <c r="P70" s="685"/>
      <c r="Q70" s="685"/>
      <c r="R70" s="685"/>
      <c r="S70" s="18"/>
      <c r="T70" s="611"/>
      <c r="U70" s="611"/>
      <c r="V70" s="611"/>
    </row>
    <row r="71" spans="1:22" s="19" customFormat="1" ht="15" customHeight="1" x14ac:dyDescent="0.2">
      <c r="A71" s="331"/>
      <c r="B71" s="432"/>
      <c r="C71" s="611"/>
      <c r="D71" s="707"/>
      <c r="E71" s="756"/>
      <c r="F71" s="332"/>
      <c r="G71" s="9" t="s">
        <v>16139</v>
      </c>
      <c r="H71" s="412"/>
      <c r="I71" s="412"/>
      <c r="J71" s="332"/>
      <c r="K71" s="771"/>
      <c r="L71" s="772"/>
      <c r="M71" s="412"/>
      <c r="N71" s="770">
        <v>175.22</v>
      </c>
      <c r="O71" s="15"/>
      <c r="P71" s="355"/>
      <c r="Q71" s="355"/>
      <c r="R71" s="355"/>
      <c r="S71" s="18"/>
      <c r="T71" s="332"/>
      <c r="U71" s="332"/>
      <c r="V71" s="332"/>
    </row>
    <row r="72" spans="1:22" s="19" customFormat="1" ht="101.25" customHeight="1" x14ac:dyDescent="0.2">
      <c r="A72" s="289">
        <v>6</v>
      </c>
      <c r="B72" s="289" t="s">
        <v>16140</v>
      </c>
      <c r="C72" s="9" t="s">
        <v>16141</v>
      </c>
      <c r="D72" s="517" t="s">
        <v>16142</v>
      </c>
      <c r="E72" s="22" t="s">
        <v>9478</v>
      </c>
      <c r="F72" s="254" t="s">
        <v>16143</v>
      </c>
      <c r="G72" s="9" t="s">
        <v>16144</v>
      </c>
      <c r="H72" s="285" t="s">
        <v>4946</v>
      </c>
      <c r="I72" s="285" t="s">
        <v>5127</v>
      </c>
      <c r="J72" s="29"/>
      <c r="K72" s="285" t="s">
        <v>3136</v>
      </c>
      <c r="L72" s="231" t="s">
        <v>16145</v>
      </c>
      <c r="M72" s="29" t="s">
        <v>16146</v>
      </c>
      <c r="N72" s="584">
        <v>5</v>
      </c>
      <c r="O72" s="15">
        <v>40822</v>
      </c>
      <c r="P72" s="40">
        <v>498.27</v>
      </c>
      <c r="Q72" s="40">
        <f>P72-R72</f>
        <v>498.27</v>
      </c>
      <c r="R72" s="773">
        <v>0</v>
      </c>
      <c r="S72" s="18"/>
      <c r="T72" s="29" t="s">
        <v>16147</v>
      </c>
      <c r="U72" s="14" t="s">
        <v>16148</v>
      </c>
      <c r="V72" s="285" t="s">
        <v>16149</v>
      </c>
    </row>
    <row r="73" spans="1:22" s="19" customFormat="1" ht="102.75" customHeight="1" x14ac:dyDescent="0.2">
      <c r="A73" s="289">
        <v>7</v>
      </c>
      <c r="B73" s="289" t="s">
        <v>16150</v>
      </c>
      <c r="C73" s="9" t="s">
        <v>16151</v>
      </c>
      <c r="D73" s="517" t="s">
        <v>16142</v>
      </c>
      <c r="E73" s="285">
        <v>1983</v>
      </c>
      <c r="F73" s="254" t="s">
        <v>16152</v>
      </c>
      <c r="G73" s="9" t="s">
        <v>16153</v>
      </c>
      <c r="H73" s="285" t="s">
        <v>3699</v>
      </c>
      <c r="I73" s="285" t="s">
        <v>5127</v>
      </c>
      <c r="J73" s="29"/>
      <c r="K73" s="285" t="s">
        <v>3136</v>
      </c>
      <c r="L73" s="231" t="s">
        <v>16154</v>
      </c>
      <c r="M73" s="29" t="s">
        <v>16155</v>
      </c>
      <c r="N73" s="584">
        <v>9</v>
      </c>
      <c r="O73" s="15">
        <v>41244</v>
      </c>
      <c r="P73" s="40">
        <v>11989</v>
      </c>
      <c r="Q73" s="40">
        <v>11989</v>
      </c>
      <c r="R73" s="773">
        <f>P73-Q73</f>
        <v>0</v>
      </c>
      <c r="S73" s="18"/>
      <c r="T73" s="29" t="s">
        <v>16147</v>
      </c>
      <c r="U73" s="14" t="s">
        <v>16156</v>
      </c>
      <c r="V73" s="285" t="s">
        <v>16157</v>
      </c>
    </row>
    <row r="74" spans="1:22" s="19" customFormat="1" ht="102.75" customHeight="1" x14ac:dyDescent="0.2">
      <c r="A74" s="289">
        <v>8</v>
      </c>
      <c r="B74" s="289" t="s">
        <v>16158</v>
      </c>
      <c r="C74" s="9" t="s">
        <v>16159</v>
      </c>
      <c r="D74" s="517" t="s">
        <v>16142</v>
      </c>
      <c r="E74" s="285">
        <v>1991</v>
      </c>
      <c r="F74" s="254" t="s">
        <v>16160</v>
      </c>
      <c r="G74" s="9" t="s">
        <v>16161</v>
      </c>
      <c r="H74" s="285" t="s">
        <v>7982</v>
      </c>
      <c r="I74" s="285" t="s">
        <v>5127</v>
      </c>
      <c r="J74" s="29"/>
      <c r="K74" s="285" t="s">
        <v>3136</v>
      </c>
      <c r="L74" s="231" t="s">
        <v>16162</v>
      </c>
      <c r="M74" s="29" t="s">
        <v>16163</v>
      </c>
      <c r="N74" s="584">
        <v>92</v>
      </c>
      <c r="O74" s="15">
        <v>40822</v>
      </c>
      <c r="P74" s="40">
        <v>183862.17</v>
      </c>
      <c r="Q74" s="40">
        <f>P74-R74</f>
        <v>183862.17</v>
      </c>
      <c r="R74" s="773">
        <v>0</v>
      </c>
      <c r="S74" s="18"/>
      <c r="T74" s="29" t="s">
        <v>16147</v>
      </c>
      <c r="U74" s="14" t="s">
        <v>16164</v>
      </c>
      <c r="V74" s="285" t="s">
        <v>16165</v>
      </c>
    </row>
    <row r="75" spans="1:22" s="19" customFormat="1" ht="101.25" customHeight="1" x14ac:dyDescent="0.2">
      <c r="A75" s="289">
        <v>9</v>
      </c>
      <c r="B75" s="289" t="s">
        <v>16166</v>
      </c>
      <c r="C75" s="9" t="s">
        <v>16167</v>
      </c>
      <c r="D75" s="517" t="s">
        <v>16142</v>
      </c>
      <c r="E75" s="12" t="s">
        <v>13006</v>
      </c>
      <c r="F75" s="9"/>
      <c r="G75" s="9" t="s">
        <v>16168</v>
      </c>
      <c r="H75" s="285" t="s">
        <v>13009</v>
      </c>
      <c r="I75" s="285" t="s">
        <v>5127</v>
      </c>
      <c r="J75" s="285"/>
      <c r="K75" s="285" t="s">
        <v>3136</v>
      </c>
      <c r="L75" s="14">
        <v>43571</v>
      </c>
      <c r="M75" s="285">
        <v>321</v>
      </c>
      <c r="N75" s="24">
        <v>5</v>
      </c>
      <c r="O75" s="15">
        <v>43564</v>
      </c>
      <c r="P75" s="40">
        <v>1</v>
      </c>
      <c r="Q75" s="40">
        <v>1</v>
      </c>
      <c r="R75" s="40">
        <f>P75-Q75</f>
        <v>0</v>
      </c>
      <c r="S75" s="18"/>
      <c r="T75" s="285" t="s">
        <v>16169</v>
      </c>
      <c r="U75" s="15">
        <v>43564</v>
      </c>
      <c r="V75" s="285" t="s">
        <v>16170</v>
      </c>
    </row>
    <row r="76" spans="1:22" s="19" customFormat="1" ht="64.5" customHeight="1" x14ac:dyDescent="0.2">
      <c r="A76" s="289">
        <v>10</v>
      </c>
      <c r="B76" s="289" t="s">
        <v>16171</v>
      </c>
      <c r="C76" s="41" t="s">
        <v>16172</v>
      </c>
      <c r="D76" s="517" t="s">
        <v>16142</v>
      </c>
      <c r="E76" s="12" t="s">
        <v>3274</v>
      </c>
      <c r="F76" s="9"/>
      <c r="G76" s="9" t="s">
        <v>16173</v>
      </c>
      <c r="H76" s="285" t="s">
        <v>7980</v>
      </c>
      <c r="I76" s="285" t="s">
        <v>5127</v>
      </c>
      <c r="J76" s="285"/>
      <c r="K76" s="285" t="s">
        <v>3136</v>
      </c>
      <c r="L76" s="14">
        <v>43699</v>
      </c>
      <c r="M76" s="285">
        <v>701</v>
      </c>
      <c r="N76" s="24">
        <v>82</v>
      </c>
      <c r="O76" s="15"/>
      <c r="P76" s="40">
        <v>1</v>
      </c>
      <c r="Q76" s="40">
        <v>1</v>
      </c>
      <c r="R76" s="40">
        <f>P76-Q76</f>
        <v>0</v>
      </c>
      <c r="S76" s="18"/>
      <c r="T76" s="29" t="s">
        <v>16174</v>
      </c>
      <c r="U76" s="15">
        <v>43565</v>
      </c>
      <c r="V76" s="285" t="s">
        <v>16175</v>
      </c>
    </row>
    <row r="77" spans="1:22" s="19" customFormat="1" ht="105" customHeight="1" x14ac:dyDescent="0.2">
      <c r="A77" s="289">
        <v>11</v>
      </c>
      <c r="B77" s="289" t="s">
        <v>16176</v>
      </c>
      <c r="C77" s="9" t="s">
        <v>16177</v>
      </c>
      <c r="D77" s="517" t="s">
        <v>16142</v>
      </c>
      <c r="E77" s="12" t="s">
        <v>13728</v>
      </c>
      <c r="F77" s="9"/>
      <c r="G77" s="9" t="s">
        <v>16178</v>
      </c>
      <c r="H77" s="285" t="s">
        <v>7981</v>
      </c>
      <c r="I77" s="285" t="s">
        <v>5127</v>
      </c>
      <c r="J77" s="29"/>
      <c r="K77" s="285" t="s">
        <v>3136</v>
      </c>
      <c r="L77" s="14">
        <v>43579</v>
      </c>
      <c r="M77" s="285">
        <v>345</v>
      </c>
      <c r="N77" s="24">
        <v>5</v>
      </c>
      <c r="O77" s="15"/>
      <c r="P77" s="40">
        <v>1</v>
      </c>
      <c r="Q77" s="40">
        <v>1</v>
      </c>
      <c r="R77" s="40">
        <f>P77-Q77</f>
        <v>0</v>
      </c>
      <c r="S77" s="18"/>
      <c r="T77" s="285" t="s">
        <v>16169</v>
      </c>
      <c r="U77" s="15">
        <v>43571</v>
      </c>
      <c r="V77" s="285" t="s">
        <v>16179</v>
      </c>
    </row>
    <row r="78" spans="1:22" s="19" customFormat="1" ht="101.25" customHeight="1" x14ac:dyDescent="0.2">
      <c r="A78" s="289">
        <v>12</v>
      </c>
      <c r="B78" s="289" t="s">
        <v>16180</v>
      </c>
      <c r="C78" s="9" t="s">
        <v>16181</v>
      </c>
      <c r="D78" s="517" t="s">
        <v>16142</v>
      </c>
      <c r="E78" s="12" t="s">
        <v>13371</v>
      </c>
      <c r="F78" s="9"/>
      <c r="G78" s="9" t="s">
        <v>16182</v>
      </c>
      <c r="H78" s="285" t="s">
        <v>16183</v>
      </c>
      <c r="I78" s="285" t="s">
        <v>5127</v>
      </c>
      <c r="J78" s="29"/>
      <c r="K78" s="285" t="s">
        <v>3136</v>
      </c>
      <c r="L78" s="14">
        <v>43606</v>
      </c>
      <c r="M78" s="285">
        <v>403</v>
      </c>
      <c r="N78" s="24">
        <v>5</v>
      </c>
      <c r="O78" s="15">
        <v>43601</v>
      </c>
      <c r="P78" s="40">
        <v>1</v>
      </c>
      <c r="Q78" s="40">
        <v>1</v>
      </c>
      <c r="R78" s="40">
        <f>P78-Q78</f>
        <v>0</v>
      </c>
      <c r="S78" s="18"/>
      <c r="T78" s="285" t="s">
        <v>16169</v>
      </c>
      <c r="U78" s="15">
        <v>43578</v>
      </c>
      <c r="V78" s="285" t="s">
        <v>16184</v>
      </c>
    </row>
    <row r="79" spans="1:22" s="19" customFormat="1" ht="72.75" customHeight="1" x14ac:dyDescent="0.2">
      <c r="A79" s="757">
        <v>13</v>
      </c>
      <c r="B79" s="757" t="s">
        <v>16185</v>
      </c>
      <c r="C79" s="409" t="s">
        <v>16186</v>
      </c>
      <c r="D79" s="774" t="s">
        <v>15981</v>
      </c>
      <c r="E79" s="755"/>
      <c r="F79" s="365" t="s">
        <v>16187</v>
      </c>
      <c r="G79" s="9" t="s">
        <v>16188</v>
      </c>
      <c r="H79" s="409" t="s">
        <v>4296</v>
      </c>
      <c r="I79" s="327" t="s">
        <v>1586</v>
      </c>
      <c r="J79" s="327"/>
      <c r="K79" s="775"/>
      <c r="L79" s="776"/>
      <c r="M79" s="777"/>
      <c r="N79" s="766" t="s">
        <v>16189</v>
      </c>
      <c r="O79" s="330">
        <v>41548</v>
      </c>
      <c r="P79" s="413">
        <v>446077</v>
      </c>
      <c r="Q79" s="413">
        <v>103395.6</v>
      </c>
      <c r="R79" s="413">
        <f>P79-Q79</f>
        <v>342681.4</v>
      </c>
      <c r="S79" s="100">
        <v>2297129</v>
      </c>
      <c r="T79" s="327" t="s">
        <v>16190</v>
      </c>
      <c r="U79" s="329" t="s">
        <v>16191</v>
      </c>
      <c r="V79" s="327" t="s">
        <v>16192</v>
      </c>
    </row>
    <row r="80" spans="1:22" s="19" customFormat="1" ht="72.75" customHeight="1" x14ac:dyDescent="0.2">
      <c r="A80" s="760"/>
      <c r="B80" s="760"/>
      <c r="C80" s="411"/>
      <c r="D80" s="778"/>
      <c r="E80" s="767"/>
      <c r="F80" s="366"/>
      <c r="G80" s="9" t="s">
        <v>16193</v>
      </c>
      <c r="H80" s="411"/>
      <c r="I80" s="611"/>
      <c r="J80" s="611"/>
      <c r="K80" s="328" t="s">
        <v>4020</v>
      </c>
      <c r="L80" s="329" t="s">
        <v>16194</v>
      </c>
      <c r="M80" s="327" t="s">
        <v>16195</v>
      </c>
      <c r="N80" s="361">
        <v>671.21</v>
      </c>
      <c r="O80" s="653"/>
      <c r="P80" s="616"/>
      <c r="Q80" s="616"/>
      <c r="R80" s="616"/>
      <c r="S80" s="326"/>
      <c r="T80" s="611"/>
      <c r="U80" s="613"/>
      <c r="V80" s="611"/>
    </row>
    <row r="81" spans="1:22" s="19" customFormat="1" ht="72.75" customHeight="1" x14ac:dyDescent="0.2">
      <c r="A81" s="760"/>
      <c r="B81" s="760"/>
      <c r="C81" s="411"/>
      <c r="D81" s="778"/>
      <c r="E81" s="767"/>
      <c r="F81" s="366"/>
      <c r="G81" s="9" t="s">
        <v>16196</v>
      </c>
      <c r="H81" s="411"/>
      <c r="I81" s="611"/>
      <c r="J81" s="611"/>
      <c r="K81" s="612"/>
      <c r="L81" s="613"/>
      <c r="M81" s="611"/>
      <c r="N81" s="361">
        <v>700.56</v>
      </c>
      <c r="O81" s="653"/>
      <c r="P81" s="616"/>
      <c r="Q81" s="616"/>
      <c r="R81" s="616"/>
      <c r="S81" s="432"/>
      <c r="T81" s="611"/>
      <c r="U81" s="613"/>
      <c r="V81" s="611"/>
    </row>
    <row r="82" spans="1:22" s="19" customFormat="1" ht="72.75" customHeight="1" x14ac:dyDescent="0.2">
      <c r="A82" s="762"/>
      <c r="B82" s="762"/>
      <c r="C82" s="412"/>
      <c r="D82" s="779"/>
      <c r="E82" s="756"/>
      <c r="F82" s="367"/>
      <c r="G82" s="9" t="s">
        <v>16197</v>
      </c>
      <c r="H82" s="412"/>
      <c r="I82" s="332"/>
      <c r="J82" s="332"/>
      <c r="K82" s="333"/>
      <c r="L82" s="334"/>
      <c r="M82" s="332"/>
      <c r="N82" s="361">
        <v>822.52</v>
      </c>
      <c r="O82" s="335"/>
      <c r="P82" s="414"/>
      <c r="Q82" s="414"/>
      <c r="R82" s="414"/>
      <c r="S82" s="331"/>
      <c r="T82" s="332"/>
      <c r="U82" s="334"/>
      <c r="V82" s="332"/>
    </row>
    <row r="83" spans="1:22" s="19" customFormat="1" ht="280.5" customHeight="1" x14ac:dyDescent="0.2">
      <c r="A83" s="289">
        <v>14</v>
      </c>
      <c r="B83" s="289" t="s">
        <v>16198</v>
      </c>
      <c r="C83" s="9" t="s">
        <v>16199</v>
      </c>
      <c r="D83" s="254" t="s">
        <v>16200</v>
      </c>
      <c r="E83" s="516" t="s">
        <v>16201</v>
      </c>
      <c r="F83" s="254" t="s">
        <v>16202</v>
      </c>
      <c r="G83" s="254" t="s">
        <v>16203</v>
      </c>
      <c r="H83" s="285" t="s">
        <v>4296</v>
      </c>
      <c r="I83" s="285" t="s">
        <v>1586</v>
      </c>
      <c r="J83" s="285"/>
      <c r="K83" s="22" t="s">
        <v>3136</v>
      </c>
      <c r="L83" s="14">
        <v>42048</v>
      </c>
      <c r="M83" s="285">
        <v>178</v>
      </c>
      <c r="N83" s="562">
        <v>1101</v>
      </c>
      <c r="O83" s="15">
        <v>42003</v>
      </c>
      <c r="P83" s="40">
        <v>253046</v>
      </c>
      <c r="Q83" s="40">
        <v>67479.360000000001</v>
      </c>
      <c r="R83" s="40">
        <f>P83-Q83</f>
        <v>185566.64</v>
      </c>
      <c r="S83" s="40"/>
      <c r="T83" s="285" t="s">
        <v>16204</v>
      </c>
      <c r="U83" s="14" t="s">
        <v>16205</v>
      </c>
      <c r="V83" s="14" t="s">
        <v>16206</v>
      </c>
    </row>
    <row r="84" spans="1:22" s="19" customFormat="1" ht="102.75" customHeight="1" x14ac:dyDescent="0.2">
      <c r="A84" s="289">
        <v>15</v>
      </c>
      <c r="B84" s="289" t="s">
        <v>16207</v>
      </c>
      <c r="C84" s="285" t="s">
        <v>16208</v>
      </c>
      <c r="D84" s="254" t="s">
        <v>16209</v>
      </c>
      <c r="E84" s="516" t="s">
        <v>13546</v>
      </c>
      <c r="F84" s="254" t="s">
        <v>16210</v>
      </c>
      <c r="G84" s="254" t="s">
        <v>13538</v>
      </c>
      <c r="H84" s="285" t="s">
        <v>4296</v>
      </c>
      <c r="I84" s="285" t="s">
        <v>1586</v>
      </c>
      <c r="J84" s="285"/>
      <c r="K84" s="22" t="s">
        <v>3136</v>
      </c>
      <c r="L84" s="14" t="s">
        <v>13539</v>
      </c>
      <c r="M84" s="285" t="s">
        <v>13540</v>
      </c>
      <c r="N84" s="361">
        <v>197.5</v>
      </c>
      <c r="O84" s="15">
        <v>42166</v>
      </c>
      <c r="P84" s="40">
        <v>1</v>
      </c>
      <c r="Q84" s="40">
        <v>1</v>
      </c>
      <c r="R84" s="40">
        <v>0</v>
      </c>
      <c r="S84" s="40">
        <v>231998</v>
      </c>
      <c r="T84" s="285" t="s">
        <v>14216</v>
      </c>
      <c r="U84" s="285" t="s">
        <v>14217</v>
      </c>
      <c r="V84" s="285" t="s">
        <v>16211</v>
      </c>
    </row>
    <row r="85" spans="1:22" s="19" customFormat="1" ht="63.75" customHeight="1" x14ac:dyDescent="0.2">
      <c r="A85" s="289">
        <v>16</v>
      </c>
      <c r="B85" s="289" t="s">
        <v>16212</v>
      </c>
      <c r="C85" s="285" t="s">
        <v>16213</v>
      </c>
      <c r="D85" s="254" t="s">
        <v>16214</v>
      </c>
      <c r="E85" s="516" t="s">
        <v>13546</v>
      </c>
      <c r="F85" s="254" t="s">
        <v>16215</v>
      </c>
      <c r="G85" s="254" t="s">
        <v>13538</v>
      </c>
      <c r="H85" s="285" t="s">
        <v>4296</v>
      </c>
      <c r="I85" s="285" t="s">
        <v>1586</v>
      </c>
      <c r="J85" s="285"/>
      <c r="K85" s="22" t="s">
        <v>3136</v>
      </c>
      <c r="L85" s="14" t="s">
        <v>13539</v>
      </c>
      <c r="M85" s="285" t="s">
        <v>13540</v>
      </c>
      <c r="N85" s="178">
        <v>12340</v>
      </c>
      <c r="O85" s="15">
        <v>42166</v>
      </c>
      <c r="P85" s="40">
        <v>1</v>
      </c>
      <c r="Q85" s="40">
        <v>1</v>
      </c>
      <c r="R85" s="40">
        <v>0</v>
      </c>
      <c r="S85" s="40">
        <v>6306257</v>
      </c>
      <c r="T85" s="285" t="s">
        <v>14216</v>
      </c>
      <c r="U85" s="285" t="s">
        <v>14248</v>
      </c>
      <c r="V85" s="285" t="s">
        <v>16216</v>
      </c>
    </row>
    <row r="86" spans="1:22" s="19" customFormat="1" ht="72" customHeight="1" x14ac:dyDescent="0.2">
      <c r="A86" s="326">
        <v>17</v>
      </c>
      <c r="B86" s="327" t="s">
        <v>16217</v>
      </c>
      <c r="C86" s="327" t="s">
        <v>16218</v>
      </c>
      <c r="D86" s="780" t="s">
        <v>15981</v>
      </c>
      <c r="E86" s="781" t="s">
        <v>6220</v>
      </c>
      <c r="F86" s="590" t="s">
        <v>16219</v>
      </c>
      <c r="G86" s="254" t="s">
        <v>16220</v>
      </c>
      <c r="H86" s="782" t="s">
        <v>4296</v>
      </c>
      <c r="I86" s="782" t="s">
        <v>3793</v>
      </c>
      <c r="J86" s="285"/>
      <c r="K86" s="65"/>
      <c r="L86" s="561"/>
      <c r="M86" s="68"/>
      <c r="N86" s="783" t="s">
        <v>16221</v>
      </c>
      <c r="O86" s="57"/>
      <c r="P86" s="413">
        <v>1369728.14</v>
      </c>
      <c r="Q86" s="413">
        <v>300579.20000000001</v>
      </c>
      <c r="R86" s="413">
        <f>P86-Q86</f>
        <v>1069148.94</v>
      </c>
      <c r="S86" s="188">
        <v>3101268</v>
      </c>
      <c r="T86" s="426" t="s">
        <v>16222</v>
      </c>
      <c r="U86" s="427" t="s">
        <v>16223</v>
      </c>
      <c r="V86" s="426" t="s">
        <v>16224</v>
      </c>
    </row>
    <row r="87" spans="1:22" s="19" customFormat="1" ht="76.5" customHeight="1" x14ac:dyDescent="0.2">
      <c r="A87" s="432"/>
      <c r="B87" s="611"/>
      <c r="C87" s="611"/>
      <c r="D87" s="784"/>
      <c r="E87" s="785"/>
      <c r="F87" s="604"/>
      <c r="G87" s="254" t="s">
        <v>16225</v>
      </c>
      <c r="H87" s="786"/>
      <c r="I87" s="786"/>
      <c r="J87" s="285"/>
      <c r="K87" s="328" t="s">
        <v>4020</v>
      </c>
      <c r="L87" s="329" t="s">
        <v>16226</v>
      </c>
      <c r="M87" s="327" t="s">
        <v>16227</v>
      </c>
      <c r="N87" s="603">
        <v>447.99</v>
      </c>
      <c r="O87" s="57">
        <v>42500</v>
      </c>
      <c r="P87" s="616"/>
      <c r="Q87" s="616"/>
      <c r="R87" s="616"/>
      <c r="S87" s="18"/>
      <c r="T87" s="285" t="s">
        <v>16228</v>
      </c>
      <c r="U87" s="14" t="s">
        <v>16229</v>
      </c>
      <c r="V87" s="289" t="s">
        <v>16230</v>
      </c>
    </row>
    <row r="88" spans="1:22" s="19" customFormat="1" ht="126" customHeight="1" x14ac:dyDescent="0.2">
      <c r="A88" s="432"/>
      <c r="B88" s="611"/>
      <c r="C88" s="611"/>
      <c r="D88" s="784"/>
      <c r="E88" s="516" t="s">
        <v>6220</v>
      </c>
      <c r="F88" s="254" t="s">
        <v>16231</v>
      </c>
      <c r="G88" s="254" t="s">
        <v>16232</v>
      </c>
      <c r="H88" s="786"/>
      <c r="I88" s="786"/>
      <c r="J88" s="285"/>
      <c r="K88" s="612"/>
      <c r="L88" s="613"/>
      <c r="M88" s="611"/>
      <c r="N88" s="563">
        <v>540.58000000000004</v>
      </c>
      <c r="O88" s="57">
        <v>42500</v>
      </c>
      <c r="P88" s="616"/>
      <c r="Q88" s="616"/>
      <c r="R88" s="616"/>
      <c r="S88" s="18"/>
      <c r="T88" s="285" t="s">
        <v>16228</v>
      </c>
      <c r="U88" s="14" t="s">
        <v>16229</v>
      </c>
      <c r="V88" s="289" t="s">
        <v>16230</v>
      </c>
    </row>
    <row r="89" spans="1:22" s="19" customFormat="1" ht="113.25" customHeight="1" x14ac:dyDescent="0.2">
      <c r="A89" s="432"/>
      <c r="B89" s="611"/>
      <c r="C89" s="611"/>
      <c r="D89" s="784"/>
      <c r="E89" s="516" t="s">
        <v>6220</v>
      </c>
      <c r="F89" s="254" t="s">
        <v>16233</v>
      </c>
      <c r="G89" s="254" t="s">
        <v>16234</v>
      </c>
      <c r="H89" s="786"/>
      <c r="I89" s="786"/>
      <c r="J89" s="285"/>
      <c r="K89" s="612"/>
      <c r="L89" s="613"/>
      <c r="M89" s="611"/>
      <c r="N89" s="563">
        <v>439.61</v>
      </c>
      <c r="O89" s="57">
        <v>42500</v>
      </c>
      <c r="P89" s="616"/>
      <c r="Q89" s="616"/>
      <c r="R89" s="616"/>
      <c r="S89" s="18"/>
      <c r="T89" s="285" t="s">
        <v>16228</v>
      </c>
      <c r="U89" s="14" t="s">
        <v>16229</v>
      </c>
      <c r="V89" s="289" t="s">
        <v>16230</v>
      </c>
    </row>
    <row r="90" spans="1:22" s="19" customFormat="1" ht="67.5" customHeight="1" x14ac:dyDescent="0.2">
      <c r="A90" s="432"/>
      <c r="B90" s="611"/>
      <c r="C90" s="611"/>
      <c r="D90" s="784"/>
      <c r="E90" s="516" t="s">
        <v>6220</v>
      </c>
      <c r="F90" s="254" t="s">
        <v>16235</v>
      </c>
      <c r="G90" s="254" t="s">
        <v>16236</v>
      </c>
      <c r="H90" s="786"/>
      <c r="I90" s="786"/>
      <c r="J90" s="285"/>
      <c r="K90" s="612"/>
      <c r="L90" s="613"/>
      <c r="M90" s="611"/>
      <c r="N90" s="563">
        <v>166.85</v>
      </c>
      <c r="O90" s="57">
        <v>42500</v>
      </c>
      <c r="P90" s="616"/>
      <c r="Q90" s="616"/>
      <c r="R90" s="616"/>
      <c r="S90" s="18"/>
      <c r="T90" s="285" t="s">
        <v>16228</v>
      </c>
      <c r="U90" s="14" t="s">
        <v>16229</v>
      </c>
      <c r="V90" s="289" t="s">
        <v>16230</v>
      </c>
    </row>
    <row r="91" spans="1:22" s="19" customFormat="1" ht="54" customHeight="1" x14ac:dyDescent="0.2">
      <c r="A91" s="331"/>
      <c r="B91" s="332"/>
      <c r="C91" s="332"/>
      <c r="D91" s="787"/>
      <c r="E91" s="516" t="s">
        <v>6220</v>
      </c>
      <c r="F91" s="254" t="s">
        <v>16237</v>
      </c>
      <c r="G91" s="254" t="s">
        <v>16238</v>
      </c>
      <c r="H91" s="788"/>
      <c r="I91" s="788"/>
      <c r="J91" s="285"/>
      <c r="K91" s="333"/>
      <c r="L91" s="334"/>
      <c r="M91" s="332"/>
      <c r="N91" s="563">
        <v>419.97</v>
      </c>
      <c r="O91" s="57">
        <v>42500</v>
      </c>
      <c r="P91" s="414"/>
      <c r="Q91" s="414"/>
      <c r="R91" s="414"/>
      <c r="S91" s="18"/>
      <c r="T91" s="285" t="s">
        <v>16228</v>
      </c>
      <c r="U91" s="14" t="s">
        <v>16229</v>
      </c>
      <c r="V91" s="289" t="s">
        <v>16230</v>
      </c>
    </row>
    <row r="92" spans="1:22" s="19" customFormat="1" ht="111" customHeight="1" x14ac:dyDescent="0.2">
      <c r="A92" s="289">
        <v>18</v>
      </c>
      <c r="B92" s="289" t="s">
        <v>16239</v>
      </c>
      <c r="C92" s="285" t="s">
        <v>16240</v>
      </c>
      <c r="D92" s="9" t="s">
        <v>15981</v>
      </c>
      <c r="E92" s="516" t="s">
        <v>16241</v>
      </c>
      <c r="F92" s="254" t="s">
        <v>16242</v>
      </c>
      <c r="G92" s="254" t="s">
        <v>16243</v>
      </c>
      <c r="H92" s="285"/>
      <c r="I92" s="285" t="s">
        <v>2042</v>
      </c>
      <c r="J92" s="285" t="s">
        <v>2207</v>
      </c>
      <c r="K92" s="22" t="s">
        <v>3136</v>
      </c>
      <c r="L92" s="14" t="s">
        <v>16244</v>
      </c>
      <c r="M92" s="285" t="s">
        <v>16245</v>
      </c>
      <c r="N92" s="562">
        <v>1152</v>
      </c>
      <c r="O92" s="15">
        <v>42698</v>
      </c>
      <c r="P92" s="40">
        <v>1</v>
      </c>
      <c r="Q92" s="40">
        <v>0</v>
      </c>
      <c r="R92" s="40">
        <f>P92-Q92</f>
        <v>1</v>
      </c>
      <c r="S92" s="40">
        <v>1202668</v>
      </c>
      <c r="T92" s="285" t="s">
        <v>16246</v>
      </c>
      <c r="U92" s="14" t="s">
        <v>16247</v>
      </c>
      <c r="V92" s="285" t="s">
        <v>16248</v>
      </c>
    </row>
    <row r="93" spans="1:22" s="19" customFormat="1" ht="87" customHeight="1" x14ac:dyDescent="0.2">
      <c r="A93" s="289">
        <v>19</v>
      </c>
      <c r="B93" s="289" t="s">
        <v>16249</v>
      </c>
      <c r="C93" s="9" t="s">
        <v>16250</v>
      </c>
      <c r="D93" s="9" t="s">
        <v>16251</v>
      </c>
      <c r="E93" s="12" t="s">
        <v>16252</v>
      </c>
      <c r="F93" s="9" t="s">
        <v>16253</v>
      </c>
      <c r="G93" s="9" t="s">
        <v>16254</v>
      </c>
      <c r="H93" s="285" t="s">
        <v>4296</v>
      </c>
      <c r="I93" s="285" t="s">
        <v>1586</v>
      </c>
      <c r="J93" s="285"/>
      <c r="K93" s="22" t="s">
        <v>3136</v>
      </c>
      <c r="L93" s="14" t="s">
        <v>16255</v>
      </c>
      <c r="M93" s="285" t="s">
        <v>16256</v>
      </c>
      <c r="N93" s="24">
        <v>523</v>
      </c>
      <c r="O93" s="15">
        <v>40392</v>
      </c>
      <c r="P93" s="40">
        <v>360000</v>
      </c>
      <c r="Q93" s="40">
        <v>226000</v>
      </c>
      <c r="R93" s="773">
        <f>P93-Q93</f>
        <v>134000</v>
      </c>
      <c r="S93" s="18"/>
      <c r="T93" s="29" t="s">
        <v>12369</v>
      </c>
      <c r="U93" s="231">
        <v>44539</v>
      </c>
      <c r="V93" s="285" t="s">
        <v>16257</v>
      </c>
    </row>
    <row r="94" spans="1:22" s="19" customFormat="1" ht="38.25" customHeight="1" x14ac:dyDescent="0.2">
      <c r="A94" s="289">
        <v>20</v>
      </c>
      <c r="B94" s="289" t="s">
        <v>16258</v>
      </c>
      <c r="C94" s="9" t="s">
        <v>16259</v>
      </c>
      <c r="D94" s="517" t="s">
        <v>16142</v>
      </c>
      <c r="E94" s="285">
        <v>1978</v>
      </c>
      <c r="F94" s="254" t="s">
        <v>16160</v>
      </c>
      <c r="G94" s="9" t="s">
        <v>16260</v>
      </c>
      <c r="H94" s="285" t="s">
        <v>7917</v>
      </c>
      <c r="I94" s="285" t="s">
        <v>5127</v>
      </c>
      <c r="J94" s="29"/>
      <c r="K94" s="285" t="s">
        <v>3136</v>
      </c>
      <c r="L94" s="231" t="s">
        <v>16261</v>
      </c>
      <c r="M94" s="29" t="s">
        <v>16262</v>
      </c>
      <c r="N94" s="584">
        <v>111</v>
      </c>
      <c r="O94" s="15">
        <v>41000</v>
      </c>
      <c r="P94" s="40">
        <v>23773.93</v>
      </c>
      <c r="Q94" s="40">
        <f>P94-R94</f>
        <v>23773.93</v>
      </c>
      <c r="R94" s="773">
        <v>0</v>
      </c>
      <c r="S94" s="18"/>
      <c r="T94" s="285" t="s">
        <v>16169</v>
      </c>
      <c r="U94" s="14">
        <v>43608</v>
      </c>
      <c r="V94" s="285" t="s">
        <v>16263</v>
      </c>
    </row>
    <row r="95" spans="1:22" s="19" customFormat="1" ht="48" customHeight="1" x14ac:dyDescent="0.2">
      <c r="A95" s="289">
        <v>21</v>
      </c>
      <c r="B95" s="289" t="s">
        <v>16264</v>
      </c>
      <c r="C95" s="9"/>
      <c r="D95" s="9" t="s">
        <v>16265</v>
      </c>
      <c r="E95" s="12">
        <v>1976</v>
      </c>
      <c r="F95" s="9" t="s">
        <v>16266</v>
      </c>
      <c r="G95" s="9" t="s">
        <v>16267</v>
      </c>
      <c r="H95" s="285" t="s">
        <v>14083</v>
      </c>
      <c r="I95" s="285" t="s">
        <v>2042</v>
      </c>
      <c r="J95" s="285" t="s">
        <v>2207</v>
      </c>
      <c r="K95" s="285" t="s">
        <v>14084</v>
      </c>
      <c r="L95" s="231">
        <v>44084</v>
      </c>
      <c r="M95" s="29">
        <v>10</v>
      </c>
      <c r="N95" s="24">
        <v>392</v>
      </c>
      <c r="O95" s="15">
        <v>38718</v>
      </c>
      <c r="P95" s="40">
        <v>128399</v>
      </c>
      <c r="Q95" s="40">
        <f>P95-R95</f>
        <v>128399</v>
      </c>
      <c r="R95" s="773">
        <v>0</v>
      </c>
      <c r="S95" s="40"/>
      <c r="T95" s="72"/>
      <c r="U95" s="72"/>
      <c r="V95" s="289"/>
    </row>
    <row r="96" spans="1:22" s="19" customFormat="1" ht="105.75" customHeight="1" x14ac:dyDescent="0.2">
      <c r="A96" s="289">
        <v>22</v>
      </c>
      <c r="B96" s="289" t="s">
        <v>16268</v>
      </c>
      <c r="C96" s="9" t="s">
        <v>16269</v>
      </c>
      <c r="D96" s="9" t="s">
        <v>16142</v>
      </c>
      <c r="E96" s="12" t="s">
        <v>2203</v>
      </c>
      <c r="F96" s="9"/>
      <c r="G96" s="9" t="s">
        <v>16270</v>
      </c>
      <c r="H96" s="285" t="s">
        <v>16183</v>
      </c>
      <c r="I96" s="285" t="s">
        <v>5127</v>
      </c>
      <c r="J96" s="29"/>
      <c r="K96" s="285" t="s">
        <v>3136</v>
      </c>
      <c r="L96" s="14">
        <v>43607</v>
      </c>
      <c r="M96" s="285">
        <v>413</v>
      </c>
      <c r="N96" s="24">
        <v>57</v>
      </c>
      <c r="O96" s="15">
        <v>43601</v>
      </c>
      <c r="P96" s="40">
        <v>1</v>
      </c>
      <c r="Q96" s="40">
        <v>1</v>
      </c>
      <c r="R96" s="40">
        <f>P96-Q96</f>
        <v>0</v>
      </c>
      <c r="S96" s="18"/>
      <c r="T96" s="285" t="s">
        <v>16169</v>
      </c>
      <c r="U96" s="289" t="s">
        <v>16271</v>
      </c>
      <c r="V96" s="285" t="s">
        <v>16272</v>
      </c>
    </row>
    <row r="97" spans="1:22" s="19" customFormat="1" ht="105.75" customHeight="1" x14ac:dyDescent="0.2">
      <c r="A97" s="289">
        <v>23</v>
      </c>
      <c r="B97" s="289" t="s">
        <v>16273</v>
      </c>
      <c r="C97" s="9" t="s">
        <v>16274</v>
      </c>
      <c r="D97" s="9" t="s">
        <v>16142</v>
      </c>
      <c r="E97" s="285">
        <v>1983</v>
      </c>
      <c r="F97" s="9"/>
      <c r="G97" s="9" t="s">
        <v>16275</v>
      </c>
      <c r="H97" s="285" t="s">
        <v>5776</v>
      </c>
      <c r="I97" s="285" t="s">
        <v>5127</v>
      </c>
      <c r="J97" s="285"/>
      <c r="K97" s="285" t="s">
        <v>3136</v>
      </c>
      <c r="L97" s="14">
        <v>43612</v>
      </c>
      <c r="M97" s="285">
        <v>433</v>
      </c>
      <c r="N97" s="24">
        <v>107</v>
      </c>
      <c r="O97" s="15">
        <v>43606</v>
      </c>
      <c r="P97" s="40">
        <v>1</v>
      </c>
      <c r="Q97" s="40">
        <v>1</v>
      </c>
      <c r="R97" s="40">
        <f>P97-Q97</f>
        <v>0</v>
      </c>
      <c r="S97" s="18"/>
      <c r="T97" s="285" t="s">
        <v>16169</v>
      </c>
      <c r="U97" s="15">
        <v>43606</v>
      </c>
      <c r="V97" s="285" t="s">
        <v>16276</v>
      </c>
    </row>
    <row r="98" spans="1:22" s="19" customFormat="1" ht="105.75" customHeight="1" x14ac:dyDescent="0.2">
      <c r="A98" s="289">
        <v>24</v>
      </c>
      <c r="B98" s="289" t="s">
        <v>16277</v>
      </c>
      <c r="C98" s="9" t="s">
        <v>16278</v>
      </c>
      <c r="D98" s="9" t="s">
        <v>16142</v>
      </c>
      <c r="E98" s="289">
        <v>1989</v>
      </c>
      <c r="F98" s="9"/>
      <c r="G98" s="9" t="s">
        <v>16279</v>
      </c>
      <c r="H98" s="285" t="s">
        <v>16280</v>
      </c>
      <c r="I98" s="285" t="s">
        <v>5127</v>
      </c>
      <c r="J98" s="285"/>
      <c r="K98" s="285" t="s">
        <v>3136</v>
      </c>
      <c r="L98" s="14">
        <v>43607</v>
      </c>
      <c r="M98" s="285">
        <v>412</v>
      </c>
      <c r="N98" s="24">
        <v>5</v>
      </c>
      <c r="O98" s="15">
        <v>43601</v>
      </c>
      <c r="P98" s="40">
        <v>1</v>
      </c>
      <c r="Q98" s="40">
        <v>1</v>
      </c>
      <c r="R98" s="40">
        <v>0</v>
      </c>
      <c r="S98" s="40">
        <v>2512</v>
      </c>
      <c r="T98" s="285" t="s">
        <v>16169</v>
      </c>
      <c r="U98" s="289" t="s">
        <v>16271</v>
      </c>
      <c r="V98" s="9" t="s">
        <v>16281</v>
      </c>
    </row>
    <row r="99" spans="1:22" s="19" customFormat="1" ht="105.75" customHeight="1" x14ac:dyDescent="0.2">
      <c r="A99" s="289">
        <v>25</v>
      </c>
      <c r="B99" s="289" t="s">
        <v>16282</v>
      </c>
      <c r="C99" s="9" t="s">
        <v>16283</v>
      </c>
      <c r="D99" s="9" t="s">
        <v>16142</v>
      </c>
      <c r="E99" s="289">
        <v>1969</v>
      </c>
      <c r="F99" s="9"/>
      <c r="G99" s="9" t="s">
        <v>16284</v>
      </c>
      <c r="H99" s="285" t="s">
        <v>792</v>
      </c>
      <c r="I99" s="285" t="s">
        <v>5127</v>
      </c>
      <c r="J99" s="285"/>
      <c r="K99" s="285" t="s">
        <v>3136</v>
      </c>
      <c r="L99" s="14">
        <v>43993</v>
      </c>
      <c r="M99" s="285">
        <v>515</v>
      </c>
      <c r="N99" s="24">
        <v>13</v>
      </c>
      <c r="O99" s="15">
        <v>43984</v>
      </c>
      <c r="P99" s="40">
        <v>1</v>
      </c>
      <c r="Q99" s="40">
        <v>1</v>
      </c>
      <c r="R99" s="40">
        <f>P99-Q99</f>
        <v>0</v>
      </c>
      <c r="S99" s="18"/>
      <c r="T99" s="285" t="s">
        <v>16169</v>
      </c>
      <c r="U99" s="15">
        <v>43984</v>
      </c>
      <c r="V99" s="9" t="s">
        <v>16285</v>
      </c>
    </row>
    <row r="100" spans="1:22" s="19" customFormat="1" ht="107.25" customHeight="1" x14ac:dyDescent="0.2">
      <c r="A100" s="289">
        <v>26</v>
      </c>
      <c r="B100" s="289" t="s">
        <v>16286</v>
      </c>
      <c r="C100" s="9" t="s">
        <v>16287</v>
      </c>
      <c r="D100" s="46" t="s">
        <v>16142</v>
      </c>
      <c r="E100" s="289">
        <v>1965</v>
      </c>
      <c r="F100" s="9"/>
      <c r="G100" s="9" t="s">
        <v>16288</v>
      </c>
      <c r="H100" s="285" t="s">
        <v>4296</v>
      </c>
      <c r="I100" s="285" t="s">
        <v>1586</v>
      </c>
      <c r="J100" s="285"/>
      <c r="K100" s="285" t="s">
        <v>3136</v>
      </c>
      <c r="L100" s="14" t="s">
        <v>16289</v>
      </c>
      <c r="M100" s="285" t="s">
        <v>16290</v>
      </c>
      <c r="N100" s="24">
        <v>167</v>
      </c>
      <c r="O100" s="15">
        <v>43770</v>
      </c>
      <c r="P100" s="40">
        <v>1</v>
      </c>
      <c r="Q100" s="40">
        <v>1</v>
      </c>
      <c r="R100" s="40">
        <v>0</v>
      </c>
      <c r="S100" s="18"/>
      <c r="T100" s="285" t="s">
        <v>16291</v>
      </c>
      <c r="U100" s="14" t="s">
        <v>16292</v>
      </c>
      <c r="V100" s="285" t="s">
        <v>16293</v>
      </c>
    </row>
    <row r="101" spans="1:22" s="19" customFormat="1" ht="49.5" customHeight="1" x14ac:dyDescent="0.2">
      <c r="A101" s="289">
        <v>27</v>
      </c>
      <c r="B101" s="289" t="s">
        <v>16294</v>
      </c>
      <c r="C101" s="79" t="s">
        <v>16295</v>
      </c>
      <c r="D101" s="73" t="s">
        <v>16296</v>
      </c>
      <c r="E101" s="72" t="s">
        <v>10239</v>
      </c>
      <c r="F101" s="9" t="s">
        <v>16297</v>
      </c>
      <c r="G101" s="9" t="s">
        <v>13678</v>
      </c>
      <c r="H101" s="285" t="s">
        <v>4296</v>
      </c>
      <c r="I101" s="285" t="s">
        <v>1586</v>
      </c>
      <c r="J101" s="285"/>
      <c r="K101" s="285" t="s">
        <v>3136</v>
      </c>
      <c r="L101" s="14">
        <v>44132</v>
      </c>
      <c r="M101" s="285">
        <v>894</v>
      </c>
      <c r="N101" s="24">
        <v>1</v>
      </c>
      <c r="O101" s="15">
        <v>44105</v>
      </c>
      <c r="P101" s="40">
        <v>51950</v>
      </c>
      <c r="Q101" s="40">
        <v>22142.639999999999</v>
      </c>
      <c r="R101" s="40">
        <f>P101-Q101</f>
        <v>29807.360000000001</v>
      </c>
      <c r="S101" s="18"/>
      <c r="T101" s="285" t="s">
        <v>13679</v>
      </c>
      <c r="U101" s="15"/>
      <c r="V101" s="22" t="s">
        <v>14588</v>
      </c>
    </row>
    <row r="102" spans="1:22" s="19" customFormat="1" ht="49.5" customHeight="1" x14ac:dyDescent="0.2">
      <c r="A102" s="289">
        <v>28</v>
      </c>
      <c r="B102" s="289" t="s">
        <v>16298</v>
      </c>
      <c r="C102" s="79"/>
      <c r="D102" s="9" t="s">
        <v>16299</v>
      </c>
      <c r="E102" s="72" t="s">
        <v>10239</v>
      </c>
      <c r="F102" s="9" t="s">
        <v>16300</v>
      </c>
      <c r="G102" s="9" t="s">
        <v>13678</v>
      </c>
      <c r="H102" s="285" t="s">
        <v>4296</v>
      </c>
      <c r="I102" s="285" t="s">
        <v>1586</v>
      </c>
      <c r="J102" s="285"/>
      <c r="K102" s="285" t="s">
        <v>3136</v>
      </c>
      <c r="L102" s="14">
        <v>44132</v>
      </c>
      <c r="M102" s="285">
        <v>894</v>
      </c>
      <c r="N102" s="24">
        <v>1</v>
      </c>
      <c r="O102" s="15">
        <v>44105</v>
      </c>
      <c r="P102" s="40">
        <v>45790</v>
      </c>
      <c r="Q102" s="40">
        <v>19517.16</v>
      </c>
      <c r="R102" s="40">
        <f>P102-Q102</f>
        <v>26272.84</v>
      </c>
      <c r="S102" s="18"/>
      <c r="T102" s="285" t="s">
        <v>13679</v>
      </c>
      <c r="U102" s="15"/>
      <c r="V102" s="22" t="s">
        <v>14588</v>
      </c>
    </row>
    <row r="103" spans="1:22" s="19" customFormat="1" ht="98.25" customHeight="1" x14ac:dyDescent="0.2">
      <c r="A103" s="289">
        <v>29</v>
      </c>
      <c r="B103" s="289" t="s">
        <v>16301</v>
      </c>
      <c r="C103" s="9" t="s">
        <v>16302</v>
      </c>
      <c r="D103" s="9" t="s">
        <v>16142</v>
      </c>
      <c r="E103" s="289">
        <v>1965</v>
      </c>
      <c r="F103" s="9"/>
      <c r="G103" s="9" t="s">
        <v>16303</v>
      </c>
      <c r="H103" s="285" t="s">
        <v>4296</v>
      </c>
      <c r="I103" s="285" t="s">
        <v>1586</v>
      </c>
      <c r="J103" s="285"/>
      <c r="K103" s="285" t="s">
        <v>3136</v>
      </c>
      <c r="L103" s="14">
        <v>44369</v>
      </c>
      <c r="M103" s="285">
        <v>465</v>
      </c>
      <c r="N103" s="24">
        <v>480</v>
      </c>
      <c r="O103" s="15">
        <v>44348</v>
      </c>
      <c r="P103" s="40">
        <v>1</v>
      </c>
      <c r="Q103" s="40">
        <v>1</v>
      </c>
      <c r="R103" s="40">
        <v>0</v>
      </c>
      <c r="S103" s="18"/>
      <c r="T103" s="285" t="s">
        <v>16169</v>
      </c>
      <c r="U103" s="15">
        <v>44348</v>
      </c>
      <c r="V103" s="285" t="s">
        <v>16304</v>
      </c>
    </row>
    <row r="104" spans="1:22" s="450" customFormat="1" ht="17.25" customHeight="1" x14ac:dyDescent="0.2">
      <c r="A104" s="7"/>
      <c r="B104" s="534"/>
      <c r="C104" s="159"/>
      <c r="D104" s="564"/>
      <c r="E104" s="789"/>
      <c r="F104" s="564"/>
      <c r="G104" s="564"/>
      <c r="H104" s="565"/>
      <c r="I104" s="564"/>
      <c r="J104" s="564"/>
      <c r="K104" s="564"/>
      <c r="L104" s="564"/>
      <c r="M104" s="564"/>
      <c r="N104" s="790">
        <f>SUM(N8:N103)</f>
        <v>53944.845999999998</v>
      </c>
      <c r="O104" s="791"/>
      <c r="P104" s="521">
        <f>SUM(P7:P103)</f>
        <v>16836272.170000002</v>
      </c>
      <c r="Q104" s="521"/>
      <c r="R104" s="521"/>
      <c r="S104" s="526"/>
      <c r="T104" s="526"/>
      <c r="U104" s="159"/>
      <c r="V104" s="533"/>
    </row>
    <row r="105" spans="1:22" s="450" customFormat="1" ht="17.25" customHeight="1" x14ac:dyDescent="0.2">
      <c r="A105" s="7"/>
      <c r="C105" s="534"/>
      <c r="D105" s="534"/>
      <c r="E105" s="792"/>
      <c r="F105" s="534"/>
      <c r="G105" s="41"/>
      <c r="H105" s="159"/>
      <c r="I105" s="534"/>
      <c r="J105" s="534"/>
      <c r="K105" s="534"/>
      <c r="L105" s="534"/>
      <c r="M105" s="793"/>
      <c r="N105" s="571"/>
      <c r="O105" s="159"/>
      <c r="P105" s="524"/>
      <c r="Q105" s="524"/>
      <c r="R105" s="524"/>
      <c r="S105" s="526"/>
      <c r="T105" s="526"/>
      <c r="U105" s="524"/>
      <c r="V105" s="526"/>
    </row>
    <row r="106" spans="1:22" ht="28.5" customHeight="1" x14ac:dyDescent="0.2">
      <c r="N106" s="535"/>
      <c r="P106" s="135"/>
    </row>
    <row r="107" spans="1:22" ht="28.5" customHeight="1" x14ac:dyDescent="0.2"/>
    <row r="108" spans="1:22" ht="28.5" customHeight="1" x14ac:dyDescent="0.2"/>
    <row r="109" spans="1:22" ht="28.5" customHeight="1" x14ac:dyDescent="0.2"/>
    <row r="110" spans="1:22" ht="28.5" customHeight="1" x14ac:dyDescent="0.2"/>
    <row r="111" spans="1:22" ht="28.5" customHeight="1" x14ac:dyDescent="0.2"/>
    <row r="112" spans="1:22" ht="28.5" customHeight="1" x14ac:dyDescent="0.2"/>
    <row r="113" spans="1:22" ht="28.5" customHeight="1" x14ac:dyDescent="0.2"/>
    <row r="114" spans="1:22" ht="28.5" customHeight="1" x14ac:dyDescent="0.2"/>
    <row r="115" spans="1:22" ht="28.5" customHeight="1" x14ac:dyDescent="0.2">
      <c r="A115" s="6"/>
      <c r="C115" s="744"/>
      <c r="E115" s="6"/>
      <c r="F115" s="6"/>
      <c r="G115" s="6"/>
      <c r="H115" s="6"/>
      <c r="I115" s="6"/>
      <c r="J115" s="6"/>
      <c r="K115" s="6"/>
      <c r="L115" s="6"/>
      <c r="M115" s="6"/>
      <c r="N115" s="6"/>
      <c r="O115" s="6"/>
      <c r="P115" s="6"/>
      <c r="Q115" s="6"/>
      <c r="R115" s="6"/>
      <c r="T115" s="6"/>
      <c r="U115" s="6"/>
      <c r="V115" s="6"/>
    </row>
    <row r="116" spans="1:22" ht="28.5" customHeight="1" x14ac:dyDescent="0.2">
      <c r="A116" s="6"/>
      <c r="C116" s="744"/>
      <c r="E116" s="6"/>
      <c r="F116" s="6"/>
      <c r="G116" s="6"/>
      <c r="H116" s="6"/>
      <c r="I116" s="6"/>
      <c r="J116" s="6"/>
      <c r="K116" s="6"/>
      <c r="L116" s="6"/>
      <c r="M116" s="6"/>
      <c r="N116" s="6"/>
      <c r="O116" s="6"/>
      <c r="P116" s="6"/>
      <c r="Q116" s="6"/>
      <c r="R116" s="6"/>
      <c r="T116" s="6"/>
      <c r="U116" s="6"/>
      <c r="V116" s="6"/>
    </row>
    <row r="117" spans="1:22" ht="28.5" customHeight="1" x14ac:dyDescent="0.2">
      <c r="A117" s="6"/>
      <c r="C117" s="744"/>
      <c r="E117" s="6"/>
      <c r="F117" s="6"/>
      <c r="G117" s="6"/>
      <c r="H117" s="6"/>
      <c r="I117" s="6"/>
      <c r="J117" s="6"/>
      <c r="K117" s="6"/>
      <c r="L117" s="6"/>
      <c r="M117" s="6"/>
      <c r="N117" s="6"/>
      <c r="O117" s="6"/>
      <c r="P117" s="6"/>
      <c r="Q117" s="6"/>
      <c r="R117" s="6"/>
      <c r="T117" s="6"/>
      <c r="U117" s="6"/>
      <c r="V117" s="6"/>
    </row>
    <row r="118" spans="1:22" ht="28.5" customHeight="1" x14ac:dyDescent="0.2">
      <c r="A118" s="6"/>
      <c r="C118" s="744"/>
      <c r="E118" s="6"/>
      <c r="F118" s="6"/>
      <c r="G118" s="6"/>
      <c r="H118" s="6"/>
      <c r="I118" s="6"/>
      <c r="J118" s="6"/>
      <c r="K118" s="6"/>
      <c r="L118" s="6"/>
      <c r="M118" s="6"/>
      <c r="N118" s="6"/>
      <c r="O118" s="6"/>
      <c r="P118" s="6"/>
      <c r="Q118" s="6"/>
      <c r="R118" s="6"/>
      <c r="T118" s="6"/>
      <c r="U118" s="6"/>
      <c r="V118" s="6"/>
    </row>
    <row r="119" spans="1:22" ht="28.5" customHeight="1" x14ac:dyDescent="0.2">
      <c r="A119" s="6"/>
      <c r="C119" s="744"/>
      <c r="E119" s="6"/>
      <c r="F119" s="6"/>
      <c r="G119" s="6"/>
      <c r="H119" s="6"/>
      <c r="I119" s="6"/>
      <c r="J119" s="6"/>
      <c r="K119" s="6"/>
      <c r="L119" s="6"/>
      <c r="M119" s="6"/>
      <c r="N119" s="6"/>
      <c r="O119" s="6"/>
      <c r="P119" s="6"/>
      <c r="Q119" s="6"/>
      <c r="R119" s="6"/>
      <c r="T119" s="6"/>
      <c r="U119" s="6"/>
      <c r="V119" s="6"/>
    </row>
    <row r="120" spans="1:22" ht="28.5" customHeight="1" x14ac:dyDescent="0.2">
      <c r="A120" s="6"/>
      <c r="C120" s="744"/>
      <c r="E120" s="6"/>
      <c r="F120" s="6"/>
      <c r="G120" s="6"/>
      <c r="H120" s="6"/>
      <c r="I120" s="6"/>
      <c r="J120" s="6"/>
      <c r="K120" s="6"/>
      <c r="L120" s="6"/>
      <c r="M120" s="6"/>
      <c r="N120" s="6"/>
      <c r="O120" s="6"/>
      <c r="P120" s="6"/>
      <c r="Q120" s="6"/>
      <c r="R120" s="6"/>
      <c r="T120" s="6"/>
      <c r="U120" s="6"/>
      <c r="V120" s="6"/>
    </row>
    <row r="121" spans="1:22" ht="28.5" customHeight="1" x14ac:dyDescent="0.2">
      <c r="A121" s="6"/>
      <c r="C121" s="744"/>
      <c r="E121" s="6"/>
      <c r="F121" s="6"/>
      <c r="G121" s="6"/>
      <c r="H121" s="6"/>
      <c r="I121" s="6"/>
      <c r="J121" s="6"/>
      <c r="K121" s="6"/>
      <c r="L121" s="6"/>
      <c r="M121" s="6"/>
      <c r="N121" s="6"/>
      <c r="O121" s="6"/>
      <c r="P121" s="6"/>
      <c r="Q121" s="6"/>
      <c r="R121" s="6"/>
      <c r="T121" s="6"/>
      <c r="U121" s="6"/>
      <c r="V121" s="6"/>
    </row>
    <row r="122" spans="1:22" ht="28.5" customHeight="1" x14ac:dyDescent="0.2">
      <c r="A122" s="6"/>
      <c r="C122" s="744"/>
      <c r="E122" s="6"/>
      <c r="F122" s="6"/>
      <c r="G122" s="6"/>
      <c r="H122" s="6"/>
      <c r="I122" s="6"/>
      <c r="J122" s="6"/>
      <c r="K122" s="6"/>
      <c r="L122" s="6"/>
      <c r="M122" s="6"/>
      <c r="N122" s="6"/>
      <c r="O122" s="6"/>
      <c r="P122" s="6"/>
      <c r="Q122" s="6"/>
      <c r="R122" s="6"/>
      <c r="T122" s="6"/>
      <c r="U122" s="6"/>
      <c r="V122" s="6"/>
    </row>
    <row r="123" spans="1:22" ht="28.5" customHeight="1" x14ac:dyDescent="0.2">
      <c r="A123" s="6"/>
      <c r="C123" s="744"/>
      <c r="E123" s="6"/>
      <c r="F123" s="6"/>
      <c r="G123" s="6"/>
      <c r="H123" s="6"/>
      <c r="I123" s="6"/>
      <c r="J123" s="6"/>
      <c r="K123" s="6"/>
      <c r="L123" s="6"/>
      <c r="M123" s="6"/>
      <c r="N123" s="6"/>
      <c r="O123" s="6"/>
      <c r="P123" s="6"/>
      <c r="Q123" s="6"/>
      <c r="R123" s="6"/>
      <c r="T123" s="6"/>
      <c r="U123" s="6"/>
      <c r="V123" s="6"/>
    </row>
    <row r="124" spans="1:22" ht="28.5" customHeight="1" x14ac:dyDescent="0.2">
      <c r="A124" s="6"/>
      <c r="C124" s="744"/>
      <c r="E124" s="6"/>
      <c r="F124" s="6"/>
      <c r="G124" s="6"/>
      <c r="H124" s="6"/>
      <c r="I124" s="6"/>
      <c r="J124" s="6"/>
      <c r="K124" s="6"/>
      <c r="L124" s="6"/>
      <c r="M124" s="6"/>
      <c r="N124" s="6"/>
      <c r="O124" s="6"/>
      <c r="P124" s="6"/>
      <c r="Q124" s="6"/>
      <c r="R124" s="6"/>
      <c r="T124" s="6"/>
      <c r="U124" s="6"/>
      <c r="V124" s="6"/>
    </row>
    <row r="125" spans="1:22" ht="28.5" customHeight="1" x14ac:dyDescent="0.2">
      <c r="A125" s="6"/>
      <c r="C125" s="744"/>
      <c r="E125" s="6"/>
      <c r="F125" s="6"/>
      <c r="G125" s="6"/>
      <c r="H125" s="6"/>
      <c r="I125" s="6"/>
      <c r="J125" s="6"/>
      <c r="K125" s="6"/>
      <c r="L125" s="6"/>
      <c r="M125" s="6"/>
      <c r="N125" s="6"/>
      <c r="O125" s="6"/>
      <c r="P125" s="6"/>
      <c r="Q125" s="6"/>
      <c r="R125" s="6"/>
      <c r="T125" s="6"/>
      <c r="U125" s="6"/>
      <c r="V125" s="6"/>
    </row>
    <row r="126" spans="1:22" ht="28.5" customHeight="1" x14ac:dyDescent="0.2">
      <c r="A126" s="6"/>
      <c r="C126" s="744"/>
      <c r="E126" s="6"/>
      <c r="F126" s="6"/>
      <c r="G126" s="6"/>
      <c r="H126" s="6"/>
      <c r="I126" s="6"/>
      <c r="J126" s="6"/>
      <c r="K126" s="6"/>
      <c r="L126" s="6"/>
      <c r="M126" s="6"/>
      <c r="N126" s="6"/>
      <c r="O126" s="6"/>
      <c r="P126" s="6"/>
      <c r="Q126" s="6"/>
      <c r="R126" s="6"/>
      <c r="T126" s="6"/>
      <c r="U126" s="6"/>
      <c r="V126" s="6"/>
    </row>
    <row r="127" spans="1:22" ht="28.5" customHeight="1" x14ac:dyDescent="0.2">
      <c r="A127" s="6"/>
      <c r="C127" s="744"/>
      <c r="E127" s="6"/>
      <c r="F127" s="6"/>
      <c r="G127" s="6"/>
      <c r="H127" s="6"/>
      <c r="I127" s="6"/>
      <c r="J127" s="6"/>
      <c r="K127" s="6"/>
      <c r="L127" s="6"/>
      <c r="M127" s="6"/>
      <c r="N127" s="6"/>
      <c r="O127" s="6"/>
      <c r="P127" s="6"/>
      <c r="Q127" s="6"/>
      <c r="R127" s="6"/>
      <c r="T127" s="6"/>
      <c r="U127" s="6"/>
      <c r="V127" s="6"/>
    </row>
    <row r="128" spans="1:22" ht="28.5" customHeight="1" x14ac:dyDescent="0.2">
      <c r="A128" s="6"/>
      <c r="C128" s="744"/>
      <c r="E128" s="6"/>
      <c r="F128" s="6"/>
      <c r="G128" s="6"/>
      <c r="H128" s="6"/>
      <c r="I128" s="6"/>
      <c r="J128" s="6"/>
      <c r="K128" s="6"/>
      <c r="L128" s="6"/>
      <c r="M128" s="6"/>
      <c r="N128" s="6"/>
      <c r="O128" s="6"/>
      <c r="P128" s="6"/>
      <c r="Q128" s="6"/>
      <c r="R128" s="6"/>
      <c r="T128" s="6"/>
      <c r="U128" s="6"/>
      <c r="V128" s="6"/>
    </row>
    <row r="129" spans="1:22" ht="28.5" customHeight="1" x14ac:dyDescent="0.2">
      <c r="A129" s="6"/>
      <c r="C129" s="744"/>
      <c r="E129" s="6"/>
      <c r="F129" s="6"/>
      <c r="G129" s="6"/>
      <c r="H129" s="6"/>
      <c r="I129" s="6"/>
      <c r="J129" s="6"/>
      <c r="K129" s="6"/>
      <c r="L129" s="6"/>
      <c r="M129" s="6"/>
      <c r="N129" s="6"/>
      <c r="O129" s="6"/>
      <c r="P129" s="6"/>
      <c r="Q129" s="6"/>
      <c r="R129" s="6"/>
      <c r="T129" s="6"/>
      <c r="U129" s="6"/>
      <c r="V129" s="6"/>
    </row>
    <row r="130" spans="1:22" ht="28.5" customHeight="1" x14ac:dyDescent="0.2">
      <c r="A130" s="6"/>
      <c r="C130" s="744"/>
      <c r="E130" s="6"/>
      <c r="F130" s="6"/>
      <c r="G130" s="6"/>
      <c r="H130" s="6"/>
      <c r="I130" s="6"/>
      <c r="J130" s="6"/>
      <c r="K130" s="6"/>
      <c r="L130" s="6"/>
      <c r="M130" s="6"/>
      <c r="N130" s="6"/>
      <c r="O130" s="6"/>
      <c r="P130" s="6"/>
      <c r="Q130" s="6"/>
      <c r="R130" s="6"/>
      <c r="T130" s="6"/>
      <c r="U130" s="6"/>
      <c r="V130" s="6"/>
    </row>
    <row r="131" spans="1:22" ht="28.5" customHeight="1" x14ac:dyDescent="0.2">
      <c r="A131" s="6"/>
      <c r="C131" s="744"/>
      <c r="E131" s="6"/>
      <c r="F131" s="6"/>
      <c r="G131" s="6"/>
      <c r="H131" s="6"/>
      <c r="I131" s="6"/>
      <c r="J131" s="6"/>
      <c r="K131" s="6"/>
      <c r="L131" s="6"/>
      <c r="M131" s="6"/>
      <c r="N131" s="6"/>
      <c r="O131" s="6"/>
      <c r="P131" s="6"/>
      <c r="Q131" s="6"/>
      <c r="R131" s="6"/>
      <c r="T131" s="6"/>
      <c r="U131" s="6"/>
      <c r="V131" s="6"/>
    </row>
    <row r="132" spans="1:22" ht="28.5" customHeight="1" x14ac:dyDescent="0.2">
      <c r="A132" s="6"/>
      <c r="C132" s="744"/>
      <c r="E132" s="6"/>
      <c r="F132" s="6"/>
      <c r="G132" s="6"/>
      <c r="H132" s="6"/>
      <c r="I132" s="6"/>
      <c r="J132" s="6"/>
      <c r="K132" s="6"/>
      <c r="L132" s="6"/>
      <c r="M132" s="6"/>
      <c r="N132" s="6"/>
      <c r="O132" s="6"/>
      <c r="P132" s="6"/>
      <c r="Q132" s="6"/>
      <c r="R132" s="6"/>
      <c r="T132" s="6"/>
      <c r="U132" s="6"/>
      <c r="V132" s="6"/>
    </row>
    <row r="133" spans="1:22" ht="28.5" customHeight="1" x14ac:dyDescent="0.2">
      <c r="A133" s="6"/>
      <c r="C133" s="744"/>
      <c r="E133" s="6"/>
      <c r="F133" s="6"/>
      <c r="G133" s="6"/>
      <c r="H133" s="6"/>
      <c r="I133" s="6"/>
      <c r="J133" s="6"/>
      <c r="K133" s="6"/>
      <c r="L133" s="6"/>
      <c r="M133" s="6"/>
      <c r="N133" s="6"/>
      <c r="O133" s="6"/>
      <c r="P133" s="6"/>
      <c r="Q133" s="6"/>
      <c r="R133" s="6"/>
      <c r="T133" s="6"/>
      <c r="U133" s="6"/>
      <c r="V133" s="6"/>
    </row>
    <row r="134" spans="1:22" ht="28.5" customHeight="1" x14ac:dyDescent="0.2">
      <c r="A134" s="6"/>
      <c r="C134" s="744"/>
      <c r="E134" s="6"/>
      <c r="F134" s="6"/>
      <c r="G134" s="6"/>
      <c r="H134" s="6"/>
      <c r="I134" s="6"/>
      <c r="J134" s="6"/>
      <c r="K134" s="6"/>
      <c r="L134" s="6"/>
      <c r="M134" s="6"/>
      <c r="N134" s="6"/>
      <c r="O134" s="6"/>
      <c r="P134" s="6"/>
      <c r="Q134" s="6"/>
      <c r="R134" s="6"/>
      <c r="T134" s="6"/>
      <c r="U134" s="6"/>
      <c r="V134" s="6"/>
    </row>
    <row r="135" spans="1:22" ht="28.5" customHeight="1" x14ac:dyDescent="0.2">
      <c r="A135" s="6"/>
      <c r="C135" s="744"/>
      <c r="E135" s="6"/>
      <c r="F135" s="6"/>
      <c r="G135" s="6"/>
      <c r="H135" s="6"/>
      <c r="I135" s="6"/>
      <c r="J135" s="6"/>
      <c r="K135" s="6"/>
      <c r="L135" s="6"/>
      <c r="M135" s="6"/>
      <c r="N135" s="6"/>
      <c r="O135" s="6"/>
      <c r="P135" s="6"/>
      <c r="Q135" s="6"/>
      <c r="R135" s="6"/>
      <c r="T135" s="6"/>
      <c r="U135" s="6"/>
      <c r="V135" s="6"/>
    </row>
    <row r="136" spans="1:22" ht="28.5" customHeight="1" x14ac:dyDescent="0.2">
      <c r="A136" s="6"/>
      <c r="C136" s="744"/>
      <c r="E136" s="6"/>
      <c r="F136" s="6"/>
      <c r="G136" s="6"/>
      <c r="H136" s="6"/>
      <c r="I136" s="6"/>
      <c r="J136" s="6"/>
      <c r="K136" s="6"/>
      <c r="L136" s="6"/>
      <c r="M136" s="6"/>
      <c r="N136" s="6"/>
      <c r="O136" s="6"/>
      <c r="P136" s="6"/>
      <c r="Q136" s="6"/>
      <c r="R136" s="6"/>
      <c r="T136" s="6"/>
      <c r="U136" s="6"/>
      <c r="V136" s="6"/>
    </row>
    <row r="137" spans="1:22" ht="28.5" customHeight="1" x14ac:dyDescent="0.2">
      <c r="A137" s="6"/>
      <c r="C137" s="744"/>
      <c r="E137" s="6"/>
      <c r="F137" s="6"/>
      <c r="G137" s="6"/>
      <c r="H137" s="6"/>
      <c r="I137" s="6"/>
      <c r="J137" s="6"/>
      <c r="K137" s="6"/>
      <c r="L137" s="6"/>
      <c r="M137" s="6"/>
      <c r="N137" s="6"/>
      <c r="O137" s="6"/>
      <c r="P137" s="6"/>
      <c r="Q137" s="6"/>
      <c r="R137" s="6"/>
      <c r="T137" s="6"/>
      <c r="U137" s="6"/>
      <c r="V137" s="6"/>
    </row>
    <row r="138" spans="1:22" ht="28.5" customHeight="1" x14ac:dyDescent="0.2">
      <c r="A138" s="6"/>
      <c r="C138" s="744"/>
      <c r="E138" s="6"/>
      <c r="F138" s="6"/>
      <c r="G138" s="6"/>
      <c r="H138" s="6"/>
      <c r="I138" s="6"/>
      <c r="J138" s="6"/>
      <c r="K138" s="6"/>
      <c r="L138" s="6"/>
      <c r="M138" s="6"/>
      <c r="N138" s="6"/>
      <c r="O138" s="6"/>
      <c r="P138" s="6"/>
      <c r="Q138" s="6"/>
      <c r="R138" s="6"/>
      <c r="T138" s="6"/>
      <c r="U138" s="6"/>
      <c r="V138" s="6"/>
    </row>
    <row r="139" spans="1:22" ht="28.5" customHeight="1" x14ac:dyDescent="0.2">
      <c r="A139" s="6"/>
      <c r="C139" s="744"/>
      <c r="E139" s="6"/>
      <c r="F139" s="6"/>
      <c r="G139" s="6"/>
      <c r="H139" s="6"/>
      <c r="I139" s="6"/>
      <c r="J139" s="6"/>
      <c r="K139" s="6"/>
      <c r="L139" s="6"/>
      <c r="M139" s="6"/>
      <c r="N139" s="6"/>
      <c r="O139" s="6"/>
      <c r="P139" s="6"/>
      <c r="Q139" s="6"/>
      <c r="R139" s="6"/>
      <c r="T139" s="6"/>
      <c r="U139" s="6"/>
      <c r="V139" s="6"/>
    </row>
    <row r="140" spans="1:22" ht="28.5" customHeight="1" x14ac:dyDescent="0.2">
      <c r="A140" s="6"/>
      <c r="C140" s="744"/>
      <c r="E140" s="6"/>
      <c r="F140" s="6"/>
      <c r="G140" s="6"/>
      <c r="H140" s="6"/>
      <c r="I140" s="6"/>
      <c r="J140" s="6"/>
      <c r="K140" s="6"/>
      <c r="L140" s="6"/>
      <c r="M140" s="6"/>
      <c r="N140" s="6"/>
      <c r="O140" s="6"/>
      <c r="P140" s="6"/>
      <c r="Q140" s="6"/>
      <c r="R140" s="6"/>
      <c r="T140" s="6"/>
      <c r="U140" s="6"/>
      <c r="V140" s="6"/>
    </row>
    <row r="141" spans="1:22" ht="28.5" customHeight="1" x14ac:dyDescent="0.2">
      <c r="A141" s="6"/>
      <c r="C141" s="744"/>
      <c r="E141" s="6"/>
      <c r="F141" s="6"/>
      <c r="G141" s="6"/>
      <c r="H141" s="6"/>
      <c r="I141" s="6"/>
      <c r="J141" s="6"/>
      <c r="K141" s="6"/>
      <c r="L141" s="6"/>
      <c r="M141" s="6"/>
      <c r="N141" s="6"/>
      <c r="O141" s="6"/>
      <c r="P141" s="6"/>
      <c r="Q141" s="6"/>
      <c r="R141" s="6"/>
      <c r="T141" s="6"/>
      <c r="U141" s="6"/>
      <c r="V141" s="6"/>
    </row>
    <row r="142" spans="1:22" ht="28.5" customHeight="1" x14ac:dyDescent="0.2">
      <c r="A142" s="6"/>
      <c r="C142" s="744"/>
      <c r="E142" s="6"/>
      <c r="F142" s="6"/>
      <c r="G142" s="6"/>
      <c r="H142" s="6"/>
      <c r="I142" s="6"/>
      <c r="J142" s="6"/>
      <c r="K142" s="6"/>
      <c r="L142" s="6"/>
      <c r="M142" s="6"/>
      <c r="N142" s="6"/>
      <c r="O142" s="6"/>
      <c r="P142" s="6"/>
      <c r="Q142" s="6"/>
      <c r="R142" s="6"/>
      <c r="T142" s="6"/>
      <c r="U142" s="6"/>
      <c r="V142" s="6"/>
    </row>
    <row r="143" spans="1:22" ht="28.5" customHeight="1" x14ac:dyDescent="0.2">
      <c r="A143" s="6"/>
      <c r="C143" s="744"/>
      <c r="E143" s="6"/>
      <c r="F143" s="6"/>
      <c r="G143" s="6"/>
      <c r="H143" s="6"/>
      <c r="I143" s="6"/>
      <c r="J143" s="6"/>
      <c r="K143" s="6"/>
      <c r="L143" s="6"/>
      <c r="M143" s="6"/>
      <c r="N143" s="6"/>
      <c r="O143" s="6"/>
      <c r="P143" s="6"/>
      <c r="Q143" s="6"/>
      <c r="R143" s="6"/>
      <c r="T143" s="6"/>
      <c r="U143" s="6"/>
      <c r="V143" s="6"/>
    </row>
    <row r="144" spans="1:22" ht="28.5" customHeight="1" x14ac:dyDescent="0.2">
      <c r="A144" s="6"/>
      <c r="C144" s="744"/>
      <c r="E144" s="6"/>
      <c r="F144" s="6"/>
      <c r="G144" s="6"/>
      <c r="H144" s="6"/>
      <c r="I144" s="6"/>
      <c r="J144" s="6"/>
      <c r="K144" s="6"/>
      <c r="L144" s="6"/>
      <c r="M144" s="6"/>
      <c r="N144" s="6"/>
      <c r="O144" s="6"/>
      <c r="P144" s="6"/>
      <c r="Q144" s="6"/>
      <c r="R144" s="6"/>
      <c r="T144" s="6"/>
      <c r="U144" s="6"/>
      <c r="V144" s="6"/>
    </row>
    <row r="145" spans="1:22" ht="28.5" customHeight="1" x14ac:dyDescent="0.2">
      <c r="A145" s="6"/>
      <c r="C145" s="744"/>
      <c r="E145" s="6"/>
      <c r="F145" s="6"/>
      <c r="G145" s="6"/>
      <c r="H145" s="6"/>
      <c r="I145" s="6"/>
      <c r="J145" s="6"/>
      <c r="K145" s="6"/>
      <c r="L145" s="6"/>
      <c r="M145" s="6"/>
      <c r="N145" s="6"/>
      <c r="O145" s="6"/>
      <c r="P145" s="6"/>
      <c r="Q145" s="6"/>
      <c r="R145" s="6"/>
      <c r="T145" s="6"/>
      <c r="U145" s="6"/>
      <c r="V145" s="6"/>
    </row>
    <row r="146" spans="1:22" ht="28.5" customHeight="1" x14ac:dyDescent="0.2">
      <c r="A146" s="6"/>
      <c r="C146" s="744"/>
      <c r="E146" s="6"/>
      <c r="F146" s="6"/>
      <c r="G146" s="6"/>
      <c r="H146" s="6"/>
      <c r="I146" s="6"/>
      <c r="J146" s="6"/>
      <c r="K146" s="6"/>
      <c r="L146" s="6"/>
      <c r="M146" s="6"/>
      <c r="N146" s="6"/>
      <c r="O146" s="6"/>
      <c r="P146" s="6"/>
      <c r="Q146" s="6"/>
      <c r="R146" s="6"/>
      <c r="T146" s="6"/>
      <c r="U146" s="6"/>
      <c r="V146" s="6"/>
    </row>
    <row r="147" spans="1:22" ht="28.5" customHeight="1" x14ac:dyDescent="0.2">
      <c r="A147" s="6"/>
      <c r="C147" s="744"/>
      <c r="E147" s="6"/>
      <c r="F147" s="6"/>
      <c r="G147" s="6"/>
      <c r="H147" s="6"/>
      <c r="I147" s="6"/>
      <c r="J147" s="6"/>
      <c r="K147" s="6"/>
      <c r="L147" s="6"/>
      <c r="M147" s="6"/>
      <c r="N147" s="6"/>
      <c r="O147" s="6"/>
      <c r="P147" s="6"/>
      <c r="Q147" s="6"/>
      <c r="R147" s="6"/>
      <c r="T147" s="6"/>
      <c r="U147" s="6"/>
      <c r="V147" s="6"/>
    </row>
    <row r="148" spans="1:22" ht="28.5" customHeight="1" x14ac:dyDescent="0.2">
      <c r="A148" s="6"/>
      <c r="C148" s="744"/>
      <c r="E148" s="6"/>
      <c r="F148" s="6"/>
      <c r="G148" s="6"/>
      <c r="H148" s="6"/>
      <c r="I148" s="6"/>
      <c r="J148" s="6"/>
      <c r="K148" s="6"/>
      <c r="L148" s="6"/>
      <c r="M148" s="6"/>
      <c r="N148" s="6"/>
      <c r="O148" s="6"/>
      <c r="P148" s="6"/>
      <c r="Q148" s="6"/>
      <c r="R148" s="6"/>
      <c r="T148" s="6"/>
      <c r="U148" s="6"/>
      <c r="V148" s="6"/>
    </row>
    <row r="149" spans="1:22" ht="28.5" customHeight="1" x14ac:dyDescent="0.2">
      <c r="A149" s="6"/>
      <c r="C149" s="744"/>
      <c r="E149" s="6"/>
      <c r="F149" s="6"/>
      <c r="G149" s="6"/>
      <c r="H149" s="6"/>
      <c r="I149" s="6"/>
      <c r="J149" s="6"/>
      <c r="K149" s="6"/>
      <c r="L149" s="6"/>
      <c r="M149" s="6"/>
      <c r="N149" s="6"/>
      <c r="O149" s="6"/>
      <c r="P149" s="6"/>
      <c r="Q149" s="6"/>
      <c r="R149" s="6"/>
      <c r="T149" s="6"/>
      <c r="U149" s="6"/>
      <c r="V149" s="6"/>
    </row>
    <row r="150" spans="1:22" ht="28.5" customHeight="1" x14ac:dyDescent="0.2">
      <c r="A150" s="6"/>
      <c r="C150" s="744"/>
      <c r="E150" s="6"/>
      <c r="F150" s="6"/>
      <c r="G150" s="6"/>
      <c r="H150" s="6"/>
      <c r="I150" s="6"/>
      <c r="J150" s="6"/>
      <c r="K150" s="6"/>
      <c r="L150" s="6"/>
      <c r="M150" s="6"/>
      <c r="N150" s="6"/>
      <c r="O150" s="6"/>
      <c r="P150" s="6"/>
      <c r="Q150" s="6"/>
      <c r="R150" s="6"/>
      <c r="T150" s="6"/>
      <c r="U150" s="6"/>
      <c r="V150" s="6"/>
    </row>
    <row r="151" spans="1:22" ht="28.5" customHeight="1" x14ac:dyDescent="0.2">
      <c r="A151" s="6"/>
      <c r="C151" s="744"/>
      <c r="E151" s="6"/>
      <c r="F151" s="6"/>
      <c r="G151" s="6"/>
      <c r="H151" s="6"/>
      <c r="I151" s="6"/>
      <c r="J151" s="6"/>
      <c r="K151" s="6"/>
      <c r="L151" s="6"/>
      <c r="M151" s="6"/>
      <c r="N151" s="6"/>
      <c r="O151" s="6"/>
      <c r="P151" s="6"/>
      <c r="Q151" s="6"/>
      <c r="R151" s="6"/>
      <c r="T151" s="6"/>
      <c r="U151" s="6"/>
      <c r="V151" s="6"/>
    </row>
    <row r="152" spans="1:22" ht="28.5" customHeight="1" x14ac:dyDescent="0.2">
      <c r="A152" s="6"/>
      <c r="C152" s="744"/>
      <c r="E152" s="6"/>
      <c r="F152" s="6"/>
      <c r="G152" s="6"/>
      <c r="H152" s="6"/>
      <c r="I152" s="6"/>
      <c r="J152" s="6"/>
      <c r="K152" s="6"/>
      <c r="L152" s="6"/>
      <c r="M152" s="6"/>
      <c r="N152" s="6"/>
      <c r="O152" s="6"/>
      <c r="P152" s="6"/>
      <c r="Q152" s="6"/>
      <c r="R152" s="6"/>
      <c r="T152" s="6"/>
      <c r="U152" s="6"/>
      <c r="V152" s="6"/>
    </row>
    <row r="153" spans="1:22" ht="28.5" customHeight="1" x14ac:dyDescent="0.2">
      <c r="A153" s="6"/>
      <c r="C153" s="744"/>
      <c r="E153" s="6"/>
      <c r="F153" s="6"/>
      <c r="G153" s="6"/>
      <c r="H153" s="6"/>
      <c r="I153" s="6"/>
      <c r="J153" s="6"/>
      <c r="K153" s="6"/>
      <c r="L153" s="6"/>
      <c r="M153" s="6"/>
      <c r="N153" s="6"/>
      <c r="O153" s="6"/>
      <c r="P153" s="6"/>
      <c r="Q153" s="6"/>
      <c r="R153" s="6"/>
      <c r="T153" s="6"/>
      <c r="U153" s="6"/>
      <c r="V153" s="6"/>
    </row>
    <row r="154" spans="1:22" ht="28.5" customHeight="1" x14ac:dyDescent="0.2">
      <c r="A154" s="6"/>
      <c r="C154" s="744"/>
      <c r="E154" s="6"/>
      <c r="F154" s="6"/>
      <c r="G154" s="6"/>
      <c r="H154" s="6"/>
      <c r="I154" s="6"/>
      <c r="J154" s="6"/>
      <c r="K154" s="6"/>
      <c r="L154" s="6"/>
      <c r="M154" s="6"/>
      <c r="N154" s="6"/>
      <c r="O154" s="6"/>
      <c r="P154" s="6"/>
      <c r="Q154" s="6"/>
      <c r="R154" s="6"/>
      <c r="T154" s="6"/>
      <c r="U154" s="6"/>
      <c r="V154" s="6"/>
    </row>
    <row r="155" spans="1:22" ht="28.5" customHeight="1" x14ac:dyDescent="0.2">
      <c r="A155" s="6"/>
      <c r="C155" s="744"/>
      <c r="E155" s="6"/>
      <c r="F155" s="6"/>
      <c r="G155" s="6"/>
      <c r="H155" s="6"/>
      <c r="I155" s="6"/>
      <c r="J155" s="6"/>
      <c r="K155" s="6"/>
      <c r="L155" s="6"/>
      <c r="M155" s="6"/>
      <c r="N155" s="6"/>
      <c r="O155" s="6"/>
      <c r="P155" s="6"/>
      <c r="Q155" s="6"/>
      <c r="R155" s="6"/>
      <c r="T155" s="6"/>
      <c r="U155" s="6"/>
      <c r="V155" s="6"/>
    </row>
    <row r="156" spans="1:22" ht="28.5" customHeight="1" x14ac:dyDescent="0.2">
      <c r="A156" s="6"/>
      <c r="C156" s="744"/>
      <c r="E156" s="6"/>
      <c r="F156" s="6"/>
      <c r="G156" s="6"/>
      <c r="H156" s="6"/>
      <c r="I156" s="6"/>
      <c r="J156" s="6"/>
      <c r="K156" s="6"/>
      <c r="L156" s="6"/>
      <c r="M156" s="6"/>
      <c r="N156" s="6"/>
      <c r="O156" s="6"/>
      <c r="P156" s="6"/>
      <c r="Q156" s="6"/>
      <c r="R156" s="6"/>
      <c r="T156" s="6"/>
      <c r="U156" s="6"/>
      <c r="V156" s="6"/>
    </row>
    <row r="157" spans="1:22" ht="28.5" customHeight="1" x14ac:dyDescent="0.2">
      <c r="A157" s="6"/>
      <c r="C157" s="744"/>
      <c r="E157" s="6"/>
      <c r="F157" s="6"/>
      <c r="G157" s="6"/>
      <c r="H157" s="6"/>
      <c r="I157" s="6"/>
      <c r="J157" s="6"/>
      <c r="K157" s="6"/>
      <c r="L157" s="6"/>
      <c r="M157" s="6"/>
      <c r="N157" s="6"/>
      <c r="O157" s="6"/>
      <c r="P157" s="6"/>
      <c r="Q157" s="6"/>
      <c r="R157" s="6"/>
      <c r="T157" s="6"/>
      <c r="U157" s="6"/>
      <c r="V157" s="6"/>
    </row>
    <row r="158" spans="1:22" ht="28.5" customHeight="1" x14ac:dyDescent="0.2">
      <c r="A158" s="6"/>
      <c r="C158" s="744"/>
      <c r="E158" s="6"/>
      <c r="F158" s="6"/>
      <c r="G158" s="6"/>
      <c r="H158" s="6"/>
      <c r="I158" s="6"/>
      <c r="J158" s="6"/>
      <c r="K158" s="6"/>
      <c r="L158" s="6"/>
      <c r="M158" s="6"/>
      <c r="N158" s="6"/>
      <c r="O158" s="6"/>
      <c r="P158" s="6"/>
      <c r="Q158" s="6"/>
      <c r="R158" s="6"/>
      <c r="T158" s="6"/>
      <c r="U158" s="6"/>
      <c r="V158" s="6"/>
    </row>
    <row r="159" spans="1:22" ht="28.5" customHeight="1" x14ac:dyDescent="0.2">
      <c r="A159" s="6"/>
      <c r="C159" s="744"/>
      <c r="E159" s="6"/>
      <c r="F159" s="6"/>
      <c r="G159" s="6"/>
      <c r="H159" s="6"/>
      <c r="I159" s="6"/>
      <c r="J159" s="6"/>
      <c r="K159" s="6"/>
      <c r="L159" s="6"/>
      <c r="M159" s="6"/>
      <c r="N159" s="6"/>
      <c r="O159" s="6"/>
      <c r="P159" s="6"/>
      <c r="Q159" s="6"/>
      <c r="R159" s="6"/>
      <c r="T159" s="6"/>
      <c r="U159" s="6"/>
      <c r="V159" s="6"/>
    </row>
    <row r="160" spans="1:22" ht="28.5" customHeight="1" x14ac:dyDescent="0.2">
      <c r="A160" s="6"/>
      <c r="C160" s="744"/>
      <c r="E160" s="6"/>
      <c r="F160" s="6"/>
      <c r="G160" s="6"/>
      <c r="H160" s="6"/>
      <c r="I160" s="6"/>
      <c r="J160" s="6"/>
      <c r="K160" s="6"/>
      <c r="L160" s="6"/>
      <c r="M160" s="6"/>
      <c r="N160" s="6"/>
      <c r="O160" s="6"/>
      <c r="P160" s="6"/>
      <c r="Q160" s="6"/>
      <c r="R160" s="6"/>
      <c r="T160" s="6"/>
      <c r="U160" s="6"/>
      <c r="V160" s="6"/>
    </row>
    <row r="161" spans="1:22" ht="28.5" customHeight="1" x14ac:dyDescent="0.2">
      <c r="A161" s="6"/>
      <c r="C161" s="744"/>
      <c r="E161" s="6"/>
      <c r="F161" s="6"/>
      <c r="G161" s="6"/>
      <c r="H161" s="6"/>
      <c r="I161" s="6"/>
      <c r="J161" s="6"/>
      <c r="K161" s="6"/>
      <c r="L161" s="6"/>
      <c r="M161" s="6"/>
      <c r="N161" s="6"/>
      <c r="O161" s="6"/>
      <c r="P161" s="6"/>
      <c r="Q161" s="6"/>
      <c r="R161" s="6"/>
      <c r="T161" s="6"/>
      <c r="U161" s="6"/>
      <c r="V161" s="6"/>
    </row>
    <row r="162" spans="1:22" ht="28.5" customHeight="1" x14ac:dyDescent="0.2">
      <c r="A162" s="6"/>
      <c r="C162" s="744"/>
      <c r="E162" s="6"/>
      <c r="F162" s="6"/>
      <c r="G162" s="6"/>
      <c r="H162" s="6"/>
      <c r="I162" s="6"/>
      <c r="J162" s="6"/>
      <c r="K162" s="6"/>
      <c r="L162" s="6"/>
      <c r="M162" s="6"/>
      <c r="N162" s="6"/>
      <c r="O162" s="6"/>
      <c r="P162" s="6"/>
      <c r="Q162" s="6"/>
      <c r="R162" s="6"/>
      <c r="T162" s="6"/>
      <c r="U162" s="6"/>
      <c r="V162" s="6"/>
    </row>
    <row r="163" spans="1:22" ht="28.5" customHeight="1" x14ac:dyDescent="0.2">
      <c r="A163" s="6"/>
      <c r="C163" s="744"/>
      <c r="E163" s="6"/>
      <c r="F163" s="6"/>
      <c r="G163" s="6"/>
      <c r="H163" s="6"/>
      <c r="I163" s="6"/>
      <c r="J163" s="6"/>
      <c r="K163" s="6"/>
      <c r="L163" s="6"/>
      <c r="M163" s="6"/>
      <c r="N163" s="6"/>
      <c r="O163" s="6"/>
      <c r="P163" s="6"/>
      <c r="Q163" s="6"/>
      <c r="R163" s="6"/>
      <c r="T163" s="6"/>
      <c r="U163" s="6"/>
      <c r="V163" s="6"/>
    </row>
    <row r="164" spans="1:22" ht="28.5" customHeight="1" x14ac:dyDescent="0.2">
      <c r="A164" s="6"/>
      <c r="C164" s="744"/>
      <c r="E164" s="6"/>
      <c r="F164" s="6"/>
      <c r="G164" s="6"/>
      <c r="H164" s="6"/>
      <c r="I164" s="6"/>
      <c r="J164" s="6"/>
      <c r="K164" s="6"/>
      <c r="L164" s="6"/>
      <c r="M164" s="6"/>
      <c r="N164" s="6"/>
      <c r="O164" s="6"/>
      <c r="P164" s="6"/>
      <c r="Q164" s="6"/>
      <c r="R164" s="6"/>
      <c r="T164" s="6"/>
      <c r="U164" s="6"/>
      <c r="V164" s="6"/>
    </row>
    <row r="165" spans="1:22" ht="28.5" customHeight="1" x14ac:dyDescent="0.2">
      <c r="A165" s="6"/>
      <c r="C165" s="744"/>
      <c r="E165" s="6"/>
      <c r="F165" s="6"/>
      <c r="G165" s="6"/>
      <c r="H165" s="6"/>
      <c r="I165" s="6"/>
      <c r="J165" s="6"/>
      <c r="K165" s="6"/>
      <c r="L165" s="6"/>
      <c r="M165" s="6"/>
      <c r="N165" s="6"/>
      <c r="O165" s="6"/>
      <c r="P165" s="6"/>
      <c r="Q165" s="6"/>
      <c r="R165" s="6"/>
      <c r="T165" s="6"/>
      <c r="U165" s="6"/>
      <c r="V165" s="6"/>
    </row>
    <row r="166" spans="1:22" ht="28.5" customHeight="1" x14ac:dyDescent="0.2">
      <c r="A166" s="6"/>
      <c r="C166" s="744"/>
      <c r="E166" s="6"/>
      <c r="F166" s="6"/>
      <c r="G166" s="6"/>
      <c r="H166" s="6"/>
      <c r="I166" s="6"/>
      <c r="J166" s="6"/>
      <c r="K166" s="6"/>
      <c r="L166" s="6"/>
      <c r="M166" s="6"/>
      <c r="N166" s="6"/>
      <c r="O166" s="6"/>
      <c r="P166" s="6"/>
      <c r="Q166" s="6"/>
      <c r="R166" s="6"/>
      <c r="T166" s="6"/>
      <c r="U166" s="6"/>
      <c r="V166" s="6"/>
    </row>
    <row r="167" spans="1:22" ht="28.5" customHeight="1" x14ac:dyDescent="0.2">
      <c r="A167" s="6"/>
      <c r="C167" s="744"/>
      <c r="E167" s="6"/>
      <c r="F167" s="6"/>
      <c r="G167" s="6"/>
      <c r="H167" s="6"/>
      <c r="I167" s="6"/>
      <c r="J167" s="6"/>
      <c r="K167" s="6"/>
      <c r="L167" s="6"/>
      <c r="M167" s="6"/>
      <c r="N167" s="6"/>
      <c r="O167" s="6"/>
      <c r="P167" s="6"/>
      <c r="Q167" s="6"/>
      <c r="R167" s="6"/>
      <c r="T167" s="6"/>
      <c r="U167" s="6"/>
      <c r="V167" s="6"/>
    </row>
    <row r="168" spans="1:22" ht="28.5" customHeight="1" x14ac:dyDescent="0.2">
      <c r="A168" s="6"/>
      <c r="C168" s="744"/>
      <c r="E168" s="6"/>
      <c r="F168" s="6"/>
      <c r="G168" s="6"/>
      <c r="H168" s="6"/>
      <c r="I168" s="6"/>
      <c r="J168" s="6"/>
      <c r="K168" s="6"/>
      <c r="L168" s="6"/>
      <c r="M168" s="6"/>
      <c r="N168" s="6"/>
      <c r="O168" s="6"/>
      <c r="P168" s="6"/>
      <c r="Q168" s="6"/>
      <c r="R168" s="6"/>
      <c r="T168" s="6"/>
      <c r="U168" s="6"/>
      <c r="V168" s="6"/>
    </row>
    <row r="169" spans="1:22" ht="28.5" customHeight="1" x14ac:dyDescent="0.2">
      <c r="A169" s="6"/>
      <c r="C169" s="744"/>
      <c r="E169" s="6"/>
      <c r="F169" s="6"/>
      <c r="G169" s="6"/>
      <c r="H169" s="6"/>
      <c r="I169" s="6"/>
      <c r="J169" s="6"/>
      <c r="K169" s="6"/>
      <c r="L169" s="6"/>
      <c r="M169" s="6"/>
      <c r="N169" s="6"/>
      <c r="O169" s="6"/>
      <c r="P169" s="6"/>
      <c r="Q169" s="6"/>
      <c r="R169" s="6"/>
      <c r="T169" s="6"/>
      <c r="U169" s="6"/>
      <c r="V169" s="6"/>
    </row>
  </sheetData>
  <mergeCells count="129">
    <mergeCell ref="H86:H91"/>
    <mergeCell ref="I86:I91"/>
    <mergeCell ref="P86:P91"/>
    <mergeCell ref="Q86:Q91"/>
    <mergeCell ref="R86:R91"/>
    <mergeCell ref="K87:K91"/>
    <mergeCell ref="L87:L91"/>
    <mergeCell ref="M87:M91"/>
    <mergeCell ref="A86:A91"/>
    <mergeCell ref="B86:B91"/>
    <mergeCell ref="C86:C91"/>
    <mergeCell ref="D86:D91"/>
    <mergeCell ref="E86:E87"/>
    <mergeCell ref="F86:F87"/>
    <mergeCell ref="R79:R82"/>
    <mergeCell ref="T79:T82"/>
    <mergeCell ref="U79:U82"/>
    <mergeCell ref="V79:V82"/>
    <mergeCell ref="K80:K82"/>
    <mergeCell ref="L80:L82"/>
    <mergeCell ref="M80:M82"/>
    <mergeCell ref="S80:S82"/>
    <mergeCell ref="H79:H82"/>
    <mergeCell ref="I79:I82"/>
    <mergeCell ref="J79:J82"/>
    <mergeCell ref="O79:O82"/>
    <mergeCell ref="P79:P82"/>
    <mergeCell ref="Q79:Q82"/>
    <mergeCell ref="A79:A82"/>
    <mergeCell ref="B79:B82"/>
    <mergeCell ref="C79:C82"/>
    <mergeCell ref="D79:D82"/>
    <mergeCell ref="E79:E82"/>
    <mergeCell ref="F79:F82"/>
    <mergeCell ref="P48:P71"/>
    <mergeCell ref="Q48:Q71"/>
    <mergeCell ref="R48:R71"/>
    <mergeCell ref="T48:T71"/>
    <mergeCell ref="U48:U71"/>
    <mergeCell ref="V48:V71"/>
    <mergeCell ref="H48:H71"/>
    <mergeCell ref="I48:I71"/>
    <mergeCell ref="J48:J71"/>
    <mergeCell ref="K48:K71"/>
    <mergeCell ref="L48:L71"/>
    <mergeCell ref="M48:M71"/>
    <mergeCell ref="A48:A71"/>
    <mergeCell ref="B48:B71"/>
    <mergeCell ref="C48:C71"/>
    <mergeCell ref="D48:D71"/>
    <mergeCell ref="E48:E71"/>
    <mergeCell ref="F48:F71"/>
    <mergeCell ref="P41:P47"/>
    <mergeCell ref="Q41:Q47"/>
    <mergeCell ref="R41:R47"/>
    <mergeCell ref="T42:T47"/>
    <mergeCell ref="U42:U47"/>
    <mergeCell ref="V42:V47"/>
    <mergeCell ref="V32:V40"/>
    <mergeCell ref="A41:A47"/>
    <mergeCell ref="B41:B47"/>
    <mergeCell ref="C41:C47"/>
    <mergeCell ref="D41:D47"/>
    <mergeCell ref="E41:E42"/>
    <mergeCell ref="F41:F42"/>
    <mergeCell ref="H41:H47"/>
    <mergeCell ref="I41:I47"/>
    <mergeCell ref="J41:J47"/>
    <mergeCell ref="J31:J40"/>
    <mergeCell ref="P31:P40"/>
    <mergeCell ref="Q31:Q40"/>
    <mergeCell ref="R31:R40"/>
    <mergeCell ref="T32:T40"/>
    <mergeCell ref="U32:U40"/>
    <mergeCell ref="U28:U30"/>
    <mergeCell ref="V28:V30"/>
    <mergeCell ref="A31:A40"/>
    <mergeCell ref="B31:B40"/>
    <mergeCell ref="C31:C40"/>
    <mergeCell ref="D31:D40"/>
    <mergeCell ref="E31:E32"/>
    <mergeCell ref="F31:F32"/>
    <mergeCell ref="H31:H40"/>
    <mergeCell ref="I31:I40"/>
    <mergeCell ref="I28:I30"/>
    <mergeCell ref="J28:J30"/>
    <mergeCell ref="P28:P30"/>
    <mergeCell ref="Q28:Q30"/>
    <mergeCell ref="R28:R30"/>
    <mergeCell ref="T28:T30"/>
    <mergeCell ref="T8:T27"/>
    <mergeCell ref="U8:U27"/>
    <mergeCell ref="V8:V27"/>
    <mergeCell ref="A28:A30"/>
    <mergeCell ref="B28:B30"/>
    <mergeCell ref="C28:C30"/>
    <mergeCell ref="D28:D30"/>
    <mergeCell ref="E28:E29"/>
    <mergeCell ref="F28:F29"/>
    <mergeCell ref="H28:H30"/>
    <mergeCell ref="H7:H27"/>
    <mergeCell ref="I7:I27"/>
    <mergeCell ref="J7:J27"/>
    <mergeCell ref="P7:P27"/>
    <mergeCell ref="Q7:Q27"/>
    <mergeCell ref="R7:R27"/>
    <mergeCell ref="P4:S4"/>
    <mergeCell ref="T4:V4"/>
    <mergeCell ref="A7:A27"/>
    <mergeCell ref="B7:B27"/>
    <mergeCell ref="C7:C27"/>
    <mergeCell ref="D7:D27"/>
    <mergeCell ref="E7:E8"/>
    <mergeCell ref="F7:F8"/>
    <mergeCell ref="H4:H5"/>
    <mergeCell ref="I4:I5"/>
    <mergeCell ref="J4:J5"/>
    <mergeCell ref="K4:M4"/>
    <mergeCell ref="N4:N5"/>
    <mergeCell ref="O4:O5"/>
    <mergeCell ref="A1:C1"/>
    <mergeCell ref="E1:G1"/>
    <mergeCell ref="A4:A5"/>
    <mergeCell ref="B4:B5"/>
    <mergeCell ref="C4:C5"/>
    <mergeCell ref="D4:D5"/>
    <mergeCell ref="E4:E5"/>
    <mergeCell ref="F4:F5"/>
    <mergeCell ref="G4: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83"/>
  <sheetViews>
    <sheetView topLeftCell="A61" workbookViewId="0">
      <selection activeCell="A61" sqref="A1:XFD1048576"/>
    </sheetView>
  </sheetViews>
  <sheetFormatPr defaultColWidth="9.140625" defaultRowHeight="11.25" x14ac:dyDescent="0.2"/>
  <cols>
    <col min="1" max="1" width="5.140625" style="7" customWidth="1"/>
    <col min="2" max="2" width="8.140625" style="450" customWidth="1"/>
    <col min="3" max="3" width="12.42578125" style="159" customWidth="1"/>
    <col min="4" max="4" width="18.140625" style="534" customWidth="1"/>
    <col min="5" max="5" width="8.5703125" style="450" customWidth="1"/>
    <col min="6" max="6" width="11.140625" style="450" customWidth="1"/>
    <col min="7" max="7" width="15.28515625" style="7" customWidth="1"/>
    <col min="8" max="8" width="14.28515625" style="159" customWidth="1"/>
    <col min="9" max="9" width="11.85546875" style="7" customWidth="1"/>
    <col min="10" max="10" width="10.5703125" style="7" customWidth="1"/>
    <col min="11" max="11" width="11.85546875" style="7" customWidth="1"/>
    <col min="12" max="12" width="11.140625" style="7" customWidth="1"/>
    <col min="13" max="13" width="8.42578125" style="7" customWidth="1"/>
    <col min="14" max="14" width="8" style="7" customWidth="1"/>
    <col min="15" max="15" width="9.28515625" style="525" customWidth="1"/>
    <col min="16" max="16" width="11.7109375" style="7" customWidth="1"/>
    <col min="17" max="17" width="12.28515625" style="7" customWidth="1"/>
    <col min="18" max="18" width="11.42578125" style="7" customWidth="1"/>
    <col min="19" max="19" width="12.42578125" style="7" customWidth="1"/>
    <col min="20" max="20" width="16.85546875" style="7" customWidth="1"/>
    <col min="21" max="21" width="11.5703125" style="450" customWidth="1"/>
    <col min="22" max="22" width="12.5703125" style="7" customWidth="1"/>
    <col min="23" max="24" width="9.140625" style="450"/>
    <col min="25" max="25" width="1.5703125" style="450" customWidth="1"/>
    <col min="26" max="27" width="9.140625" style="450"/>
    <col min="28" max="28" width="7.42578125" style="450" customWidth="1"/>
    <col min="29" max="29" width="8.5703125" style="450" customWidth="1"/>
    <col min="30" max="16384" width="9.140625" style="450"/>
  </cols>
  <sheetData>
    <row r="1" spans="1:22" ht="19.5" customHeight="1" x14ac:dyDescent="0.2">
      <c r="A1" s="91" t="s">
        <v>12980</v>
      </c>
      <c r="B1" s="91"/>
      <c r="C1" s="536"/>
      <c r="D1" s="673"/>
      <c r="E1" s="112"/>
      <c r="F1" s="112"/>
      <c r="K1" s="676"/>
      <c r="N1" s="676"/>
    </row>
    <row r="2" spans="1:22" s="6" customFormat="1" ht="18.75" customHeight="1" x14ac:dyDescent="0.2">
      <c r="A2" s="91" t="s">
        <v>16305</v>
      </c>
      <c r="B2" s="91"/>
      <c r="C2" s="290"/>
      <c r="D2" s="536"/>
      <c r="F2" s="112"/>
      <c r="G2" s="7"/>
      <c r="H2" s="159"/>
      <c r="I2" s="90"/>
      <c r="J2" s="90"/>
      <c r="K2" s="7"/>
      <c r="L2" s="7"/>
      <c r="M2" s="7"/>
      <c r="N2" s="90"/>
      <c r="O2" s="387"/>
      <c r="P2" s="90"/>
      <c r="Q2" s="90"/>
      <c r="R2" s="90"/>
      <c r="S2" s="90"/>
      <c r="T2" s="90"/>
      <c r="V2" s="90"/>
    </row>
    <row r="3" spans="1:22" ht="12" thickBot="1" x14ac:dyDescent="0.25"/>
    <row r="4" spans="1:22" s="19" customFormat="1" ht="37.5" customHeight="1" thickBot="1" x14ac:dyDescent="0.25">
      <c r="A4" s="539" t="s">
        <v>3972</v>
      </c>
      <c r="B4" s="794" t="s">
        <v>6165</v>
      </c>
      <c r="C4" s="794" t="s">
        <v>12408</v>
      </c>
      <c r="D4" s="794" t="s">
        <v>1995</v>
      </c>
      <c r="E4" s="794" t="s">
        <v>12982</v>
      </c>
      <c r="F4" s="794" t="s">
        <v>438</v>
      </c>
      <c r="G4" s="794" t="s">
        <v>12418</v>
      </c>
      <c r="H4" s="794" t="s">
        <v>2417</v>
      </c>
      <c r="I4" s="794" t="s">
        <v>5331</v>
      </c>
      <c r="J4" s="794" t="s">
        <v>12419</v>
      </c>
      <c r="K4" s="300" t="s">
        <v>3130</v>
      </c>
      <c r="L4" s="303"/>
      <c r="M4" s="301"/>
      <c r="N4" s="297" t="s">
        <v>14022</v>
      </c>
      <c r="O4" s="543" t="s">
        <v>5405</v>
      </c>
      <c r="P4" s="294" t="s">
        <v>14024</v>
      </c>
      <c r="Q4" s="295"/>
      <c r="R4" s="295"/>
      <c r="S4" s="296"/>
      <c r="T4" s="300" t="s">
        <v>6338</v>
      </c>
      <c r="U4" s="303"/>
      <c r="V4" s="301"/>
    </row>
    <row r="5" spans="1:22" s="19" customFormat="1" ht="39.75" customHeight="1" thickBot="1" x14ac:dyDescent="0.25">
      <c r="A5" s="549"/>
      <c r="B5" s="795"/>
      <c r="C5" s="795"/>
      <c r="D5" s="795"/>
      <c r="E5" s="795"/>
      <c r="F5" s="795"/>
      <c r="G5" s="796"/>
      <c r="H5" s="795"/>
      <c r="I5" s="795"/>
      <c r="J5" s="795"/>
      <c r="K5" s="93" t="s">
        <v>3771</v>
      </c>
      <c r="L5" s="93" t="s">
        <v>1598</v>
      </c>
      <c r="M5" s="322" t="s">
        <v>3131</v>
      </c>
      <c r="N5" s="298"/>
      <c r="O5" s="581"/>
      <c r="P5" s="282" t="s">
        <v>38</v>
      </c>
      <c r="Q5" s="282" t="s">
        <v>5794</v>
      </c>
      <c r="R5" s="582" t="s">
        <v>2252</v>
      </c>
      <c r="S5" s="582" t="s">
        <v>12413</v>
      </c>
      <c r="T5" s="94" t="s">
        <v>3771</v>
      </c>
      <c r="U5" s="94" t="s">
        <v>1598</v>
      </c>
      <c r="V5" s="94" t="s">
        <v>3131</v>
      </c>
    </row>
    <row r="6" spans="1:22" s="39" customFormat="1" ht="11.25" customHeight="1" x14ac:dyDescent="0.2">
      <c r="A6" s="37">
        <v>1</v>
      </c>
      <c r="B6" s="20">
        <v>2</v>
      </c>
      <c r="C6" s="37">
        <v>3</v>
      </c>
      <c r="D6" s="37">
        <v>4</v>
      </c>
      <c r="E6" s="20">
        <v>5</v>
      </c>
      <c r="F6" s="20">
        <v>6</v>
      </c>
      <c r="G6" s="20">
        <v>7</v>
      </c>
      <c r="H6" s="37">
        <v>8</v>
      </c>
      <c r="I6" s="20">
        <v>9</v>
      </c>
      <c r="J6" s="20">
        <v>10</v>
      </c>
      <c r="K6" s="20">
        <v>11</v>
      </c>
      <c r="L6" s="20">
        <v>12</v>
      </c>
      <c r="M6" s="20">
        <v>13</v>
      </c>
      <c r="N6" s="20">
        <v>14</v>
      </c>
      <c r="O6" s="515">
        <v>15</v>
      </c>
      <c r="P6" s="289">
        <v>16</v>
      </c>
      <c r="Q6" s="39">
        <v>17</v>
      </c>
      <c r="R6" s="39">
        <v>18</v>
      </c>
      <c r="S6" s="30">
        <v>19</v>
      </c>
      <c r="T6" s="268">
        <v>20</v>
      </c>
      <c r="U6" s="20">
        <v>21</v>
      </c>
      <c r="V6" s="20">
        <v>22</v>
      </c>
    </row>
    <row r="7" spans="1:22" s="19" customFormat="1" ht="111" customHeight="1" x14ac:dyDescent="0.2">
      <c r="A7" s="289">
        <v>1</v>
      </c>
      <c r="B7" s="289" t="s">
        <v>16306</v>
      </c>
      <c r="C7" s="285" t="s">
        <v>16307</v>
      </c>
      <c r="D7" s="9" t="s">
        <v>16308</v>
      </c>
      <c r="E7" s="12" t="s">
        <v>14191</v>
      </c>
      <c r="F7" s="9" t="s">
        <v>16309</v>
      </c>
      <c r="G7" s="285" t="s">
        <v>16310</v>
      </c>
      <c r="H7" s="56" t="s">
        <v>101</v>
      </c>
      <c r="I7" s="285" t="s">
        <v>5127</v>
      </c>
      <c r="J7" s="285"/>
      <c r="K7" s="285" t="s">
        <v>11743</v>
      </c>
      <c r="L7" s="14" t="s">
        <v>16311</v>
      </c>
      <c r="M7" s="285" t="s">
        <v>16312</v>
      </c>
      <c r="N7" s="16">
        <v>18</v>
      </c>
      <c r="O7" s="15">
        <v>39722</v>
      </c>
      <c r="P7" s="40">
        <v>282093</v>
      </c>
      <c r="Q7" s="40">
        <f>P7-R7</f>
        <v>282093</v>
      </c>
      <c r="R7" s="40">
        <v>0</v>
      </c>
      <c r="S7" s="40">
        <v>9047</v>
      </c>
      <c r="T7" s="285" t="s">
        <v>15479</v>
      </c>
      <c r="U7" s="15">
        <v>43252</v>
      </c>
      <c r="V7" s="285" t="s">
        <v>16313</v>
      </c>
    </row>
    <row r="8" spans="1:22" s="19" customFormat="1" ht="111" customHeight="1" x14ac:dyDescent="0.2">
      <c r="A8" s="289">
        <v>2</v>
      </c>
      <c r="B8" s="289" t="s">
        <v>16314</v>
      </c>
      <c r="C8" s="285" t="s">
        <v>16315</v>
      </c>
      <c r="D8" s="9" t="s">
        <v>16308</v>
      </c>
      <c r="E8" s="12">
        <v>1989</v>
      </c>
      <c r="F8" s="9" t="s">
        <v>16316</v>
      </c>
      <c r="G8" s="285" t="s">
        <v>16317</v>
      </c>
      <c r="H8" s="285" t="s">
        <v>516</v>
      </c>
      <c r="I8" s="285" t="s">
        <v>5127</v>
      </c>
      <c r="J8" s="285"/>
      <c r="K8" s="22" t="s">
        <v>3136</v>
      </c>
      <c r="L8" s="14" t="s">
        <v>16318</v>
      </c>
      <c r="M8" s="285" t="s">
        <v>16319</v>
      </c>
      <c r="N8" s="24">
        <v>64</v>
      </c>
      <c r="O8" s="15">
        <v>41244</v>
      </c>
      <c r="P8" s="40">
        <v>335734.02</v>
      </c>
      <c r="Q8" s="40">
        <v>335734.02</v>
      </c>
      <c r="R8" s="40">
        <f>P8-Q8</f>
        <v>0</v>
      </c>
      <c r="S8" s="17">
        <v>32186</v>
      </c>
      <c r="T8" s="285" t="s">
        <v>15479</v>
      </c>
      <c r="U8" s="15">
        <v>43257</v>
      </c>
      <c r="V8" s="285" t="s">
        <v>16320</v>
      </c>
    </row>
    <row r="9" spans="1:22" s="19" customFormat="1" ht="111" customHeight="1" x14ac:dyDescent="0.2">
      <c r="A9" s="289">
        <v>3</v>
      </c>
      <c r="B9" s="289" t="s">
        <v>16321</v>
      </c>
      <c r="C9" s="285" t="s">
        <v>16322</v>
      </c>
      <c r="D9" s="9" t="s">
        <v>16308</v>
      </c>
      <c r="E9" s="12">
        <v>1986</v>
      </c>
      <c r="F9" s="9" t="s">
        <v>16323</v>
      </c>
      <c r="G9" s="285" t="s">
        <v>16324</v>
      </c>
      <c r="H9" s="285" t="s">
        <v>7967</v>
      </c>
      <c r="I9" s="285" t="s">
        <v>5127</v>
      </c>
      <c r="J9" s="285"/>
      <c r="K9" s="22" t="s">
        <v>3136</v>
      </c>
      <c r="L9" s="14" t="s">
        <v>16325</v>
      </c>
      <c r="M9" s="285" t="s">
        <v>16326</v>
      </c>
      <c r="N9" s="24">
        <v>56</v>
      </c>
      <c r="O9" s="15">
        <v>41244</v>
      </c>
      <c r="P9" s="40">
        <v>71581.05</v>
      </c>
      <c r="Q9" s="40">
        <v>71581.05</v>
      </c>
      <c r="R9" s="40">
        <f>P9-Q9</f>
        <v>0</v>
      </c>
      <c r="S9" s="17">
        <v>28160</v>
      </c>
      <c r="T9" s="285" t="s">
        <v>15479</v>
      </c>
      <c r="U9" s="15">
        <v>43371</v>
      </c>
      <c r="V9" s="285" t="s">
        <v>16327</v>
      </c>
    </row>
    <row r="10" spans="1:22" s="19" customFormat="1" ht="111" customHeight="1" x14ac:dyDescent="0.2">
      <c r="A10" s="289">
        <v>4</v>
      </c>
      <c r="B10" s="289" t="s">
        <v>16328</v>
      </c>
      <c r="C10" s="285" t="s">
        <v>16329</v>
      </c>
      <c r="D10" s="9" t="s">
        <v>16308</v>
      </c>
      <c r="E10" s="12">
        <v>1983</v>
      </c>
      <c r="F10" s="9" t="s">
        <v>16330</v>
      </c>
      <c r="G10" s="285" t="s">
        <v>16331</v>
      </c>
      <c r="H10" s="285" t="s">
        <v>7978</v>
      </c>
      <c r="I10" s="285" t="s">
        <v>5127</v>
      </c>
      <c r="J10" s="285"/>
      <c r="K10" s="22" t="s">
        <v>3136</v>
      </c>
      <c r="L10" s="14" t="s">
        <v>16332</v>
      </c>
      <c r="M10" s="285" t="s">
        <v>16333</v>
      </c>
      <c r="N10" s="24">
        <v>53</v>
      </c>
      <c r="O10" s="15">
        <v>41244</v>
      </c>
      <c r="P10" s="40">
        <v>145039.41</v>
      </c>
      <c r="Q10" s="40">
        <v>145039.41</v>
      </c>
      <c r="R10" s="40">
        <f>P10-Q10</f>
        <v>0</v>
      </c>
      <c r="S10" s="17">
        <v>26651</v>
      </c>
      <c r="T10" s="285" t="s">
        <v>15479</v>
      </c>
      <c r="U10" s="83">
        <v>43599</v>
      </c>
      <c r="V10" s="285" t="s">
        <v>16334</v>
      </c>
    </row>
    <row r="11" spans="1:22" s="19" customFormat="1" ht="111" customHeight="1" x14ac:dyDescent="0.2">
      <c r="A11" s="289">
        <v>5</v>
      </c>
      <c r="B11" s="289" t="s">
        <v>16335</v>
      </c>
      <c r="C11" s="285" t="s">
        <v>16336</v>
      </c>
      <c r="D11" s="9" t="s">
        <v>16308</v>
      </c>
      <c r="E11" s="12" t="s">
        <v>13871</v>
      </c>
      <c r="F11" s="9" t="s">
        <v>16337</v>
      </c>
      <c r="G11" s="285" t="s">
        <v>16338</v>
      </c>
      <c r="H11" s="285" t="s">
        <v>8293</v>
      </c>
      <c r="I11" s="285" t="s">
        <v>5127</v>
      </c>
      <c r="J11" s="285"/>
      <c r="K11" s="285" t="s">
        <v>3136</v>
      </c>
      <c r="L11" s="14" t="s">
        <v>16339</v>
      </c>
      <c r="M11" s="285" t="s">
        <v>16340</v>
      </c>
      <c r="N11" s="24">
        <v>160</v>
      </c>
      <c r="O11" s="15">
        <v>39722</v>
      </c>
      <c r="P11" s="40">
        <v>24961.95</v>
      </c>
      <c r="Q11" s="40">
        <f>P11-R11</f>
        <v>24961.95</v>
      </c>
      <c r="R11" s="40">
        <v>0</v>
      </c>
      <c r="S11" s="40">
        <v>80530</v>
      </c>
      <c r="T11" s="285" t="s">
        <v>15479</v>
      </c>
      <c r="U11" s="15">
        <v>43248</v>
      </c>
      <c r="V11" s="285" t="s">
        <v>16341</v>
      </c>
    </row>
    <row r="12" spans="1:22" s="19" customFormat="1" ht="111" customHeight="1" x14ac:dyDescent="0.2">
      <c r="A12" s="289">
        <v>6</v>
      </c>
      <c r="B12" s="289" t="s">
        <v>16342</v>
      </c>
      <c r="C12" s="285" t="s">
        <v>16343</v>
      </c>
      <c r="D12" s="9" t="s">
        <v>16308</v>
      </c>
      <c r="E12" s="22" t="s">
        <v>6173</v>
      </c>
      <c r="F12" s="254" t="s">
        <v>16344</v>
      </c>
      <c r="G12" s="285" t="s">
        <v>16345</v>
      </c>
      <c r="H12" s="285" t="s">
        <v>3090</v>
      </c>
      <c r="I12" s="285" t="s">
        <v>5127</v>
      </c>
      <c r="J12" s="29"/>
      <c r="K12" s="22" t="s">
        <v>3136</v>
      </c>
      <c r="L12" s="231" t="s">
        <v>16346</v>
      </c>
      <c r="M12" s="29" t="s">
        <v>16347</v>
      </c>
      <c r="N12" s="584">
        <v>110</v>
      </c>
      <c r="O12" s="15">
        <v>41000</v>
      </c>
      <c r="P12" s="40">
        <v>26801.8</v>
      </c>
      <c r="Q12" s="40">
        <v>26632.54</v>
      </c>
      <c r="R12" s="40">
        <f>P12-Q12</f>
        <v>169.2599999999984</v>
      </c>
      <c r="S12" s="40">
        <v>55344</v>
      </c>
      <c r="T12" s="285" t="s">
        <v>16348</v>
      </c>
      <c r="U12" s="14" t="s">
        <v>16349</v>
      </c>
      <c r="V12" s="285" t="s">
        <v>16350</v>
      </c>
    </row>
    <row r="13" spans="1:22" s="19" customFormat="1" ht="111" customHeight="1" x14ac:dyDescent="0.2">
      <c r="A13" s="289">
        <v>7</v>
      </c>
      <c r="B13" s="289" t="s">
        <v>16351</v>
      </c>
      <c r="C13" s="285" t="s">
        <v>16352</v>
      </c>
      <c r="D13" s="9" t="s">
        <v>16308</v>
      </c>
      <c r="E13" s="22" t="s">
        <v>6173</v>
      </c>
      <c r="F13" s="254" t="s">
        <v>16353</v>
      </c>
      <c r="G13" s="285" t="s">
        <v>16354</v>
      </c>
      <c r="H13" s="285"/>
      <c r="I13" s="285" t="s">
        <v>2042</v>
      </c>
      <c r="J13" s="285" t="s">
        <v>2207</v>
      </c>
      <c r="K13" s="22" t="s">
        <v>3136</v>
      </c>
      <c r="L13" s="231" t="s">
        <v>16355</v>
      </c>
      <c r="M13" s="29" t="s">
        <v>16356</v>
      </c>
      <c r="N13" s="584">
        <v>60</v>
      </c>
      <c r="O13" s="15">
        <v>40822</v>
      </c>
      <c r="P13" s="40">
        <v>34311.14</v>
      </c>
      <c r="Q13" s="40">
        <f>P13-R13</f>
        <v>34311.14</v>
      </c>
      <c r="R13" s="40">
        <v>0</v>
      </c>
      <c r="S13" s="40">
        <v>30173</v>
      </c>
      <c r="T13" s="285" t="s">
        <v>16348</v>
      </c>
      <c r="U13" s="14" t="s">
        <v>16357</v>
      </c>
      <c r="V13" s="285" t="s">
        <v>16358</v>
      </c>
    </row>
    <row r="14" spans="1:22" s="19" customFormat="1" ht="111" customHeight="1" x14ac:dyDescent="0.2">
      <c r="A14" s="289">
        <v>8</v>
      </c>
      <c r="B14" s="289" t="s">
        <v>16359</v>
      </c>
      <c r="C14" s="285" t="s">
        <v>16360</v>
      </c>
      <c r="D14" s="9" t="s">
        <v>16308</v>
      </c>
      <c r="E14" s="22" t="s">
        <v>2467</v>
      </c>
      <c r="F14" s="254" t="s">
        <v>16361</v>
      </c>
      <c r="G14" s="285" t="s">
        <v>16362</v>
      </c>
      <c r="H14" s="285" t="s">
        <v>7846</v>
      </c>
      <c r="I14" s="285" t="s">
        <v>5127</v>
      </c>
      <c r="J14" s="29"/>
      <c r="K14" s="22" t="s">
        <v>3136</v>
      </c>
      <c r="L14" s="231" t="s">
        <v>16363</v>
      </c>
      <c r="M14" s="29" t="s">
        <v>16364</v>
      </c>
      <c r="N14" s="584">
        <v>23</v>
      </c>
      <c r="O14" s="15">
        <v>41198</v>
      </c>
      <c r="P14" s="40">
        <v>54446.46</v>
      </c>
      <c r="Q14" s="40">
        <v>15742.57</v>
      </c>
      <c r="R14" s="40">
        <f>P14-Q14</f>
        <v>38703.89</v>
      </c>
      <c r="S14" s="40">
        <v>11561</v>
      </c>
      <c r="T14" s="285" t="s">
        <v>15479</v>
      </c>
      <c r="U14" s="14">
        <v>43285</v>
      </c>
      <c r="V14" s="285" t="s">
        <v>16365</v>
      </c>
    </row>
    <row r="15" spans="1:22" s="19" customFormat="1" ht="111" customHeight="1" x14ac:dyDescent="0.2">
      <c r="A15" s="289">
        <v>9</v>
      </c>
      <c r="B15" s="289" t="s">
        <v>16366</v>
      </c>
      <c r="C15" s="285" t="s">
        <v>16367</v>
      </c>
      <c r="D15" s="9" t="s">
        <v>16308</v>
      </c>
      <c r="E15" s="22" t="s">
        <v>6173</v>
      </c>
      <c r="F15" s="254" t="s">
        <v>16368</v>
      </c>
      <c r="G15" s="285" t="s">
        <v>16369</v>
      </c>
      <c r="H15" s="285" t="s">
        <v>7977</v>
      </c>
      <c r="I15" s="285" t="s">
        <v>5127</v>
      </c>
      <c r="J15" s="29"/>
      <c r="K15" s="22" t="s">
        <v>3136</v>
      </c>
      <c r="L15" s="231" t="s">
        <v>16370</v>
      </c>
      <c r="M15" s="29" t="s">
        <v>16371</v>
      </c>
      <c r="N15" s="584">
        <v>183</v>
      </c>
      <c r="O15" s="15">
        <v>41244</v>
      </c>
      <c r="P15" s="40">
        <v>5537.66</v>
      </c>
      <c r="Q15" s="40">
        <v>5537.66</v>
      </c>
      <c r="R15" s="40">
        <f>P15-Q15</f>
        <v>0</v>
      </c>
      <c r="S15" s="40">
        <v>92120</v>
      </c>
      <c r="T15" s="285" t="s">
        <v>15479</v>
      </c>
      <c r="U15" s="14">
        <v>43210</v>
      </c>
      <c r="V15" s="285" t="s">
        <v>16372</v>
      </c>
    </row>
    <row r="16" spans="1:22" s="19" customFormat="1" ht="111" customHeight="1" x14ac:dyDescent="0.2">
      <c r="A16" s="289">
        <v>10</v>
      </c>
      <c r="B16" s="289" t="s">
        <v>16373</v>
      </c>
      <c r="C16" s="285" t="s">
        <v>16374</v>
      </c>
      <c r="D16" s="9" t="s">
        <v>16308</v>
      </c>
      <c r="E16" s="22" t="s">
        <v>13705</v>
      </c>
      <c r="F16" s="254" t="s">
        <v>16375</v>
      </c>
      <c r="G16" s="285" t="s">
        <v>16376</v>
      </c>
      <c r="H16" s="285" t="s">
        <v>7983</v>
      </c>
      <c r="I16" s="285" t="s">
        <v>5127</v>
      </c>
      <c r="J16" s="29"/>
      <c r="K16" s="22" t="s">
        <v>3136</v>
      </c>
      <c r="L16" s="231" t="s">
        <v>16377</v>
      </c>
      <c r="M16" s="29" t="s">
        <v>16378</v>
      </c>
      <c r="N16" s="584">
        <v>151</v>
      </c>
      <c r="O16" s="15">
        <v>40822</v>
      </c>
      <c r="P16" s="40">
        <v>110224.24</v>
      </c>
      <c r="Q16" s="40">
        <v>110224.24</v>
      </c>
      <c r="R16" s="40">
        <f>P16-Q16</f>
        <v>0</v>
      </c>
      <c r="S16" s="40">
        <v>75995</v>
      </c>
      <c r="T16" s="285" t="s">
        <v>15479</v>
      </c>
      <c r="U16" s="14">
        <v>43248</v>
      </c>
      <c r="V16" s="24" t="s">
        <v>16379</v>
      </c>
    </row>
    <row r="17" spans="1:22" s="19" customFormat="1" ht="66" customHeight="1" x14ac:dyDescent="0.2">
      <c r="A17" s="289">
        <v>11</v>
      </c>
      <c r="B17" s="289" t="s">
        <v>16380</v>
      </c>
      <c r="C17" s="285" t="s">
        <v>16381</v>
      </c>
      <c r="D17" s="9" t="s">
        <v>16382</v>
      </c>
      <c r="E17" s="22" t="s">
        <v>13546</v>
      </c>
      <c r="F17" s="254" t="s">
        <v>16383</v>
      </c>
      <c r="G17" s="285" t="s">
        <v>15534</v>
      </c>
      <c r="H17" s="558" t="s">
        <v>4296</v>
      </c>
      <c r="I17" s="37" t="s">
        <v>3793</v>
      </c>
      <c r="J17" s="68"/>
      <c r="K17" s="65" t="s">
        <v>3136</v>
      </c>
      <c r="L17" s="561" t="s">
        <v>13539</v>
      </c>
      <c r="M17" s="68" t="s">
        <v>13540</v>
      </c>
      <c r="N17" s="797">
        <v>376.6</v>
      </c>
      <c r="O17" s="57">
        <v>42166</v>
      </c>
      <c r="P17" s="62">
        <v>1</v>
      </c>
      <c r="Q17" s="62">
        <v>1</v>
      </c>
      <c r="R17" s="62">
        <f>0</f>
        <v>0</v>
      </c>
      <c r="S17" s="40">
        <v>442783</v>
      </c>
      <c r="T17" s="285" t="s">
        <v>14216</v>
      </c>
      <c r="U17" s="285" t="s">
        <v>14248</v>
      </c>
      <c r="V17" s="285" t="s">
        <v>16384</v>
      </c>
    </row>
    <row r="18" spans="1:22" s="19" customFormat="1" ht="51.75" customHeight="1" x14ac:dyDescent="0.2">
      <c r="A18" s="289">
        <v>12</v>
      </c>
      <c r="B18" s="289" t="s">
        <v>16385</v>
      </c>
      <c r="C18" s="285" t="s">
        <v>16386</v>
      </c>
      <c r="D18" s="9" t="s">
        <v>16387</v>
      </c>
      <c r="E18" s="22" t="s">
        <v>13676</v>
      </c>
      <c r="F18" s="254" t="s">
        <v>16388</v>
      </c>
      <c r="G18" s="285" t="s">
        <v>15534</v>
      </c>
      <c r="H18" s="558" t="s">
        <v>4296</v>
      </c>
      <c r="I18" s="37" t="s">
        <v>3793</v>
      </c>
      <c r="J18" s="68"/>
      <c r="K18" s="65" t="s">
        <v>3136</v>
      </c>
      <c r="L18" s="561" t="s">
        <v>13539</v>
      </c>
      <c r="M18" s="68" t="s">
        <v>13540</v>
      </c>
      <c r="N18" s="797">
        <v>1400</v>
      </c>
      <c r="O18" s="57">
        <v>42166</v>
      </c>
      <c r="P18" s="62">
        <v>1</v>
      </c>
      <c r="Q18" s="62">
        <v>1</v>
      </c>
      <c r="R18" s="62">
        <f>0</f>
        <v>0</v>
      </c>
      <c r="S18" s="40">
        <v>1709911</v>
      </c>
      <c r="T18" s="285" t="s">
        <v>14216</v>
      </c>
      <c r="U18" s="285" t="s">
        <v>14248</v>
      </c>
      <c r="V18" s="285" t="s">
        <v>16389</v>
      </c>
    </row>
    <row r="19" spans="1:22" s="19" customFormat="1" ht="51.75" customHeight="1" x14ac:dyDescent="0.2">
      <c r="A19" s="289">
        <v>13</v>
      </c>
      <c r="B19" s="289" t="s">
        <v>16390</v>
      </c>
      <c r="C19" s="285" t="s">
        <v>16391</v>
      </c>
      <c r="D19" s="9" t="s">
        <v>16392</v>
      </c>
      <c r="E19" s="22" t="s">
        <v>15222</v>
      </c>
      <c r="F19" s="254" t="s">
        <v>16393</v>
      </c>
      <c r="G19" s="285" t="s">
        <v>15534</v>
      </c>
      <c r="H19" s="558" t="s">
        <v>4296</v>
      </c>
      <c r="I19" s="37" t="s">
        <v>3793</v>
      </c>
      <c r="J19" s="68"/>
      <c r="K19" s="65" t="s">
        <v>3136</v>
      </c>
      <c r="L19" s="561" t="s">
        <v>13539</v>
      </c>
      <c r="M19" s="68" t="s">
        <v>13540</v>
      </c>
      <c r="N19" s="797">
        <v>1200</v>
      </c>
      <c r="O19" s="57">
        <v>42166</v>
      </c>
      <c r="P19" s="62">
        <v>1</v>
      </c>
      <c r="Q19" s="62">
        <v>1</v>
      </c>
      <c r="R19" s="62">
        <f>0</f>
        <v>0</v>
      </c>
      <c r="S19" s="40">
        <v>606197</v>
      </c>
      <c r="T19" s="285" t="s">
        <v>14216</v>
      </c>
      <c r="U19" s="285" t="s">
        <v>14248</v>
      </c>
      <c r="V19" s="285" t="s">
        <v>16394</v>
      </c>
    </row>
    <row r="20" spans="1:22" s="19" customFormat="1" ht="62.45" customHeight="1" x14ac:dyDescent="0.2">
      <c r="A20" s="289">
        <v>14</v>
      </c>
      <c r="B20" s="289" t="s">
        <v>16395</v>
      </c>
      <c r="C20" s="285" t="s">
        <v>16396</v>
      </c>
      <c r="D20" s="9" t="s">
        <v>16392</v>
      </c>
      <c r="E20" s="22" t="s">
        <v>15222</v>
      </c>
      <c r="F20" s="254" t="s">
        <v>16397</v>
      </c>
      <c r="G20" s="285" t="s">
        <v>15534</v>
      </c>
      <c r="H20" s="558" t="s">
        <v>4296</v>
      </c>
      <c r="I20" s="37" t="s">
        <v>3793</v>
      </c>
      <c r="J20" s="68"/>
      <c r="K20" s="65" t="s">
        <v>3136</v>
      </c>
      <c r="L20" s="561" t="s">
        <v>13539</v>
      </c>
      <c r="M20" s="68" t="s">
        <v>13540</v>
      </c>
      <c r="N20" s="797">
        <v>2900</v>
      </c>
      <c r="O20" s="57">
        <v>42166</v>
      </c>
      <c r="P20" s="62">
        <v>1</v>
      </c>
      <c r="Q20" s="62">
        <v>1</v>
      </c>
      <c r="R20" s="62">
        <f>0</f>
        <v>0</v>
      </c>
      <c r="S20" s="40">
        <v>3551286</v>
      </c>
      <c r="T20" s="285" t="s">
        <v>14216</v>
      </c>
      <c r="U20" s="285" t="s">
        <v>14248</v>
      </c>
      <c r="V20" s="285" t="s">
        <v>16398</v>
      </c>
    </row>
    <row r="21" spans="1:22" s="19" customFormat="1" ht="51.75" customHeight="1" x14ac:dyDescent="0.2">
      <c r="A21" s="289">
        <v>15</v>
      </c>
      <c r="B21" s="289" t="s">
        <v>16399</v>
      </c>
      <c r="C21" s="285" t="s">
        <v>16400</v>
      </c>
      <c r="D21" s="9" t="s">
        <v>16387</v>
      </c>
      <c r="E21" s="22" t="s">
        <v>13412</v>
      </c>
      <c r="F21" s="254" t="s">
        <v>16401</v>
      </c>
      <c r="G21" s="285" t="s">
        <v>15534</v>
      </c>
      <c r="H21" s="558" t="s">
        <v>4296</v>
      </c>
      <c r="I21" s="37" t="s">
        <v>3793</v>
      </c>
      <c r="J21" s="68"/>
      <c r="K21" s="65" t="s">
        <v>3136</v>
      </c>
      <c r="L21" s="561" t="s">
        <v>13539</v>
      </c>
      <c r="M21" s="68" t="s">
        <v>13540</v>
      </c>
      <c r="N21" s="797">
        <v>1500</v>
      </c>
      <c r="O21" s="57">
        <v>42166</v>
      </c>
      <c r="P21" s="62">
        <v>1</v>
      </c>
      <c r="Q21" s="62">
        <v>1</v>
      </c>
      <c r="R21" s="62">
        <f>0</f>
        <v>0</v>
      </c>
      <c r="S21" s="40">
        <v>1832439</v>
      </c>
      <c r="T21" s="285" t="s">
        <v>14216</v>
      </c>
      <c r="U21" s="285" t="s">
        <v>14248</v>
      </c>
      <c r="V21" s="285" t="s">
        <v>16402</v>
      </c>
    </row>
    <row r="22" spans="1:22" s="19" customFormat="1" ht="51.75" customHeight="1" x14ac:dyDescent="0.2">
      <c r="A22" s="289">
        <v>16</v>
      </c>
      <c r="B22" s="289" t="s">
        <v>16403</v>
      </c>
      <c r="C22" s="285" t="s">
        <v>16404</v>
      </c>
      <c r="D22" s="9" t="s">
        <v>16405</v>
      </c>
      <c r="E22" s="22" t="s">
        <v>13371</v>
      </c>
      <c r="F22" s="254" t="s">
        <v>16406</v>
      </c>
      <c r="G22" s="285" t="s">
        <v>15534</v>
      </c>
      <c r="H22" s="558" t="s">
        <v>4296</v>
      </c>
      <c r="I22" s="37" t="s">
        <v>3793</v>
      </c>
      <c r="J22" s="68"/>
      <c r="K22" s="65" t="s">
        <v>3136</v>
      </c>
      <c r="L22" s="561" t="s">
        <v>13539</v>
      </c>
      <c r="M22" s="68" t="s">
        <v>13540</v>
      </c>
      <c r="N22" s="562">
        <v>2204</v>
      </c>
      <c r="O22" s="57">
        <v>42166</v>
      </c>
      <c r="P22" s="62">
        <v>1</v>
      </c>
      <c r="Q22" s="62">
        <v>1</v>
      </c>
      <c r="R22" s="62">
        <f>0</f>
        <v>0</v>
      </c>
      <c r="S22" s="40">
        <v>2696025</v>
      </c>
      <c r="T22" s="285" t="s">
        <v>14216</v>
      </c>
      <c r="U22" s="285" t="s">
        <v>14248</v>
      </c>
      <c r="V22" s="285" t="s">
        <v>16407</v>
      </c>
    </row>
    <row r="23" spans="1:22" s="19" customFormat="1" ht="51.75" customHeight="1" x14ac:dyDescent="0.2">
      <c r="A23" s="289">
        <v>17</v>
      </c>
      <c r="B23" s="289" t="s">
        <v>16408</v>
      </c>
      <c r="C23" s="285" t="s">
        <v>16409</v>
      </c>
      <c r="D23" s="9" t="s">
        <v>16405</v>
      </c>
      <c r="E23" s="22" t="s">
        <v>13495</v>
      </c>
      <c r="F23" s="254" t="s">
        <v>16410</v>
      </c>
      <c r="G23" s="285" t="s">
        <v>15534</v>
      </c>
      <c r="H23" s="558" t="s">
        <v>4296</v>
      </c>
      <c r="I23" s="37" t="s">
        <v>3793</v>
      </c>
      <c r="J23" s="68"/>
      <c r="K23" s="65" t="s">
        <v>3136</v>
      </c>
      <c r="L23" s="561" t="s">
        <v>13539</v>
      </c>
      <c r="M23" s="68" t="s">
        <v>13540</v>
      </c>
      <c r="N23" s="562">
        <v>2400</v>
      </c>
      <c r="O23" s="57">
        <v>42166</v>
      </c>
      <c r="P23" s="62">
        <v>1</v>
      </c>
      <c r="Q23" s="62">
        <v>1</v>
      </c>
      <c r="R23" s="62">
        <f>0</f>
        <v>0</v>
      </c>
      <c r="S23" s="40">
        <v>1215201</v>
      </c>
      <c r="T23" s="285" t="s">
        <v>14216</v>
      </c>
      <c r="U23" s="285" t="s">
        <v>14248</v>
      </c>
      <c r="V23" s="285" t="s">
        <v>16411</v>
      </c>
    </row>
    <row r="24" spans="1:22" s="19" customFormat="1" ht="51.75" customHeight="1" x14ac:dyDescent="0.2">
      <c r="A24" s="289">
        <v>18</v>
      </c>
      <c r="B24" s="289" t="s">
        <v>16412</v>
      </c>
      <c r="C24" s="285" t="s">
        <v>16413</v>
      </c>
      <c r="D24" s="9" t="s">
        <v>16405</v>
      </c>
      <c r="E24" s="22" t="s">
        <v>13495</v>
      </c>
      <c r="F24" s="254" t="s">
        <v>16414</v>
      </c>
      <c r="G24" s="285" t="s">
        <v>15534</v>
      </c>
      <c r="H24" s="558" t="s">
        <v>4296</v>
      </c>
      <c r="I24" s="37" t="s">
        <v>3793</v>
      </c>
      <c r="J24" s="68"/>
      <c r="K24" s="65" t="s">
        <v>3136</v>
      </c>
      <c r="L24" s="561" t="s">
        <v>13539</v>
      </c>
      <c r="M24" s="68" t="s">
        <v>13540</v>
      </c>
      <c r="N24" s="562">
        <v>2100</v>
      </c>
      <c r="O24" s="57">
        <v>42166</v>
      </c>
      <c r="P24" s="62">
        <v>1</v>
      </c>
      <c r="Q24" s="62">
        <v>1</v>
      </c>
      <c r="R24" s="62">
        <f>0</f>
        <v>0</v>
      </c>
      <c r="S24" s="40">
        <v>2568348</v>
      </c>
      <c r="T24" s="285" t="s">
        <v>14216</v>
      </c>
      <c r="U24" s="285" t="s">
        <v>14217</v>
      </c>
      <c r="V24" s="285" t="s">
        <v>16415</v>
      </c>
    </row>
    <row r="25" spans="1:22" s="19" customFormat="1" ht="112.5" customHeight="1" x14ac:dyDescent="0.2">
      <c r="A25" s="289">
        <v>19</v>
      </c>
      <c r="B25" s="289" t="s">
        <v>16416</v>
      </c>
      <c r="C25" s="285" t="s">
        <v>16417</v>
      </c>
      <c r="D25" s="9" t="s">
        <v>16418</v>
      </c>
      <c r="E25" s="22" t="s">
        <v>6220</v>
      </c>
      <c r="F25" s="254" t="s">
        <v>16419</v>
      </c>
      <c r="G25" s="285" t="s">
        <v>16420</v>
      </c>
      <c r="H25" s="285" t="s">
        <v>4296</v>
      </c>
      <c r="I25" s="37" t="s">
        <v>3793</v>
      </c>
      <c r="J25" s="68"/>
      <c r="K25" s="65" t="s">
        <v>3136</v>
      </c>
      <c r="L25" s="14">
        <v>42513</v>
      </c>
      <c r="M25" s="285">
        <v>502</v>
      </c>
      <c r="N25" s="563">
        <v>416.5</v>
      </c>
      <c r="O25" s="57">
        <v>42501</v>
      </c>
      <c r="P25" s="62">
        <v>395153.39</v>
      </c>
      <c r="Q25" s="62">
        <v>86714.35</v>
      </c>
      <c r="R25" s="62">
        <f>P25-Q25</f>
        <v>308439.04000000004</v>
      </c>
      <c r="S25" s="40"/>
      <c r="T25" s="285" t="s">
        <v>16421</v>
      </c>
      <c r="U25" s="14">
        <v>42500</v>
      </c>
      <c r="V25" s="289" t="s">
        <v>1029</v>
      </c>
    </row>
    <row r="26" spans="1:22" s="19" customFormat="1" ht="108.75" customHeight="1" x14ac:dyDescent="0.2">
      <c r="A26" s="289">
        <v>20</v>
      </c>
      <c r="B26" s="289" t="s">
        <v>16422</v>
      </c>
      <c r="C26" s="285" t="s">
        <v>16417</v>
      </c>
      <c r="D26" s="9" t="s">
        <v>16418</v>
      </c>
      <c r="E26" s="22" t="s">
        <v>6220</v>
      </c>
      <c r="F26" s="254" t="s">
        <v>16423</v>
      </c>
      <c r="G26" s="285" t="s">
        <v>16424</v>
      </c>
      <c r="H26" s="285" t="s">
        <v>4296</v>
      </c>
      <c r="I26" s="37" t="s">
        <v>3793</v>
      </c>
      <c r="J26" s="68"/>
      <c r="K26" s="65" t="s">
        <v>3136</v>
      </c>
      <c r="L26" s="14">
        <v>42513</v>
      </c>
      <c r="M26" s="285">
        <v>502</v>
      </c>
      <c r="N26" s="563">
        <v>278</v>
      </c>
      <c r="O26" s="57">
        <v>42501</v>
      </c>
      <c r="P26" s="62">
        <v>208880.46</v>
      </c>
      <c r="Q26" s="62">
        <v>45837.38</v>
      </c>
      <c r="R26" s="62">
        <f>P26-Q26</f>
        <v>163043.07999999999</v>
      </c>
      <c r="S26" s="40"/>
      <c r="T26" s="285" t="s">
        <v>16421</v>
      </c>
      <c r="U26" s="14">
        <v>42500</v>
      </c>
      <c r="V26" s="289" t="s">
        <v>1029</v>
      </c>
    </row>
    <row r="27" spans="1:22" s="19" customFormat="1" ht="124.5" customHeight="1" x14ac:dyDescent="0.2">
      <c r="A27" s="289">
        <v>21</v>
      </c>
      <c r="B27" s="289" t="s">
        <v>16425</v>
      </c>
      <c r="C27" s="285" t="s">
        <v>16426</v>
      </c>
      <c r="D27" s="9" t="s">
        <v>16418</v>
      </c>
      <c r="E27" s="22" t="s">
        <v>6220</v>
      </c>
      <c r="F27" s="254" t="s">
        <v>16427</v>
      </c>
      <c r="G27" s="285" t="s">
        <v>16428</v>
      </c>
      <c r="H27" s="285" t="s">
        <v>4296</v>
      </c>
      <c r="I27" s="37" t="s">
        <v>3793</v>
      </c>
      <c r="J27" s="68"/>
      <c r="K27" s="65" t="s">
        <v>3136</v>
      </c>
      <c r="L27" s="14">
        <v>42513</v>
      </c>
      <c r="M27" s="285">
        <v>502</v>
      </c>
      <c r="N27" s="563">
        <v>199</v>
      </c>
      <c r="O27" s="57">
        <v>42501</v>
      </c>
      <c r="P27" s="62">
        <v>158860.13</v>
      </c>
      <c r="Q27" s="62">
        <v>34861.120000000003</v>
      </c>
      <c r="R27" s="62">
        <f>P27-Q27</f>
        <v>123999.01000000001</v>
      </c>
      <c r="S27" s="40"/>
      <c r="T27" s="285" t="s">
        <v>16421</v>
      </c>
      <c r="U27" s="14">
        <v>42500</v>
      </c>
      <c r="V27" s="289" t="s">
        <v>1029</v>
      </c>
    </row>
    <row r="28" spans="1:22" s="19" customFormat="1" ht="39" customHeight="1" x14ac:dyDescent="0.2">
      <c r="A28" s="326">
        <v>22</v>
      </c>
      <c r="B28" s="326" t="s">
        <v>16429</v>
      </c>
      <c r="C28" s="327" t="s">
        <v>16430</v>
      </c>
      <c r="D28" s="702" t="s">
        <v>16308</v>
      </c>
      <c r="E28" s="22" t="s">
        <v>3746</v>
      </c>
      <c r="F28" s="254"/>
      <c r="G28" s="426" t="s">
        <v>16431</v>
      </c>
      <c r="H28" s="327" t="s">
        <v>4296</v>
      </c>
      <c r="I28" s="327" t="s">
        <v>3793</v>
      </c>
      <c r="J28" s="327"/>
      <c r="K28" s="328" t="s">
        <v>3136</v>
      </c>
      <c r="L28" s="329" t="s">
        <v>13239</v>
      </c>
      <c r="M28" s="327" t="s">
        <v>13324</v>
      </c>
      <c r="N28" s="798">
        <v>5451</v>
      </c>
      <c r="O28" s="330">
        <v>40422</v>
      </c>
      <c r="P28" s="413">
        <v>538000</v>
      </c>
      <c r="Q28" s="413">
        <v>455214.01</v>
      </c>
      <c r="R28" s="413">
        <f>P28-Q28</f>
        <v>82785.989999999991</v>
      </c>
      <c r="S28" s="413">
        <v>2770672</v>
      </c>
      <c r="T28" s="327" t="s">
        <v>16089</v>
      </c>
      <c r="U28" s="329" t="s">
        <v>16432</v>
      </c>
      <c r="V28" s="317" t="s">
        <v>16433</v>
      </c>
    </row>
    <row r="29" spans="1:22" s="19" customFormat="1" ht="161.25" customHeight="1" x14ac:dyDescent="0.2">
      <c r="A29" s="432"/>
      <c r="B29" s="432"/>
      <c r="C29" s="611"/>
      <c r="D29" s="706"/>
      <c r="E29" s="12" t="s">
        <v>5027</v>
      </c>
      <c r="F29" s="9" t="s">
        <v>16434</v>
      </c>
      <c r="G29" s="24" t="s">
        <v>16435</v>
      </c>
      <c r="H29" s="611"/>
      <c r="I29" s="611"/>
      <c r="J29" s="611"/>
      <c r="K29" s="612"/>
      <c r="L29" s="613"/>
      <c r="M29" s="611"/>
      <c r="N29" s="684"/>
      <c r="O29" s="653"/>
      <c r="P29" s="616"/>
      <c r="Q29" s="616"/>
      <c r="R29" s="616"/>
      <c r="S29" s="432"/>
      <c r="T29" s="611"/>
      <c r="U29" s="613"/>
      <c r="V29" s="432"/>
    </row>
    <row r="30" spans="1:22" s="19" customFormat="1" ht="87.75" customHeight="1" x14ac:dyDescent="0.2">
      <c r="A30" s="432"/>
      <c r="B30" s="432"/>
      <c r="C30" s="611"/>
      <c r="D30" s="706"/>
      <c r="E30" s="12" t="s">
        <v>16436</v>
      </c>
      <c r="F30" s="9" t="s">
        <v>16437</v>
      </c>
      <c r="G30" s="285" t="s">
        <v>16438</v>
      </c>
      <c r="H30" s="611"/>
      <c r="I30" s="611"/>
      <c r="J30" s="611"/>
      <c r="K30" s="612"/>
      <c r="L30" s="613"/>
      <c r="M30" s="611"/>
      <c r="N30" s="684"/>
      <c r="O30" s="653"/>
      <c r="P30" s="616"/>
      <c r="Q30" s="616"/>
      <c r="R30" s="616"/>
      <c r="S30" s="432"/>
      <c r="T30" s="611"/>
      <c r="U30" s="613"/>
      <c r="V30" s="432"/>
    </row>
    <row r="31" spans="1:22" s="19" customFormat="1" ht="59.45" customHeight="1" x14ac:dyDescent="0.2">
      <c r="A31" s="432"/>
      <c r="B31" s="432"/>
      <c r="C31" s="611"/>
      <c r="D31" s="706"/>
      <c r="E31" s="12" t="s">
        <v>16439</v>
      </c>
      <c r="F31" s="9" t="s">
        <v>16440</v>
      </c>
      <c r="G31" s="289" t="s">
        <v>16441</v>
      </c>
      <c r="H31" s="611"/>
      <c r="I31" s="611"/>
      <c r="J31" s="611"/>
      <c r="K31" s="612"/>
      <c r="L31" s="613"/>
      <c r="M31" s="611"/>
      <c r="N31" s="684"/>
      <c r="O31" s="653"/>
      <c r="P31" s="616"/>
      <c r="Q31" s="616"/>
      <c r="R31" s="616"/>
      <c r="S31" s="432"/>
      <c r="T31" s="611"/>
      <c r="U31" s="613"/>
      <c r="V31" s="432"/>
    </row>
    <row r="32" spans="1:22" s="19" customFormat="1" ht="148.5" customHeight="1" x14ac:dyDescent="0.2">
      <c r="A32" s="432"/>
      <c r="B32" s="432"/>
      <c r="C32" s="611"/>
      <c r="D32" s="707"/>
      <c r="E32" s="42" t="s">
        <v>9655</v>
      </c>
      <c r="F32" s="46" t="s">
        <v>16442</v>
      </c>
      <c r="G32" s="49" t="s">
        <v>16443</v>
      </c>
      <c r="H32" s="611"/>
      <c r="I32" s="611"/>
      <c r="J32" s="611"/>
      <c r="K32" s="612"/>
      <c r="L32" s="613"/>
      <c r="M32" s="611"/>
      <c r="N32" s="684"/>
      <c r="O32" s="653"/>
      <c r="P32" s="616"/>
      <c r="Q32" s="414"/>
      <c r="R32" s="616"/>
      <c r="S32" s="432"/>
      <c r="T32" s="611"/>
      <c r="U32" s="613"/>
      <c r="V32" s="331"/>
    </row>
    <row r="33" spans="1:22" s="19" customFormat="1" ht="26.25" customHeight="1" x14ac:dyDescent="0.2">
      <c r="A33" s="30">
        <v>23</v>
      </c>
      <c r="B33" s="30" t="s">
        <v>16444</v>
      </c>
      <c r="C33" s="327" t="s">
        <v>16445</v>
      </c>
      <c r="D33" s="702" t="s">
        <v>16446</v>
      </c>
      <c r="E33" s="12"/>
      <c r="F33" s="9"/>
      <c r="G33" s="426" t="s">
        <v>16447</v>
      </c>
      <c r="H33" s="327" t="s">
        <v>4296</v>
      </c>
      <c r="I33" s="327" t="s">
        <v>3793</v>
      </c>
      <c r="J33" s="327"/>
      <c r="K33" s="328" t="s">
        <v>3136</v>
      </c>
      <c r="L33" s="329" t="s">
        <v>16448</v>
      </c>
      <c r="M33" s="327" t="s">
        <v>16449</v>
      </c>
      <c r="N33" s="798">
        <v>8778</v>
      </c>
      <c r="O33" s="51">
        <v>41964</v>
      </c>
      <c r="P33" s="413">
        <v>2320107.9700000002</v>
      </c>
      <c r="Q33" s="413">
        <v>1214926.18</v>
      </c>
      <c r="R33" s="413">
        <f>P33-Q33</f>
        <v>1105181.7900000003</v>
      </c>
      <c r="S33" s="100">
        <v>12983738</v>
      </c>
      <c r="T33" s="49" t="s">
        <v>16450</v>
      </c>
      <c r="U33" s="53">
        <v>43098</v>
      </c>
      <c r="V33" s="285" t="s">
        <v>16451</v>
      </c>
    </row>
    <row r="34" spans="1:22" s="19" customFormat="1" ht="39.75" customHeight="1" x14ac:dyDescent="0.2">
      <c r="A34" s="268"/>
      <c r="B34" s="268"/>
      <c r="C34" s="611"/>
      <c r="D34" s="706"/>
      <c r="E34" s="12" t="s">
        <v>13435</v>
      </c>
      <c r="F34" s="27" t="s">
        <v>16452</v>
      </c>
      <c r="G34" s="289" t="s">
        <v>16453</v>
      </c>
      <c r="H34" s="611"/>
      <c r="I34" s="611"/>
      <c r="J34" s="611"/>
      <c r="K34" s="612"/>
      <c r="L34" s="613"/>
      <c r="M34" s="611"/>
      <c r="N34" s="684"/>
      <c r="O34" s="264"/>
      <c r="P34" s="616"/>
      <c r="Q34" s="616"/>
      <c r="R34" s="616"/>
      <c r="S34" s="268"/>
      <c r="T34" s="71"/>
      <c r="U34" s="274"/>
      <c r="V34" s="71"/>
    </row>
    <row r="35" spans="1:22" s="19" customFormat="1" ht="112.5" customHeight="1" x14ac:dyDescent="0.2">
      <c r="A35" s="268"/>
      <c r="B35" s="432"/>
      <c r="C35" s="611"/>
      <c r="D35" s="706"/>
      <c r="E35" s="12" t="s">
        <v>16454</v>
      </c>
      <c r="F35" s="9" t="s">
        <v>16455</v>
      </c>
      <c r="G35" s="289" t="s">
        <v>16456</v>
      </c>
      <c r="H35" s="611"/>
      <c r="I35" s="611"/>
      <c r="J35" s="611"/>
      <c r="K35" s="612"/>
      <c r="L35" s="613"/>
      <c r="M35" s="611"/>
      <c r="N35" s="684"/>
      <c r="O35" s="264"/>
      <c r="P35" s="616"/>
      <c r="Q35" s="616"/>
      <c r="R35" s="616"/>
      <c r="S35" s="268"/>
      <c r="T35" s="71"/>
      <c r="U35" s="274"/>
      <c r="V35" s="71"/>
    </row>
    <row r="36" spans="1:22" s="19" customFormat="1" ht="86.25" customHeight="1" x14ac:dyDescent="0.2">
      <c r="A36" s="268"/>
      <c r="B36" s="432"/>
      <c r="C36" s="611"/>
      <c r="D36" s="706"/>
      <c r="E36" s="12" t="s">
        <v>14191</v>
      </c>
      <c r="F36" s="9" t="s">
        <v>16457</v>
      </c>
      <c r="G36" s="289" t="s">
        <v>16458</v>
      </c>
      <c r="H36" s="611"/>
      <c r="I36" s="611"/>
      <c r="J36" s="611"/>
      <c r="K36" s="612"/>
      <c r="L36" s="613"/>
      <c r="M36" s="611"/>
      <c r="N36" s="684"/>
      <c r="O36" s="264"/>
      <c r="P36" s="616"/>
      <c r="Q36" s="616"/>
      <c r="R36" s="616"/>
      <c r="S36" s="268"/>
      <c r="T36" s="71"/>
      <c r="U36" s="274"/>
      <c r="V36" s="71"/>
    </row>
    <row r="37" spans="1:22" s="19" customFormat="1" ht="98.25" customHeight="1" x14ac:dyDescent="0.2">
      <c r="A37" s="268"/>
      <c r="B37" s="432"/>
      <c r="C37" s="611"/>
      <c r="D37" s="706"/>
      <c r="E37" s="12" t="s">
        <v>13979</v>
      </c>
      <c r="F37" s="9" t="s">
        <v>16459</v>
      </c>
      <c r="G37" s="289" t="s">
        <v>16460</v>
      </c>
      <c r="H37" s="611"/>
      <c r="I37" s="611"/>
      <c r="J37" s="611"/>
      <c r="K37" s="612"/>
      <c r="L37" s="613"/>
      <c r="M37" s="611"/>
      <c r="N37" s="684"/>
      <c r="O37" s="264"/>
      <c r="P37" s="616"/>
      <c r="Q37" s="616"/>
      <c r="R37" s="616"/>
      <c r="S37" s="268"/>
      <c r="T37" s="71"/>
      <c r="U37" s="274"/>
      <c r="V37" s="71"/>
    </row>
    <row r="38" spans="1:22" s="19" customFormat="1" ht="54" customHeight="1" x14ac:dyDescent="0.2">
      <c r="A38" s="268"/>
      <c r="B38" s="432"/>
      <c r="C38" s="611"/>
      <c r="D38" s="706"/>
      <c r="E38" s="12" t="s">
        <v>16031</v>
      </c>
      <c r="F38" s="9" t="s">
        <v>16461</v>
      </c>
      <c r="G38" s="289" t="s">
        <v>16462</v>
      </c>
      <c r="H38" s="611"/>
      <c r="I38" s="611"/>
      <c r="J38" s="611"/>
      <c r="K38" s="612"/>
      <c r="L38" s="613"/>
      <c r="M38" s="611"/>
      <c r="N38" s="684"/>
      <c r="O38" s="57"/>
      <c r="P38" s="616"/>
      <c r="Q38" s="616"/>
      <c r="R38" s="616"/>
      <c r="S38" s="268"/>
      <c r="T38" s="71"/>
      <c r="U38" s="274"/>
      <c r="V38" s="71"/>
    </row>
    <row r="39" spans="1:22" s="19" customFormat="1" ht="88.5" customHeight="1" x14ac:dyDescent="0.2">
      <c r="A39" s="268"/>
      <c r="B39" s="432"/>
      <c r="C39" s="611"/>
      <c r="D39" s="706"/>
      <c r="E39" s="12" t="s">
        <v>13979</v>
      </c>
      <c r="F39" s="9" t="s">
        <v>16463</v>
      </c>
      <c r="G39" s="285" t="s">
        <v>16464</v>
      </c>
      <c r="H39" s="611"/>
      <c r="I39" s="611"/>
      <c r="J39" s="611"/>
      <c r="K39" s="612"/>
      <c r="L39" s="613"/>
      <c r="M39" s="611"/>
      <c r="N39" s="684"/>
      <c r="O39" s="51">
        <v>41155</v>
      </c>
      <c r="P39" s="616"/>
      <c r="Q39" s="616"/>
      <c r="R39" s="616"/>
      <c r="S39" s="268"/>
      <c r="T39" s="71"/>
      <c r="U39" s="274"/>
      <c r="V39" s="71"/>
    </row>
    <row r="40" spans="1:22" s="19" customFormat="1" ht="44.25" customHeight="1" x14ac:dyDescent="0.2">
      <c r="A40" s="432"/>
      <c r="B40" s="432"/>
      <c r="C40" s="611"/>
      <c r="D40" s="706"/>
      <c r="E40" s="12" t="s">
        <v>13435</v>
      </c>
      <c r="F40" s="9" t="s">
        <v>16465</v>
      </c>
      <c r="G40" s="289" t="s">
        <v>16466</v>
      </c>
      <c r="H40" s="611"/>
      <c r="I40" s="611"/>
      <c r="J40" s="611"/>
      <c r="K40" s="612"/>
      <c r="L40" s="613"/>
      <c r="M40" s="611"/>
      <c r="N40" s="684"/>
      <c r="O40" s="57"/>
      <c r="P40" s="616"/>
      <c r="Q40" s="616"/>
      <c r="R40" s="616"/>
      <c r="S40" s="268"/>
      <c r="T40" s="71"/>
      <c r="U40" s="274"/>
      <c r="V40" s="71"/>
    </row>
    <row r="41" spans="1:22" s="19" customFormat="1" ht="54.75" customHeight="1" x14ac:dyDescent="0.2">
      <c r="A41" s="432"/>
      <c r="B41" s="432"/>
      <c r="C41" s="611"/>
      <c r="D41" s="706"/>
      <c r="E41" s="12" t="s">
        <v>16467</v>
      </c>
      <c r="F41" s="9" t="s">
        <v>16468</v>
      </c>
      <c r="G41" s="289" t="s">
        <v>16469</v>
      </c>
      <c r="H41" s="611"/>
      <c r="I41" s="611"/>
      <c r="J41" s="611"/>
      <c r="K41" s="612"/>
      <c r="L41" s="613"/>
      <c r="M41" s="611"/>
      <c r="N41" s="684"/>
      <c r="O41" s="51">
        <v>41964</v>
      </c>
      <c r="P41" s="616"/>
      <c r="Q41" s="616"/>
      <c r="R41" s="616"/>
      <c r="S41" s="268"/>
      <c r="T41" s="71"/>
      <c r="U41" s="274"/>
      <c r="V41" s="71"/>
    </row>
    <row r="42" spans="1:22" s="19" customFormat="1" ht="55.5" customHeight="1" x14ac:dyDescent="0.2">
      <c r="A42" s="432"/>
      <c r="B42" s="432"/>
      <c r="C42" s="611"/>
      <c r="D42" s="706"/>
      <c r="E42" s="12" t="s">
        <v>16001</v>
      </c>
      <c r="F42" s="9" t="s">
        <v>16470</v>
      </c>
      <c r="G42" s="289" t="s">
        <v>16471</v>
      </c>
      <c r="H42" s="611"/>
      <c r="I42" s="611"/>
      <c r="J42" s="611"/>
      <c r="K42" s="612"/>
      <c r="L42" s="613"/>
      <c r="M42" s="611"/>
      <c r="N42" s="684"/>
      <c r="O42" s="57"/>
      <c r="P42" s="616"/>
      <c r="Q42" s="616"/>
      <c r="R42" s="616"/>
      <c r="S42" s="268"/>
      <c r="T42" s="71"/>
      <c r="U42" s="274"/>
      <c r="V42" s="71"/>
    </row>
    <row r="43" spans="1:22" s="19" customFormat="1" ht="135.6" customHeight="1" x14ac:dyDescent="0.2">
      <c r="A43" s="432"/>
      <c r="B43" s="432"/>
      <c r="C43" s="611"/>
      <c r="D43" s="706"/>
      <c r="E43" s="12" t="s">
        <v>16001</v>
      </c>
      <c r="F43" s="9" t="s">
        <v>16472</v>
      </c>
      <c r="G43" s="285" t="s">
        <v>16473</v>
      </c>
      <c r="H43" s="611"/>
      <c r="I43" s="611"/>
      <c r="J43" s="611"/>
      <c r="K43" s="612"/>
      <c r="L43" s="613"/>
      <c r="M43" s="611"/>
      <c r="N43" s="684"/>
      <c r="O43" s="330">
        <v>40422</v>
      </c>
      <c r="P43" s="616"/>
      <c r="Q43" s="616"/>
      <c r="R43" s="616"/>
      <c r="S43" s="268"/>
      <c r="T43" s="71"/>
      <c r="U43" s="274"/>
      <c r="V43" s="71"/>
    </row>
    <row r="44" spans="1:22" s="19" customFormat="1" ht="133.5" customHeight="1" x14ac:dyDescent="0.2">
      <c r="A44" s="432"/>
      <c r="B44" s="432"/>
      <c r="C44" s="611"/>
      <c r="D44" s="706"/>
      <c r="E44" s="12" t="s">
        <v>16001</v>
      </c>
      <c r="F44" s="9" t="s">
        <v>16474</v>
      </c>
      <c r="G44" s="285" t="s">
        <v>16475</v>
      </c>
      <c r="H44" s="611"/>
      <c r="I44" s="611"/>
      <c r="J44" s="611"/>
      <c r="K44" s="612"/>
      <c r="L44" s="613"/>
      <c r="M44" s="611"/>
      <c r="N44" s="684"/>
      <c r="O44" s="653"/>
      <c r="P44" s="616"/>
      <c r="Q44" s="616"/>
      <c r="R44" s="616"/>
      <c r="S44" s="268"/>
      <c r="T44" s="71"/>
      <c r="U44" s="274"/>
      <c r="V44" s="71"/>
    </row>
    <row r="45" spans="1:22" s="19" customFormat="1" ht="111" customHeight="1" x14ac:dyDescent="0.2">
      <c r="A45" s="432"/>
      <c r="B45" s="432"/>
      <c r="C45" s="611"/>
      <c r="D45" s="706"/>
      <c r="E45" s="12" t="s">
        <v>16001</v>
      </c>
      <c r="F45" s="9" t="s">
        <v>16476</v>
      </c>
      <c r="G45" s="285" t="s">
        <v>16477</v>
      </c>
      <c r="H45" s="611"/>
      <c r="I45" s="611"/>
      <c r="J45" s="611"/>
      <c r="K45" s="612"/>
      <c r="L45" s="613"/>
      <c r="M45" s="611"/>
      <c r="N45" s="684"/>
      <c r="O45" s="653"/>
      <c r="P45" s="616"/>
      <c r="Q45" s="616"/>
      <c r="R45" s="616"/>
      <c r="S45" s="20"/>
      <c r="T45" s="37"/>
      <c r="U45" s="32"/>
      <c r="V45" s="37"/>
    </row>
    <row r="46" spans="1:22" s="19" customFormat="1" ht="148.5" customHeight="1" x14ac:dyDescent="0.2">
      <c r="A46" s="432"/>
      <c r="B46" s="432"/>
      <c r="C46" s="611"/>
      <c r="D46" s="706"/>
      <c r="E46" s="12" t="s">
        <v>13435</v>
      </c>
      <c r="F46" s="9" t="s">
        <v>16478</v>
      </c>
      <c r="G46" s="285" t="s">
        <v>16479</v>
      </c>
      <c r="H46" s="611"/>
      <c r="I46" s="611"/>
      <c r="J46" s="611"/>
      <c r="K46" s="612"/>
      <c r="L46" s="613"/>
      <c r="M46" s="611"/>
      <c r="N46" s="684"/>
      <c r="O46" s="653"/>
      <c r="P46" s="616"/>
      <c r="Q46" s="616"/>
      <c r="R46" s="616"/>
      <c r="S46" s="289"/>
      <c r="T46" s="289"/>
      <c r="U46" s="285"/>
      <c r="V46" s="289"/>
    </row>
    <row r="47" spans="1:22" s="19" customFormat="1" ht="90" customHeight="1" x14ac:dyDescent="0.2">
      <c r="A47" s="432"/>
      <c r="B47" s="432"/>
      <c r="C47" s="611"/>
      <c r="D47" s="706"/>
      <c r="E47" s="12" t="s">
        <v>13006</v>
      </c>
      <c r="F47" s="9" t="s">
        <v>16480</v>
      </c>
      <c r="G47" s="285" t="s">
        <v>16481</v>
      </c>
      <c r="H47" s="611"/>
      <c r="I47" s="332"/>
      <c r="J47" s="611"/>
      <c r="K47" s="612"/>
      <c r="L47" s="613"/>
      <c r="M47" s="611"/>
      <c r="N47" s="684"/>
      <c r="O47" s="653"/>
      <c r="P47" s="616"/>
      <c r="Q47" s="616"/>
      <c r="R47" s="616"/>
      <c r="S47" s="289"/>
      <c r="T47" s="285"/>
      <c r="U47" s="555"/>
      <c r="V47" s="289"/>
    </row>
    <row r="48" spans="1:22" s="19" customFormat="1" ht="90.75" customHeight="1" x14ac:dyDescent="0.2">
      <c r="A48" s="331"/>
      <c r="B48" s="331"/>
      <c r="C48" s="332"/>
      <c r="D48" s="707"/>
      <c r="E48" s="12" t="s">
        <v>13006</v>
      </c>
      <c r="F48" s="9" t="s">
        <v>16482</v>
      </c>
      <c r="G48" s="285" t="s">
        <v>16483</v>
      </c>
      <c r="H48" s="332"/>
      <c r="I48" s="285" t="s">
        <v>16484</v>
      </c>
      <c r="J48" s="332"/>
      <c r="K48" s="333"/>
      <c r="L48" s="334"/>
      <c r="M48" s="332"/>
      <c r="N48" s="686"/>
      <c r="O48" s="335"/>
      <c r="P48" s="414"/>
      <c r="Q48" s="414"/>
      <c r="R48" s="414"/>
      <c r="S48" s="289"/>
      <c r="T48" s="285"/>
      <c r="U48" s="555"/>
      <c r="V48" s="289"/>
    </row>
    <row r="49" spans="1:22" s="19" customFormat="1" ht="75" customHeight="1" x14ac:dyDescent="0.2">
      <c r="A49" s="326">
        <v>24</v>
      </c>
      <c r="B49" s="326" t="s">
        <v>16485</v>
      </c>
      <c r="C49" s="327" t="s">
        <v>16486</v>
      </c>
      <c r="D49" s="46" t="s">
        <v>16446</v>
      </c>
      <c r="E49" s="12"/>
      <c r="F49" s="9"/>
      <c r="G49" s="426" t="s">
        <v>16487</v>
      </c>
      <c r="H49" s="327" t="s">
        <v>4296</v>
      </c>
      <c r="I49" s="799" t="s">
        <v>3793</v>
      </c>
      <c r="J49" s="327"/>
      <c r="K49" s="328" t="s">
        <v>3136</v>
      </c>
      <c r="L49" s="329" t="s">
        <v>16488</v>
      </c>
      <c r="M49" s="327" t="s">
        <v>16489</v>
      </c>
      <c r="N49" s="798">
        <v>13925</v>
      </c>
      <c r="O49" s="15"/>
      <c r="P49" s="413">
        <f>688800+51136.04+458432.72+281500</f>
        <v>1479868.76</v>
      </c>
      <c r="Q49" s="413">
        <v>1244932.06</v>
      </c>
      <c r="R49" s="413">
        <f>P49-Q49</f>
        <v>234936.69999999995</v>
      </c>
      <c r="S49" s="413">
        <v>20689014</v>
      </c>
      <c r="T49" s="327" t="s">
        <v>16490</v>
      </c>
      <c r="U49" s="329" t="s">
        <v>16491</v>
      </c>
      <c r="V49" s="327" t="s">
        <v>16492</v>
      </c>
    </row>
    <row r="50" spans="1:22" s="19" customFormat="1" ht="165.75" customHeight="1" x14ac:dyDescent="0.2">
      <c r="A50" s="432"/>
      <c r="B50" s="432"/>
      <c r="C50" s="611"/>
      <c r="D50" s="121"/>
      <c r="E50" s="12" t="s">
        <v>16493</v>
      </c>
      <c r="F50" s="9" t="s">
        <v>16494</v>
      </c>
      <c r="G50" s="285" t="s">
        <v>16495</v>
      </c>
      <c r="H50" s="611"/>
      <c r="I50" s="800"/>
      <c r="J50" s="611"/>
      <c r="K50" s="612"/>
      <c r="L50" s="613"/>
      <c r="M50" s="611"/>
      <c r="N50" s="684"/>
      <c r="O50" s="15">
        <v>40422</v>
      </c>
      <c r="P50" s="616"/>
      <c r="Q50" s="616"/>
      <c r="R50" s="616"/>
      <c r="S50" s="432"/>
      <c r="T50" s="611"/>
      <c r="U50" s="613"/>
      <c r="V50" s="611"/>
    </row>
    <row r="51" spans="1:22" s="19" customFormat="1" ht="61.5" customHeight="1" x14ac:dyDescent="0.2">
      <c r="A51" s="432"/>
      <c r="B51" s="432"/>
      <c r="C51" s="611"/>
      <c r="D51" s="121"/>
      <c r="E51" s="12" t="s">
        <v>13289</v>
      </c>
      <c r="F51" s="9" t="s">
        <v>16496</v>
      </c>
      <c r="G51" s="285" t="s">
        <v>16497</v>
      </c>
      <c r="H51" s="611"/>
      <c r="I51" s="800"/>
      <c r="J51" s="611"/>
      <c r="K51" s="612"/>
      <c r="L51" s="613"/>
      <c r="M51" s="611"/>
      <c r="N51" s="684"/>
      <c r="O51" s="15">
        <v>41155</v>
      </c>
      <c r="P51" s="616"/>
      <c r="Q51" s="616"/>
      <c r="R51" s="616"/>
      <c r="S51" s="432"/>
      <c r="T51" s="611"/>
      <c r="U51" s="613"/>
      <c r="V51" s="611"/>
    </row>
    <row r="52" spans="1:22" s="19" customFormat="1" ht="102.75" customHeight="1" x14ac:dyDescent="0.2">
      <c r="A52" s="432"/>
      <c r="B52" s="432"/>
      <c r="C52" s="611"/>
      <c r="D52" s="121"/>
      <c r="E52" s="12" t="s">
        <v>13546</v>
      </c>
      <c r="F52" s="9" t="s">
        <v>16498</v>
      </c>
      <c r="G52" s="289" t="s">
        <v>16499</v>
      </c>
      <c r="H52" s="611"/>
      <c r="I52" s="800"/>
      <c r="J52" s="611"/>
      <c r="K52" s="612"/>
      <c r="L52" s="613"/>
      <c r="M52" s="611"/>
      <c r="N52" s="684"/>
      <c r="O52" s="15">
        <v>41964</v>
      </c>
      <c r="P52" s="616"/>
      <c r="Q52" s="616"/>
      <c r="R52" s="616"/>
      <c r="S52" s="432"/>
      <c r="T52" s="611"/>
      <c r="U52" s="613"/>
      <c r="V52" s="611"/>
    </row>
    <row r="53" spans="1:22" s="19" customFormat="1" ht="103.5" customHeight="1" x14ac:dyDescent="0.2">
      <c r="A53" s="432"/>
      <c r="B53" s="432"/>
      <c r="C53" s="611"/>
      <c r="D53" s="121"/>
      <c r="E53" s="12" t="s">
        <v>13701</v>
      </c>
      <c r="F53" s="9" t="s">
        <v>16500</v>
      </c>
      <c r="G53" s="285" t="s">
        <v>16501</v>
      </c>
      <c r="H53" s="611"/>
      <c r="I53" s="800"/>
      <c r="J53" s="611"/>
      <c r="K53" s="612"/>
      <c r="L53" s="613"/>
      <c r="M53" s="611"/>
      <c r="N53" s="684"/>
      <c r="O53" s="15">
        <v>41964</v>
      </c>
      <c r="P53" s="616"/>
      <c r="Q53" s="616"/>
      <c r="R53" s="616"/>
      <c r="S53" s="432"/>
      <c r="T53" s="611"/>
      <c r="U53" s="613"/>
      <c r="V53" s="611"/>
    </row>
    <row r="54" spans="1:22" s="19" customFormat="1" ht="114.75" customHeight="1" x14ac:dyDescent="0.2">
      <c r="A54" s="432"/>
      <c r="B54" s="432"/>
      <c r="C54" s="611"/>
      <c r="D54" s="121"/>
      <c r="E54" s="12" t="s">
        <v>13979</v>
      </c>
      <c r="F54" s="9" t="s">
        <v>16502</v>
      </c>
      <c r="G54" s="285" t="s">
        <v>16503</v>
      </c>
      <c r="H54" s="611"/>
      <c r="I54" s="800"/>
      <c r="J54" s="611"/>
      <c r="K54" s="612"/>
      <c r="L54" s="613"/>
      <c r="M54" s="611"/>
      <c r="N54" s="684"/>
      <c r="O54" s="15">
        <v>40422</v>
      </c>
      <c r="P54" s="616"/>
      <c r="Q54" s="616"/>
      <c r="R54" s="616"/>
      <c r="S54" s="432"/>
      <c r="T54" s="611"/>
      <c r="U54" s="613"/>
      <c r="V54" s="611"/>
    </row>
    <row r="55" spans="1:22" s="19" customFormat="1" ht="101.25" customHeight="1" x14ac:dyDescent="0.2">
      <c r="A55" s="432"/>
      <c r="B55" s="432"/>
      <c r="C55" s="611"/>
      <c r="D55" s="121"/>
      <c r="E55" s="12" t="s">
        <v>13406</v>
      </c>
      <c r="F55" s="9" t="s">
        <v>16504</v>
      </c>
      <c r="G55" s="285" t="s">
        <v>16505</v>
      </c>
      <c r="H55" s="611"/>
      <c r="I55" s="800"/>
      <c r="J55" s="611"/>
      <c r="K55" s="612"/>
      <c r="L55" s="613"/>
      <c r="M55" s="611"/>
      <c r="N55" s="684"/>
      <c r="O55" s="15">
        <v>41964</v>
      </c>
      <c r="P55" s="616"/>
      <c r="Q55" s="616"/>
      <c r="R55" s="616"/>
      <c r="S55" s="432"/>
      <c r="T55" s="611"/>
      <c r="U55" s="613"/>
      <c r="V55" s="611"/>
    </row>
    <row r="56" spans="1:22" s="19" customFormat="1" ht="159.75" customHeight="1" x14ac:dyDescent="0.2">
      <c r="A56" s="331"/>
      <c r="B56" s="331"/>
      <c r="C56" s="332"/>
      <c r="D56" s="121"/>
      <c r="E56" s="12" t="s">
        <v>13701</v>
      </c>
      <c r="F56" s="9" t="s">
        <v>16506</v>
      </c>
      <c r="G56" s="285" t="s">
        <v>16507</v>
      </c>
      <c r="H56" s="332"/>
      <c r="I56" s="801"/>
      <c r="J56" s="332"/>
      <c r="K56" s="333"/>
      <c r="L56" s="334"/>
      <c r="M56" s="332"/>
      <c r="N56" s="686"/>
      <c r="O56" s="15">
        <v>41964</v>
      </c>
      <c r="P56" s="414"/>
      <c r="Q56" s="414"/>
      <c r="R56" s="414"/>
      <c r="S56" s="331"/>
      <c r="T56" s="332"/>
      <c r="U56" s="334"/>
      <c r="V56" s="332"/>
    </row>
    <row r="57" spans="1:22" s="19" customFormat="1" ht="120.75" customHeight="1" x14ac:dyDescent="0.2">
      <c r="A57" s="289">
        <v>25</v>
      </c>
      <c r="B57" s="289" t="s">
        <v>16508</v>
      </c>
      <c r="C57" s="285" t="s">
        <v>16509</v>
      </c>
      <c r="D57" s="9" t="s">
        <v>16308</v>
      </c>
      <c r="E57" s="12" t="s">
        <v>13728</v>
      </c>
      <c r="F57" s="254" t="s">
        <v>16510</v>
      </c>
      <c r="G57" s="285" t="s">
        <v>16511</v>
      </c>
      <c r="H57" s="285" t="s">
        <v>792</v>
      </c>
      <c r="I57" s="285" t="s">
        <v>5127</v>
      </c>
      <c r="J57" s="29"/>
      <c r="K57" s="22" t="s">
        <v>3136</v>
      </c>
      <c r="L57" s="231" t="s">
        <v>16512</v>
      </c>
      <c r="M57" s="285" t="s">
        <v>16513</v>
      </c>
      <c r="N57" s="562">
        <v>252</v>
      </c>
      <c r="O57" s="15"/>
      <c r="P57" s="40">
        <f>58569.07+5092.96</f>
        <v>63662.03</v>
      </c>
      <c r="Q57" s="40">
        <f>58569.07+5092.96</f>
        <v>63662.03</v>
      </c>
      <c r="R57" s="40">
        <f>P57-Q57</f>
        <v>0</v>
      </c>
      <c r="S57" s="40">
        <v>126904</v>
      </c>
      <c r="T57" s="285" t="s">
        <v>15380</v>
      </c>
      <c r="U57" s="14">
        <v>43217</v>
      </c>
      <c r="V57" s="285" t="s">
        <v>16514</v>
      </c>
    </row>
    <row r="58" spans="1:22" s="19" customFormat="1" ht="120.75" customHeight="1" x14ac:dyDescent="0.2">
      <c r="A58" s="289">
        <v>26</v>
      </c>
      <c r="B58" s="289" t="s">
        <v>16515</v>
      </c>
      <c r="C58" s="285" t="s">
        <v>16516</v>
      </c>
      <c r="D58" s="9" t="s">
        <v>16308</v>
      </c>
      <c r="E58" s="12"/>
      <c r="F58" s="254" t="s">
        <v>16517</v>
      </c>
      <c r="G58" s="285" t="s">
        <v>16518</v>
      </c>
      <c r="H58" s="285" t="s">
        <v>7982</v>
      </c>
      <c r="I58" s="285" t="s">
        <v>5127</v>
      </c>
      <c r="J58" s="29"/>
      <c r="K58" s="22" t="s">
        <v>3136</v>
      </c>
      <c r="L58" s="231" t="s">
        <v>16519</v>
      </c>
      <c r="M58" s="29" t="s">
        <v>16520</v>
      </c>
      <c r="N58" s="584">
        <v>53</v>
      </c>
      <c r="O58" s="15"/>
      <c r="P58" s="40">
        <f>17641.68+211700.11</f>
        <v>229341.78999999998</v>
      </c>
      <c r="Q58" s="40">
        <f>P58-R58</f>
        <v>229341.78999999998</v>
      </c>
      <c r="R58" s="40">
        <v>0</v>
      </c>
      <c r="S58" s="40">
        <v>26651</v>
      </c>
      <c r="T58" s="285" t="s">
        <v>16521</v>
      </c>
      <c r="U58" s="14">
        <v>43248</v>
      </c>
      <c r="V58" s="285" t="s">
        <v>16522</v>
      </c>
    </row>
    <row r="59" spans="1:22" s="19" customFormat="1" ht="120.75" customHeight="1" x14ac:dyDescent="0.2">
      <c r="A59" s="289">
        <v>27</v>
      </c>
      <c r="B59" s="289" t="s">
        <v>16523</v>
      </c>
      <c r="C59" s="285" t="s">
        <v>16524</v>
      </c>
      <c r="D59" s="9" t="s">
        <v>16308</v>
      </c>
      <c r="E59" s="12" t="s">
        <v>14717</v>
      </c>
      <c r="F59" s="254" t="s">
        <v>16525</v>
      </c>
      <c r="G59" s="285" t="s">
        <v>16526</v>
      </c>
      <c r="H59" s="285" t="s">
        <v>16527</v>
      </c>
      <c r="I59" s="285" t="s">
        <v>5127</v>
      </c>
      <c r="J59" s="285"/>
      <c r="K59" s="22" t="s">
        <v>3136</v>
      </c>
      <c r="L59" s="231" t="s">
        <v>16528</v>
      </c>
      <c r="M59" s="29" t="s">
        <v>16529</v>
      </c>
      <c r="N59" s="562">
        <v>167</v>
      </c>
      <c r="O59" s="15">
        <v>41000</v>
      </c>
      <c r="P59" s="40">
        <v>21341.07</v>
      </c>
      <c r="Q59" s="40">
        <v>21341.07</v>
      </c>
      <c r="R59" s="40">
        <f>P59-Q59</f>
        <v>0</v>
      </c>
      <c r="S59" s="40">
        <v>84057</v>
      </c>
      <c r="T59" s="285" t="s">
        <v>16521</v>
      </c>
      <c r="U59" s="14">
        <v>43265</v>
      </c>
      <c r="V59" s="285" t="s">
        <v>16530</v>
      </c>
    </row>
    <row r="60" spans="1:22" s="19" customFormat="1" ht="120.75" customHeight="1" x14ac:dyDescent="0.2">
      <c r="A60" s="289">
        <v>28</v>
      </c>
      <c r="B60" s="289" t="s">
        <v>16531</v>
      </c>
      <c r="C60" s="285" t="s">
        <v>16532</v>
      </c>
      <c r="D60" s="9" t="s">
        <v>16308</v>
      </c>
      <c r="E60" s="12" t="s">
        <v>9478</v>
      </c>
      <c r="F60" s="254" t="s">
        <v>16533</v>
      </c>
      <c r="G60" s="285" t="s">
        <v>16534</v>
      </c>
      <c r="H60" s="285" t="s">
        <v>16527</v>
      </c>
      <c r="I60" s="285" t="s">
        <v>5127</v>
      </c>
      <c r="J60" s="29"/>
      <c r="K60" s="22" t="s">
        <v>3136</v>
      </c>
      <c r="L60" s="231" t="s">
        <v>16535</v>
      </c>
      <c r="M60" s="29" t="s">
        <v>16536</v>
      </c>
      <c r="N60" s="562">
        <v>24</v>
      </c>
      <c r="O60" s="15">
        <v>41000</v>
      </c>
      <c r="P60" s="40">
        <v>14848.7</v>
      </c>
      <c r="Q60" s="40">
        <v>14848.7</v>
      </c>
      <c r="R60" s="40">
        <f>P60-Q60</f>
        <v>0</v>
      </c>
      <c r="S60" s="40">
        <v>12063</v>
      </c>
      <c r="T60" s="285" t="s">
        <v>16521</v>
      </c>
      <c r="U60" s="14">
        <v>43285</v>
      </c>
      <c r="V60" s="285" t="s">
        <v>16537</v>
      </c>
    </row>
    <row r="61" spans="1:22" s="19" customFormat="1" ht="120.75" customHeight="1" x14ac:dyDescent="0.2">
      <c r="A61" s="289">
        <v>29</v>
      </c>
      <c r="B61" s="289" t="s">
        <v>16538</v>
      </c>
      <c r="C61" s="285" t="s">
        <v>16539</v>
      </c>
      <c r="D61" s="9" t="s">
        <v>16540</v>
      </c>
      <c r="E61" s="12" t="s">
        <v>2223</v>
      </c>
      <c r="F61" s="9" t="s">
        <v>16541</v>
      </c>
      <c r="G61" s="285" t="s">
        <v>16542</v>
      </c>
      <c r="H61" s="285"/>
      <c r="I61" s="285" t="s">
        <v>2042</v>
      </c>
      <c r="J61" s="285" t="s">
        <v>2207</v>
      </c>
      <c r="K61" s="22" t="s">
        <v>3136</v>
      </c>
      <c r="L61" s="14" t="s">
        <v>16543</v>
      </c>
      <c r="M61" s="285" t="s">
        <v>16544</v>
      </c>
      <c r="N61" s="16">
        <v>540</v>
      </c>
      <c r="O61" s="15">
        <v>39934</v>
      </c>
      <c r="P61" s="40">
        <v>16785.189999999999</v>
      </c>
      <c r="Q61" s="40">
        <v>16785.189999999999</v>
      </c>
      <c r="R61" s="40">
        <f>P61-Q61</f>
        <v>0</v>
      </c>
      <c r="S61" s="40">
        <v>272775</v>
      </c>
      <c r="T61" s="285" t="s">
        <v>16545</v>
      </c>
      <c r="U61" s="14">
        <v>43298</v>
      </c>
      <c r="V61" s="285" t="s">
        <v>16546</v>
      </c>
    </row>
    <row r="62" spans="1:22" s="19" customFormat="1" ht="120.75" customHeight="1" x14ac:dyDescent="0.2">
      <c r="A62" s="289">
        <v>30</v>
      </c>
      <c r="B62" s="289" t="s">
        <v>16547</v>
      </c>
      <c r="C62" s="285" t="s">
        <v>16548</v>
      </c>
      <c r="D62" s="9" t="s">
        <v>16540</v>
      </c>
      <c r="E62" s="12" t="s">
        <v>2223</v>
      </c>
      <c r="F62" s="254"/>
      <c r="G62" s="285" t="s">
        <v>16549</v>
      </c>
      <c r="H62" s="285"/>
      <c r="I62" s="285" t="s">
        <v>2042</v>
      </c>
      <c r="J62" s="285" t="s">
        <v>2207</v>
      </c>
      <c r="K62" s="22" t="s">
        <v>3136</v>
      </c>
      <c r="L62" s="14" t="s">
        <v>16550</v>
      </c>
      <c r="M62" s="285" t="s">
        <v>16551</v>
      </c>
      <c r="N62" s="562">
        <v>4215</v>
      </c>
      <c r="O62" s="15">
        <v>43313</v>
      </c>
      <c r="P62" s="40">
        <v>131017.7</v>
      </c>
      <c r="Q62" s="40">
        <v>131017.7</v>
      </c>
      <c r="R62" s="40">
        <v>0</v>
      </c>
      <c r="S62" s="40">
        <v>2139522</v>
      </c>
      <c r="T62" s="285" t="s">
        <v>15479</v>
      </c>
      <c r="U62" s="14">
        <v>43305</v>
      </c>
      <c r="V62" s="285" t="s">
        <v>16552</v>
      </c>
    </row>
    <row r="63" spans="1:22" s="19" customFormat="1" ht="113.25" customHeight="1" x14ac:dyDescent="0.2">
      <c r="A63" s="289">
        <v>31</v>
      </c>
      <c r="B63" s="289" t="s">
        <v>16553</v>
      </c>
      <c r="C63" s="285" t="s">
        <v>16554</v>
      </c>
      <c r="D63" s="9" t="s">
        <v>16308</v>
      </c>
      <c r="E63" s="12" t="s">
        <v>13705</v>
      </c>
      <c r="F63" s="254" t="s">
        <v>16555</v>
      </c>
      <c r="G63" s="285" t="s">
        <v>16556</v>
      </c>
      <c r="H63" s="285" t="s">
        <v>7917</v>
      </c>
      <c r="I63" s="285" t="s">
        <v>5127</v>
      </c>
      <c r="J63" s="29"/>
      <c r="K63" s="22" t="s">
        <v>3136</v>
      </c>
      <c r="L63" s="14" t="s">
        <v>16557</v>
      </c>
      <c r="M63" s="285" t="s">
        <v>16558</v>
      </c>
      <c r="N63" s="562">
        <v>33</v>
      </c>
      <c r="O63" s="15"/>
      <c r="P63" s="40">
        <f>132305.3+16809.28</f>
        <v>149114.57999999999</v>
      </c>
      <c r="Q63" s="40">
        <f>132305.3+16809.28</f>
        <v>149114.57999999999</v>
      </c>
      <c r="R63" s="40">
        <f>P63-Q63</f>
        <v>0</v>
      </c>
      <c r="S63" s="40">
        <v>16589</v>
      </c>
      <c r="T63" s="285" t="s">
        <v>15479</v>
      </c>
      <c r="U63" s="14">
        <v>43320</v>
      </c>
      <c r="V63" s="285" t="s">
        <v>16559</v>
      </c>
    </row>
    <row r="64" spans="1:22" s="19" customFormat="1" ht="77.25" customHeight="1" x14ac:dyDescent="0.2">
      <c r="A64" s="289">
        <v>32</v>
      </c>
      <c r="B64" s="289" t="s">
        <v>16560</v>
      </c>
      <c r="C64" s="285" t="s">
        <v>16561</v>
      </c>
      <c r="D64" s="9" t="s">
        <v>16308</v>
      </c>
      <c r="E64" s="12" t="s">
        <v>6173</v>
      </c>
      <c r="F64" s="254"/>
      <c r="G64" s="285" t="s">
        <v>16562</v>
      </c>
      <c r="H64" s="285" t="s">
        <v>5776</v>
      </c>
      <c r="I64" s="285" t="s">
        <v>5127</v>
      </c>
      <c r="J64" s="285"/>
      <c r="K64" s="22" t="s">
        <v>3136</v>
      </c>
      <c r="L64" s="14" t="s">
        <v>16563</v>
      </c>
      <c r="M64" s="285" t="s">
        <v>16564</v>
      </c>
      <c r="N64" s="562">
        <v>57</v>
      </c>
      <c r="O64" s="15">
        <v>43481</v>
      </c>
      <c r="P64" s="40">
        <v>128229.49</v>
      </c>
      <c r="Q64" s="40">
        <v>128229.49</v>
      </c>
      <c r="R64" s="40">
        <f>P64-Q64</f>
        <v>0</v>
      </c>
      <c r="S64" s="40"/>
      <c r="T64" s="285" t="s">
        <v>16565</v>
      </c>
      <c r="U64" s="14">
        <v>43481</v>
      </c>
      <c r="V64" s="285" t="s">
        <v>16566</v>
      </c>
    </row>
    <row r="65" spans="1:22" s="19" customFormat="1" ht="69" customHeight="1" x14ac:dyDescent="0.2">
      <c r="A65" s="289">
        <v>33</v>
      </c>
      <c r="B65" s="289" t="s">
        <v>16567</v>
      </c>
      <c r="C65" s="285"/>
      <c r="D65" s="9" t="s">
        <v>16308</v>
      </c>
      <c r="E65" s="12">
        <v>1976</v>
      </c>
      <c r="F65" s="9" t="s">
        <v>16568</v>
      </c>
      <c r="G65" s="285" t="s">
        <v>14087</v>
      </c>
      <c r="H65" s="285" t="s">
        <v>14083</v>
      </c>
      <c r="I65" s="285" t="s">
        <v>2042</v>
      </c>
      <c r="J65" s="285" t="s">
        <v>2207</v>
      </c>
      <c r="K65" s="285" t="s">
        <v>14084</v>
      </c>
      <c r="L65" s="14">
        <v>44084</v>
      </c>
      <c r="M65" s="285">
        <v>10</v>
      </c>
      <c r="N65" s="24">
        <v>520</v>
      </c>
      <c r="O65" s="15">
        <v>38718</v>
      </c>
      <c r="P65" s="40">
        <v>298820</v>
      </c>
      <c r="Q65" s="40">
        <f>P65-R65</f>
        <v>280318</v>
      </c>
      <c r="R65" s="40">
        <v>18502</v>
      </c>
      <c r="S65" s="40"/>
      <c r="T65" s="289"/>
      <c r="U65" s="18"/>
      <c r="V65" s="289"/>
    </row>
    <row r="66" spans="1:22" ht="15.75" customHeight="1" x14ac:dyDescent="0.2">
      <c r="D66" s="41"/>
      <c r="E66" s="564"/>
      <c r="F66" s="564"/>
      <c r="G66" s="565"/>
      <c r="I66" s="159"/>
      <c r="J66" s="159"/>
      <c r="K66" s="159"/>
      <c r="L66" s="159"/>
      <c r="M66" s="159"/>
      <c r="N66" s="643">
        <f>SUM(N7:N65)</f>
        <v>49867.1</v>
      </c>
      <c r="O66" s="802"/>
      <c r="P66" s="568">
        <f>SUM(P7:P65)</f>
        <v>7244769.9900000012</v>
      </c>
      <c r="Q66" s="568">
        <f>SUM(Q7:Q65)</f>
        <v>5169009.2300000014</v>
      </c>
      <c r="R66" s="568">
        <f>SUM(R7:R65)</f>
        <v>2075760.7600000002</v>
      </c>
      <c r="S66" s="526"/>
      <c r="T66" s="526"/>
      <c r="U66" s="523"/>
      <c r="V66" s="533"/>
    </row>
    <row r="67" spans="1:22" ht="11.25" customHeight="1" x14ac:dyDescent="0.2">
      <c r="D67" s="41"/>
      <c r="E67" s="534"/>
      <c r="F67" s="534"/>
      <c r="G67" s="159"/>
      <c r="I67" s="159"/>
      <c r="J67" s="159"/>
      <c r="K67" s="159"/>
      <c r="L67" s="159"/>
      <c r="M67" s="159"/>
      <c r="N67" s="571"/>
      <c r="P67" s="524"/>
      <c r="Q67" s="524"/>
      <c r="R67" s="524"/>
      <c r="S67" s="526"/>
      <c r="T67" s="526"/>
      <c r="U67" s="803"/>
      <c r="V67" s="526"/>
    </row>
    <row r="68" spans="1:22" ht="11.25" customHeight="1" x14ac:dyDescent="0.2">
      <c r="D68" s="41"/>
      <c r="N68" s="572"/>
      <c r="P68" s="524"/>
    </row>
    <row r="69" spans="1:22" ht="11.25" customHeight="1" x14ac:dyDescent="0.2">
      <c r="D69" s="41"/>
    </row>
    <row r="70" spans="1:22" ht="11.25" customHeight="1" x14ac:dyDescent="0.2">
      <c r="D70" s="41"/>
    </row>
    <row r="71" spans="1:22" ht="11.25" customHeight="1" x14ac:dyDescent="0.2">
      <c r="D71" s="41"/>
      <c r="J71" s="7" t="s">
        <v>14916</v>
      </c>
    </row>
    <row r="72" spans="1:22" ht="11.25" customHeight="1" x14ac:dyDescent="0.2">
      <c r="D72" s="41"/>
    </row>
    <row r="73" spans="1:22" ht="11.25" customHeight="1" x14ac:dyDescent="0.2">
      <c r="D73" s="41"/>
    </row>
    <row r="74" spans="1:22" ht="11.25" customHeight="1" x14ac:dyDescent="0.2">
      <c r="D74" s="41"/>
    </row>
    <row r="75" spans="1:22" ht="11.25" customHeight="1" x14ac:dyDescent="0.2">
      <c r="D75" s="41"/>
    </row>
    <row r="76" spans="1:22" ht="11.25" customHeight="1" x14ac:dyDescent="0.2">
      <c r="D76" s="41"/>
    </row>
    <row r="81" spans="15:18" ht="12" x14ac:dyDescent="0.2">
      <c r="P81" s="101"/>
      <c r="Q81" s="101"/>
      <c r="R81" s="101"/>
    </row>
    <row r="83" spans="15:18" ht="12" x14ac:dyDescent="0.2">
      <c r="O83" s="101"/>
      <c r="P83" s="101"/>
      <c r="Q83" s="101"/>
    </row>
    <row r="1483" spans="16:16" x14ac:dyDescent="0.2">
      <c r="P1483" s="7">
        <v>3050</v>
      </c>
    </row>
  </sheetData>
  <mergeCells count="57">
    <mergeCell ref="R49:R56"/>
    <mergeCell ref="S49:S56"/>
    <mergeCell ref="T49:T56"/>
    <mergeCell ref="U49:U56"/>
    <mergeCell ref="V49:V56"/>
    <mergeCell ref="K49:K56"/>
    <mergeCell ref="L49:L56"/>
    <mergeCell ref="M49:M56"/>
    <mergeCell ref="N49:N56"/>
    <mergeCell ref="P49:P56"/>
    <mergeCell ref="Q49:Q56"/>
    <mergeCell ref="R33:R48"/>
    <mergeCell ref="B35:B48"/>
    <mergeCell ref="A40:A48"/>
    <mergeCell ref="O43:O48"/>
    <mergeCell ref="A49:A56"/>
    <mergeCell ref="B49:B56"/>
    <mergeCell ref="C49:C56"/>
    <mergeCell ref="H49:H56"/>
    <mergeCell ref="I49:I56"/>
    <mergeCell ref="J49:J56"/>
    <mergeCell ref="K33:K48"/>
    <mergeCell ref="L33:L48"/>
    <mergeCell ref="M33:M48"/>
    <mergeCell ref="N33:N48"/>
    <mergeCell ref="P33:P48"/>
    <mergeCell ref="Q33:Q48"/>
    <mergeCell ref="R28:R32"/>
    <mergeCell ref="S28:S32"/>
    <mergeCell ref="T28:T32"/>
    <mergeCell ref="U28:U32"/>
    <mergeCell ref="V28:V32"/>
    <mergeCell ref="C33:C48"/>
    <mergeCell ref="D33:D48"/>
    <mergeCell ref="H33:H48"/>
    <mergeCell ref="I33:I47"/>
    <mergeCell ref="J33:J48"/>
    <mergeCell ref="L28:L32"/>
    <mergeCell ref="M28:M32"/>
    <mergeCell ref="N28:N32"/>
    <mergeCell ref="O28:O32"/>
    <mergeCell ref="P28:P32"/>
    <mergeCell ref="Q28:Q32"/>
    <mergeCell ref="A28:A32"/>
    <mergeCell ref="B28:B32"/>
    <mergeCell ref="C28:C32"/>
    <mergeCell ref="D28:D32"/>
    <mergeCell ref="H28:H32"/>
    <mergeCell ref="I28:I32"/>
    <mergeCell ref="J28:J32"/>
    <mergeCell ref="K28:K32"/>
    <mergeCell ref="A4:A5"/>
    <mergeCell ref="K4:M4"/>
    <mergeCell ref="N4:N5"/>
    <mergeCell ref="O4:O5"/>
    <mergeCell ref="P4:S4"/>
    <mergeCell ref="T4:V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Земельные участки 1.1</vt:lpstr>
      <vt:lpstr>Адм, общ., произ.,иные зд. 1.2</vt:lpstr>
      <vt:lpstr>Жилищный фонд 1.3</vt:lpstr>
      <vt:lpstr>Нежилые помещения 1.4</vt:lpstr>
      <vt:lpstr>Сооружения 1.5</vt:lpstr>
      <vt:lpstr>Сети электрические 1.6 </vt:lpstr>
      <vt:lpstr>Сети теплоснабжения 1.7</vt:lpstr>
      <vt:lpstr>Сети водопроводные 1.8</vt:lpstr>
      <vt:lpstr>Сети канализационные 1.9</vt:lpstr>
      <vt:lpstr>Сети телекоммуникационные 1.11</vt:lpstr>
      <vt:lpstr> иное недвижимое имущество 1.12</vt:lpstr>
      <vt:lpstr>Автомобильные дороги 1.13</vt:lpstr>
      <vt:lpstr>Незавершенное кап.стр-во 1.14</vt:lpstr>
      <vt:lpstr>Тр. средства 2.2</vt:lpstr>
      <vt:lpstr>Машины и оборудование 2.4 </vt:lpstr>
      <vt:lpstr>Иное движимое 2.5</vt:lpstr>
      <vt:lpstr>резерв.запас (уголь,мазут) 2.6 </vt:lpstr>
      <vt:lpstr>аварийный запас (материалы) 2.7</vt:lpstr>
      <vt:lpstr>'аварийный запас (материалы) 2.7'!Заголовки_для_печати</vt:lpstr>
      <vt:lpstr>'Иное движимое 2.5'!Заголовки_для_печати</vt:lpstr>
      <vt:lpstr>'Тр. средства 2.2'!Заголовки_для_печати</vt:lpstr>
      <vt:lpstr>'аварийный запас (материалы) 2.7'!Область_печати</vt:lpstr>
      <vt:lpstr>'Иное движимое 2.5'!Область_печати</vt:lpstr>
    </vt:vector>
  </TitlesOfParts>
  <Company>Комитет по финансам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Максименко Борис</dc:creator>
  <cp:lastModifiedBy>Ирина Крылова</cp:lastModifiedBy>
  <cp:lastPrinted>2022-12-06T06:27:54Z</cp:lastPrinted>
  <dcterms:created xsi:type="dcterms:W3CDTF">2003-05-07T06:58:27Z</dcterms:created>
  <dcterms:modified xsi:type="dcterms:W3CDTF">2023-02-14T09:05:43Z</dcterms:modified>
</cp:coreProperties>
</file>